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9415495\OneDrive - csulb\Desktop\"/>
    </mc:Choice>
  </mc:AlternateContent>
  <bookViews>
    <workbookView xWindow="480" yWindow="45" windowWidth="27720" windowHeight="12855" tabRatio="821" firstSheet="2" activeTab="2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Div 3 (2)...b7db256a_40ITCB" sheetId="17" state="hidden" r:id="rId14"/>
    <sheet name="OSR_300 &amp; 317_1C00ID4" sheetId="19" state="hidden" r:id="rId15"/>
    <sheet name="OSR_300 (2)_c...79cd3046_1TJM0H" sheetId="20" state="hidden" r:id="rId16"/>
    <sheet name="OSR_310_1CMTOSB" sheetId="22" state="hidden" r:id="rId17"/>
    <sheet name="OSR_300 (2)_e...5d0da5bf_6BPGAO" sheetId="23" state="hidden" r:id="rId18"/>
    <sheet name="OSR_330_10VFP5Y" sheetId="25" state="hidden" r:id="rId19"/>
    <sheet name="OSR_310 (2)_...6e684f08_1FLCNJG" sheetId="26" state="hidden" r:id="rId20"/>
    <sheet name="OSR_308_UAWDAG" sheetId="28" state="hidden" r:id="rId21"/>
    <sheet name="OSR_330 (2)_...8a14c83e_1NSH7XI" sheetId="29" state="hidden" r:id="rId22"/>
    <sheet name="OSR_331_10VKQAJ" sheetId="31" state="hidden" r:id="rId23"/>
    <sheet name="OSR_308 (2)_...47685838_1YQW4QY" sheetId="32" state="hidden" r:id="rId24"/>
    <sheet name="OSR_332_6NDVBW" sheetId="34" state="hidden" r:id="rId25"/>
    <sheet name="OSR_331 (2)_...7280af70_1P5SPLT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0...c51cc666_QIOT67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...09141158_1BG9FGV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3" r:id="rId51"/>
    <sheet name="306" sheetId="67" r:id="rId52"/>
    <sheet name="330" sheetId="24" r:id="rId53"/>
    <sheet name="307" sheetId="68" r:id="rId54"/>
    <sheet name="314" sheetId="73" r:id="rId55"/>
    <sheet name="308" sheetId="27" r:id="rId56"/>
    <sheet name="311" sheetId="70" r:id="rId57"/>
    <sheet name="324" sheetId="82" r:id="rId58"/>
    <sheet name="312" sheetId="71" r:id="rId59"/>
    <sheet name="331" sheetId="30" r:id="rId60"/>
    <sheet name="315" sheetId="74" r:id="rId61"/>
    <sheet name="326" sheetId="84" r:id="rId62"/>
    <sheet name="332" sheetId="33" r:id="rId63"/>
    <sheet name="316" sheetId="75" r:id="rId64"/>
    <sheet name="320" sheetId="78" r:id="rId65"/>
    <sheet name="Div 6" sheetId="51" r:id="rId66"/>
    <sheet name="317" sheetId="76" r:id="rId67"/>
    <sheet name="310" sheetId="21" r:id="rId68"/>
    <sheet name="309" sheetId="69" r:id="rId69"/>
    <sheet name="313" sheetId="72" r:id="rId70"/>
    <sheet name="321" sheetId="79" r:id="rId71"/>
    <sheet name="322" sheetId="80" r:id="rId72"/>
    <sheet name="325" sheetId="83" r:id="rId73"/>
    <sheet name="327" sheetId="85" r:id="rId74"/>
    <sheet name="Div 4" sheetId="36" r:id="rId75"/>
    <sheet name="310 &amp; 491" sheetId="39" r:id="rId76"/>
    <sheet name="491" sheetId="42" r:id="rId77"/>
    <sheet name="405" sheetId="87" r:id="rId78"/>
    <sheet name="406" sheetId="88" r:id="rId79"/>
    <sheet name="411" sheetId="91" r:id="rId80"/>
    <sheet name="412" sheetId="92" r:id="rId81"/>
    <sheet name="420" sheetId="98" r:id="rId82"/>
    <sheet name="413" sheetId="93" r:id="rId83"/>
    <sheet name="414" sheetId="94" r:id="rId84"/>
    <sheet name="415" sheetId="95" r:id="rId85"/>
    <sheet name="418" sheetId="97" r:id="rId86"/>
    <sheet name="423" sheetId="99" r:id="rId87"/>
    <sheet name="424" sheetId="100" r:id="rId88"/>
    <sheet name="425" sheetId="101" r:id="rId89"/>
    <sheet name="455" sheetId="108" r:id="rId90"/>
    <sheet name="492" sheetId="45" r:id="rId91"/>
    <sheet name="430" sheetId="102" r:id="rId92"/>
    <sheet name="433" sheetId="103" r:id="rId93"/>
    <sheet name="435" sheetId="104" r:id="rId94"/>
    <sheet name="444" sheetId="105" r:id="rId95"/>
    <sheet name="450" sheetId="107" r:id="rId96"/>
    <sheet name="Div 5" sheetId="48" r:id="rId97"/>
    <sheet name="501" sheetId="109" r:id="rId98"/>
    <sheet name="Dept" sheetId="110" state="hidden" r:id="rId99"/>
    <sheet name="OSR_Dept_Y0WUKY" sheetId="111" state="hidden" r:id="rId100"/>
    <sheet name="OSR_Summary (...56e5d78f_5JEYZH" sheetId="112" state="hidden" r:id="rId101"/>
  </sheets>
  <definedNames>
    <definedName name="OSRRefD13x_0" localSheetId="48">'300'!$D$13:$D$96</definedName>
    <definedName name="OSRRefD13x_0" localSheetId="49">'300 &amp; 317'!$D$13:$D$115</definedName>
    <definedName name="OSRRefD13x_0" localSheetId="53">'307'!$D$13:$D$34</definedName>
    <definedName name="OSRRefD13x_0" localSheetId="55">'308'!$D$13:$D$36</definedName>
    <definedName name="OSRRefD13x_0" localSheetId="68">'309'!$D$13:$D$14</definedName>
    <definedName name="OSRRefD13x_0" localSheetId="67">'310'!$D$13:$D$20</definedName>
    <definedName name="OSRRefD13x_0" localSheetId="75">'310 &amp; 491'!$D$13:$D$27</definedName>
    <definedName name="OSRRefD13x_0" localSheetId="56">'311'!$D$13:$D$35</definedName>
    <definedName name="OSRRefD13x_0" localSheetId="69">'313'!$D$13:$D$17</definedName>
    <definedName name="OSRRefD13x_0" localSheetId="54">'314'!$D$13:$D$31</definedName>
    <definedName name="OSRRefD13x_0" localSheetId="60">'315'!$D$13:$D$48</definedName>
    <definedName name="OSRRefD13x_0" localSheetId="63">'316'!$D$13:$D$24</definedName>
    <definedName name="OSRRefD13x_0" localSheetId="66">'317'!$D$13:$D$36</definedName>
    <definedName name="OSRRefD13x_0" localSheetId="64">'320'!$D$13:$D$15</definedName>
    <definedName name="OSRRefD13x_0" localSheetId="70">'321'!$D$13:$D$14</definedName>
    <definedName name="OSRRefD13x_0" localSheetId="71">'322'!$D$13:$D$14</definedName>
    <definedName name="OSRRefD13x_0" localSheetId="57">'324'!$D$13:$D$15</definedName>
    <definedName name="OSRRefD13x_0" localSheetId="72">'325'!$D$13:$D$14</definedName>
    <definedName name="OSRRefD13x_0" localSheetId="61">'326'!$D$13:$D$35</definedName>
    <definedName name="OSRRefD13x_0" localSheetId="73">'327'!$D$13</definedName>
    <definedName name="OSRRefD13x_0" localSheetId="52">'330'!$D$13:$D$43</definedName>
    <definedName name="OSRRefD13x_0" localSheetId="59">'331'!$D$13:$D$51</definedName>
    <definedName name="OSRRefD13x_0" localSheetId="62">'332'!$D$13:$D$27</definedName>
    <definedName name="OSRRefD13x_0" localSheetId="77">'405'!$D$13:$D$14</definedName>
    <definedName name="OSRRefD13x_0" localSheetId="78">'406'!$D$13:$D$14</definedName>
    <definedName name="OSRRefD13x_0" localSheetId="80">'412'!$D$13:$D$14</definedName>
    <definedName name="OSRRefD13x_0" localSheetId="82">'413'!$D$13:$D$14</definedName>
    <definedName name="OSRRefD13x_0" localSheetId="83">'414'!$D$13:$D$14</definedName>
    <definedName name="OSRRefD13x_0" localSheetId="84">'415'!$D$13:$D$14</definedName>
    <definedName name="OSRRefD13x_0" localSheetId="85">'418'!$D$13:$D$14</definedName>
    <definedName name="OSRRefD13x_0" localSheetId="87">'424'!$D$13</definedName>
    <definedName name="OSRRefD13x_0" localSheetId="88">'425'!$D$13:$D$14</definedName>
    <definedName name="OSRRefD13x_0" localSheetId="92">'433'!$D$13:$D$15</definedName>
    <definedName name="OSRRefD13x_0" localSheetId="93">'435'!$D$13:$D$14</definedName>
    <definedName name="OSRRefD13x_0" localSheetId="94">'444'!$D$13:$D$15</definedName>
    <definedName name="OSRRefD13x_0" localSheetId="95">'450'!$D$13:$D$14</definedName>
    <definedName name="OSRRefD13x_0" localSheetId="76">'491'!$D$13:$D$21</definedName>
    <definedName name="OSRRefD13x_0" localSheetId="90">'492'!$D$13:$D$17</definedName>
    <definedName name="OSRRefD13x_0" localSheetId="97">'501'!$D$13</definedName>
    <definedName name="OSRRefD13x_0" localSheetId="47">'Div 3'!$D$13:$D$99</definedName>
    <definedName name="OSRRefD13x_0" localSheetId="74">'Div 4'!$D$13:$D$22</definedName>
    <definedName name="OSRRefD13x_0" localSheetId="96">'Div 5'!$D$13</definedName>
    <definedName name="OSRRefD13x_0" localSheetId="65">'Div 6'!$D$13:$D$36</definedName>
    <definedName name="OSRRefD13x_0" localSheetId="2">Summary!$D$13:$D$125</definedName>
    <definedName name="OSRRefD16x_0" localSheetId="48">'300'!$D$99:$D$145</definedName>
    <definedName name="OSRRefD16x_0" localSheetId="49">'300 &amp; 317'!$D$118:$D$169</definedName>
    <definedName name="OSRRefD16x_0" localSheetId="53">'307'!$D$37:$D$52</definedName>
    <definedName name="OSRRefD16x_0" localSheetId="55">'308'!$D$39:$D$51</definedName>
    <definedName name="OSRRefD16x_0" localSheetId="68">'309'!$D$17:$D$18</definedName>
    <definedName name="OSRRefD16x_0" localSheetId="67">'310'!$D$23:$D$24</definedName>
    <definedName name="OSRRefD16x_0" localSheetId="75">'310 &amp; 491'!$D$30:$D$31</definedName>
    <definedName name="OSRRefD16x_0" localSheetId="56">'311'!$D$38:$D$50</definedName>
    <definedName name="OSRRefD16x_0" localSheetId="69">'313'!$D$20:$D$21</definedName>
    <definedName name="OSRRefD16x_0" localSheetId="54">'314'!$D$34:$D$47</definedName>
    <definedName name="OSRRefD16x_0" localSheetId="60">'315'!$D$51:$D$65</definedName>
    <definedName name="OSRRefD16x_0" localSheetId="66">'317'!$D$39:$D$49</definedName>
    <definedName name="OSRRefD16x_0" localSheetId="64">'320'!$D$18:$D$22</definedName>
    <definedName name="OSRRefD16x_0" localSheetId="70">'321'!$D$17:$D$18</definedName>
    <definedName name="OSRRefD16x_0" localSheetId="71">'322'!$D$17:$D$18</definedName>
    <definedName name="OSRRefD16x_0" localSheetId="57">'324'!$D$18:$D$19</definedName>
    <definedName name="OSRRefD16x_0" localSheetId="72">'325'!$D$17:$D$18</definedName>
    <definedName name="OSRRefD16x_0" localSheetId="61">'326'!$D$38:$D$49</definedName>
    <definedName name="OSRRefD16x_0" localSheetId="73">'327'!$D$16</definedName>
    <definedName name="OSRRefD16x_0" localSheetId="52">'330'!$D$46:$D$66</definedName>
    <definedName name="OSRRefD16x_0" localSheetId="59">'331'!$D$54:$D$72</definedName>
    <definedName name="OSRRefD16x_0" localSheetId="62">'332'!$D$30:$D$34</definedName>
    <definedName name="OSRRefD16x_0" localSheetId="77">'405'!$D$17:$D$18</definedName>
    <definedName name="OSRRefD16x_0" localSheetId="78">'406'!$D$17:$D$18</definedName>
    <definedName name="OSRRefD16x_0" localSheetId="80">'412'!$D$17</definedName>
    <definedName name="OSRRefD16x_0" localSheetId="82">'413'!$D$17:$D$18</definedName>
    <definedName name="OSRRefD16x_0" localSheetId="83">'414'!$D$17:$D$18</definedName>
    <definedName name="OSRRefD16x_0" localSheetId="84">'415'!$D$17:$D$18</definedName>
    <definedName name="OSRRefD16x_0" localSheetId="85">'418'!$D$17:$D$18</definedName>
    <definedName name="OSRRefD16x_0" localSheetId="86">'423'!$D$15</definedName>
    <definedName name="OSRRefD16x_0" localSheetId="87">'424'!$D$16:$D$17</definedName>
    <definedName name="OSRRefD16x_0" localSheetId="88">'425'!$D$17:$D$18</definedName>
    <definedName name="OSRRefD16x_0" localSheetId="92">'433'!$D$18:$D$19</definedName>
    <definedName name="OSRRefD16x_0" localSheetId="93">'435'!$D$17:$D$18</definedName>
    <definedName name="OSRRefD16x_0" localSheetId="94">'444'!$D$18:$D$19</definedName>
    <definedName name="OSRRefD16x_0" localSheetId="95">'450'!$D$17:$D$18</definedName>
    <definedName name="OSRRefD16x_0" localSheetId="76">'491'!$D$24:$D$25</definedName>
    <definedName name="OSRRefD16x_0" localSheetId="90">'492'!$D$20:$D$21</definedName>
    <definedName name="OSRRefD16x_0" localSheetId="47">'Div 3'!$D$102:$D$150</definedName>
    <definedName name="OSRRefD16x_0" localSheetId="74">'Div 4'!$D$25:$D$26</definedName>
    <definedName name="OSRRefD16x_0" localSheetId="65">'Div 6'!$D$39:$D$49</definedName>
    <definedName name="OSRRefD16x_0" localSheetId="2">Summary!$D$128:$D$181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'203'!$D$20:$D$28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'300'!$D$151:$D$160</definedName>
    <definedName name="OSRRefD22_0x_0" localSheetId="49">'300 &amp; 317'!$D$175:$D$184</definedName>
    <definedName name="OSRRefD22_0x_0" localSheetId="50">'301'!$D$20:$D$28</definedName>
    <definedName name="OSRRefD22_0x_0" localSheetId="51">'306'!$D$20:$D$28</definedName>
    <definedName name="OSRRefD22_0x_0" localSheetId="53">'307'!$D$58:$D$65</definedName>
    <definedName name="OSRRefD22_0x_0" localSheetId="55">'308'!$D$57:$D$65</definedName>
    <definedName name="OSRRefD22_0x_0" localSheetId="68">'309'!$D$24:$D$31</definedName>
    <definedName name="OSRRefD22_0x_0" localSheetId="67">'310'!$D$30:$D$37</definedName>
    <definedName name="OSRRefD22_0x_0" localSheetId="75">'310 &amp; 491'!$D$37:$D$45</definedName>
    <definedName name="OSRRefD22_0x_0" localSheetId="56">'311'!$D$56:$D$64</definedName>
    <definedName name="OSRRefD22_0x_0" localSheetId="69">'313'!$D$27:$D$34</definedName>
    <definedName name="OSRRefD22_0x_0" localSheetId="54">'314'!$D$53:$D$59</definedName>
    <definedName name="OSRRefD22_0x_0" localSheetId="60">'315'!$D$71:$D$78</definedName>
    <definedName name="OSRRefD22_0x_0" localSheetId="63">'316'!$D$32:$D$39</definedName>
    <definedName name="OSRRefD22_0x_0" localSheetId="66">'317'!$D$55:$D$63</definedName>
    <definedName name="OSRRefD22_0x_0" localSheetId="64">'320'!$D$28:$D$34</definedName>
    <definedName name="OSRRefD22_0x_0" localSheetId="70">'321'!$D$24:$D$31</definedName>
    <definedName name="OSRRefD22_0x_0" localSheetId="71">'322'!$D$24:$D$31</definedName>
    <definedName name="OSRRefD22_0x_0" localSheetId="72">'325'!$D$24:$D$31</definedName>
    <definedName name="OSRRefD22_0x_0" localSheetId="61">'326'!$D$55:$D$62</definedName>
    <definedName name="OSRRefD22_0x_0" localSheetId="73">'327'!$D$22</definedName>
    <definedName name="OSRRefD22_0x_0" localSheetId="52">'330'!$D$72:$D$79</definedName>
    <definedName name="OSRRefD22_0x_0" localSheetId="59">'331'!$D$78:$D$85</definedName>
    <definedName name="OSRRefD22_0x_0" localSheetId="62">'332'!$D$40:$D$47</definedName>
    <definedName name="OSRRefD22_0x_0" localSheetId="77">'405'!$D$24:$D$31</definedName>
    <definedName name="OSRRefD22_0x_0" localSheetId="78">'406'!$D$24:$D$31</definedName>
    <definedName name="OSRRefD22_0x_0" localSheetId="79">'411'!$D$20:$D$28</definedName>
    <definedName name="OSRRefD22_0x_0" localSheetId="80">'412'!$D$23:$D$30</definedName>
    <definedName name="OSRRefD22_0x_0" localSheetId="82">'413'!$D$24:$D$31</definedName>
    <definedName name="OSRRefD22_0x_0" localSheetId="83">'414'!$D$24:$D$30</definedName>
    <definedName name="OSRRefD22_0x_0" localSheetId="84">'415'!$D$24:$D$31</definedName>
    <definedName name="OSRRefD22_0x_0" localSheetId="85">'418'!$D$24:$D$31</definedName>
    <definedName name="OSRRefD22_0x_0" localSheetId="86">'423'!$D$21:$D$28</definedName>
    <definedName name="OSRRefD22_0x_0" localSheetId="87">'424'!$D$23</definedName>
    <definedName name="OSRRefD22_0x_0" localSheetId="88">'425'!$D$24:$D$31</definedName>
    <definedName name="OSRRefD22_0x_0" localSheetId="91">'430'!$D$20:$D$27</definedName>
    <definedName name="OSRRefD22_0x_0" localSheetId="92">'433'!$D$25:$D$33</definedName>
    <definedName name="OSRRefD22_0x_0" localSheetId="93">'435'!$D$24:$D$26</definedName>
    <definedName name="OSRRefD22_0x_0" localSheetId="94">'444'!$D$25:$D$33</definedName>
    <definedName name="OSRRefD22_0x_0" localSheetId="95">'450'!$D$24:$D$32</definedName>
    <definedName name="OSRRefD22_0x_0" localSheetId="89">'455'!$D$20:$D$26</definedName>
    <definedName name="OSRRefD22_0x_0" localSheetId="76">'491'!$D$31:$D$39</definedName>
    <definedName name="OSRRefD22_0x_0" localSheetId="90">'492'!$D$27:$D$35</definedName>
    <definedName name="OSRRefD22_0x_0" localSheetId="97">'501'!$D$21:$D$29</definedName>
    <definedName name="OSRRefD22_0x_0" localSheetId="39">'Div 2'!$D$20:$D$29</definedName>
    <definedName name="OSRRefD22_0x_0" localSheetId="47">'Div 3'!$D$156:$D$165</definedName>
    <definedName name="OSRRefD22_0x_0" localSheetId="74">'Div 4'!$D$32:$D$40</definedName>
    <definedName name="OSRRefD22_0x_0" localSheetId="96">'Div 5'!$D$21:$D$29</definedName>
    <definedName name="OSRRefD22_0x_0" localSheetId="65">'Div 6'!$D$55:$D$63</definedName>
    <definedName name="OSRRefD22_0x_0" localSheetId="2">Summary!$D$187:$D$196</definedName>
    <definedName name="OSRRefD22_10x_0" localSheetId="41">'201'!$D$51</definedName>
    <definedName name="OSRRefD22_10x_0" localSheetId="42">'202'!$D$54</definedName>
    <definedName name="OSRRefD22_10x_0" localSheetId="43">'203'!$D$52:$D$53</definedName>
    <definedName name="OSRRefD22_10x_0" localSheetId="48">'300'!$D$188:$D$189</definedName>
    <definedName name="OSRRefD22_10x_0" localSheetId="49">'300 &amp; 317'!$D$212:$D$213</definedName>
    <definedName name="OSRRefD22_10x_0" localSheetId="50">'301'!$D$56</definedName>
    <definedName name="OSRRefD22_10x_0" localSheetId="53">'307'!$D$92</definedName>
    <definedName name="OSRRefD22_10x_0" localSheetId="55">'308'!$D$91</definedName>
    <definedName name="OSRRefD22_10x_0" localSheetId="68">'309'!$D$58</definedName>
    <definedName name="OSRRefD22_10x_0" localSheetId="67">'310'!$D$63</definedName>
    <definedName name="OSRRefD22_10x_0" localSheetId="75">'310 &amp; 491'!$D$73:$D$74</definedName>
    <definedName name="OSRRefD22_10x_0" localSheetId="56">'311'!$D$90</definedName>
    <definedName name="OSRRefD22_10x_0" localSheetId="69">'313'!$D$58:$D$61</definedName>
    <definedName name="OSRRefD22_10x_0" localSheetId="60">'315'!$D$106</definedName>
    <definedName name="OSRRefD22_10x_0" localSheetId="63">'316'!$D$66</definedName>
    <definedName name="OSRRefD22_10x_0" localSheetId="66">'317'!$D$90</definedName>
    <definedName name="OSRRefD22_10x_0" localSheetId="70">'321'!$D$60</definedName>
    <definedName name="OSRRefD22_10x_0" localSheetId="71">'322'!$D$56:$D$60</definedName>
    <definedName name="OSRRefD22_10x_0" localSheetId="72">'325'!$D$56:$D$57</definedName>
    <definedName name="OSRRefD22_10x_0" localSheetId="61">'326'!$D$86</definedName>
    <definedName name="OSRRefD22_10x_0" localSheetId="52">'330'!$D$104:$D$106</definedName>
    <definedName name="OSRRefD22_10x_0" localSheetId="59">'331'!$D$109</definedName>
    <definedName name="OSRRefD22_10x_0" localSheetId="62">'332'!$D$76</definedName>
    <definedName name="OSRRefD22_10x_0" localSheetId="77">'405'!$D$55</definedName>
    <definedName name="OSRRefD22_10x_0" localSheetId="78">'406'!$D$56:$D$60</definedName>
    <definedName name="OSRRefD22_10x_0" localSheetId="79">'411'!$D$56:$D$60</definedName>
    <definedName name="OSRRefD22_10x_0" localSheetId="80">'412'!$D$57:$D$61</definedName>
    <definedName name="OSRRefD22_10x_0" localSheetId="82">'413'!$D$58</definedName>
    <definedName name="OSRRefD22_10x_0" localSheetId="83">'414'!$D$54</definedName>
    <definedName name="OSRRefD22_10x_0" localSheetId="84">'415'!$D$56</definedName>
    <definedName name="OSRRefD22_10x_0" localSheetId="85">'418'!$D$58:$D$60</definedName>
    <definedName name="OSRRefD22_10x_0" localSheetId="87">'424'!$D$47</definedName>
    <definedName name="OSRRefD22_10x_0" localSheetId="88">'425'!$D$56</definedName>
    <definedName name="OSRRefD22_10x_0" localSheetId="92">'433'!$D$58</definedName>
    <definedName name="OSRRefD22_10x_0" localSheetId="94">'444'!$D$58</definedName>
    <definedName name="OSRRefD22_10x_0" localSheetId="95">'450'!$D$57:$D$59</definedName>
    <definedName name="OSRRefD22_10x_0" localSheetId="76">'491'!$D$68</definedName>
    <definedName name="OSRRefD22_10x_0" localSheetId="90">'492'!$D$61</definedName>
    <definedName name="OSRRefD22_10x_0" localSheetId="39">'Div 2'!$D$56</definedName>
    <definedName name="OSRRefD22_10x_0" localSheetId="47">'Div 3'!$D$193:$D$194</definedName>
    <definedName name="OSRRefD22_10x_0" localSheetId="74">'Div 4'!$D$69</definedName>
    <definedName name="OSRRefD22_10x_0" localSheetId="65">'Div 6'!$D$90</definedName>
    <definedName name="OSRRefD22_10x_0" localSheetId="2">Summary!$D$225:$D$226</definedName>
    <definedName name="OSRRefD22_11x_0" localSheetId="41">'201'!$D$53:$D$55</definedName>
    <definedName name="OSRRefD22_11x_0" localSheetId="42">'202'!$D$56</definedName>
    <definedName name="OSRRefD22_11x_0" localSheetId="43">'203'!$D$55</definedName>
    <definedName name="OSRRefD22_11x_0" localSheetId="48">'300'!$D$191</definedName>
    <definedName name="OSRRefD22_11x_0" localSheetId="49">'300 &amp; 317'!$D$215</definedName>
    <definedName name="OSRRefD22_11x_0" localSheetId="50">'301'!$D$58</definedName>
    <definedName name="OSRRefD22_11x_0" localSheetId="55">'308'!$D$93:$D$95</definedName>
    <definedName name="OSRRefD22_11x_0" localSheetId="67">'310'!$D$65</definedName>
    <definedName name="OSRRefD22_11x_0" localSheetId="75">'310 &amp; 491'!$D$76</definedName>
    <definedName name="OSRRefD22_11x_0" localSheetId="56">'311'!$D$92:$D$94</definedName>
    <definedName name="OSRRefD22_11x_0" localSheetId="69">'313'!$D$63</definedName>
    <definedName name="OSRRefD22_11x_0" localSheetId="71">'322'!$D$62</definedName>
    <definedName name="OSRRefD22_11x_0" localSheetId="72">'325'!$D$59:$D$61</definedName>
    <definedName name="OSRRefD22_11x_0" localSheetId="61">'326'!$D$88:$D$90</definedName>
    <definedName name="OSRRefD22_11x_0" localSheetId="52">'330'!$D$108</definedName>
    <definedName name="OSRRefD22_11x_0" localSheetId="59">'331'!$D$111</definedName>
    <definedName name="OSRRefD22_11x_0" localSheetId="62">'332'!$D$78</definedName>
    <definedName name="OSRRefD22_11x_0" localSheetId="77">'405'!$D$57:$D$59</definedName>
    <definedName name="OSRRefD22_11x_0" localSheetId="78">'406'!$D$62</definedName>
    <definedName name="OSRRefD22_11x_0" localSheetId="79">'411'!$D$62:$D$65</definedName>
    <definedName name="OSRRefD22_11x_0" localSheetId="80">'412'!$D$63</definedName>
    <definedName name="OSRRefD22_11x_0" localSheetId="83">'414'!$D$56</definedName>
    <definedName name="OSRRefD22_11x_0" localSheetId="84">'415'!$D$58:$D$59</definedName>
    <definedName name="OSRRefD22_11x_0" localSheetId="85">'418'!$D$62</definedName>
    <definedName name="OSRRefD22_11x_0" localSheetId="87">'424'!$D$49</definedName>
    <definedName name="OSRRefD22_11x_0" localSheetId="88">'425'!$D$58:$D$59</definedName>
    <definedName name="OSRRefD22_11x_0" localSheetId="92">'433'!$D$60:$D$62</definedName>
    <definedName name="OSRRefD22_11x_0" localSheetId="94">'444'!$D$60</definedName>
    <definedName name="OSRRefD22_11x_0" localSheetId="95">'450'!$D$61:$D$66</definedName>
    <definedName name="OSRRefD22_11x_0" localSheetId="76">'491'!$D$70</definedName>
    <definedName name="OSRRefD22_11x_0" localSheetId="90">'492'!$D$63</definedName>
    <definedName name="OSRRefD22_11x_0" localSheetId="39">'Div 2'!$D$58</definedName>
    <definedName name="OSRRefD22_11x_0" localSheetId="47">'Div 3'!$D$196</definedName>
    <definedName name="OSRRefD22_11x_0" localSheetId="74">'Div 4'!$D$71</definedName>
    <definedName name="OSRRefD22_11x_0" localSheetId="2">Summary!$D$228:$D$229</definedName>
    <definedName name="OSRRefD22_12x_0" localSheetId="41">'201'!$D$57</definedName>
    <definedName name="OSRRefD22_12x_0" localSheetId="43">'203'!$D$57:$D$60</definedName>
    <definedName name="OSRRefD22_12x_0" localSheetId="48">'300'!$D$193</definedName>
    <definedName name="OSRRefD22_12x_0" localSheetId="49">'300 &amp; 317'!$D$217</definedName>
    <definedName name="OSRRefD22_12x_0" localSheetId="50">'301'!$D$60</definedName>
    <definedName name="OSRRefD22_12x_0" localSheetId="55">'308'!$D$97:$D$98</definedName>
    <definedName name="OSRRefD22_12x_0" localSheetId="67">'310'!$D$67</definedName>
    <definedName name="OSRRefD22_12x_0" localSheetId="75">'310 &amp; 491'!$D$78</definedName>
    <definedName name="OSRRefD22_12x_0" localSheetId="56">'311'!$D$96:$D$97</definedName>
    <definedName name="OSRRefD22_12x_0" localSheetId="71">'322'!$D$64</definedName>
    <definedName name="OSRRefD22_12x_0" localSheetId="72">'325'!$D$63</definedName>
    <definedName name="OSRRefD22_12x_0" localSheetId="61">'326'!$D$92</definedName>
    <definedName name="OSRRefD22_12x_0" localSheetId="59">'331'!$D$113:$D$114</definedName>
    <definedName name="OSRRefD22_12x_0" localSheetId="77">'405'!$D$61</definedName>
    <definedName name="OSRRefD22_12x_0" localSheetId="78">'406'!$D$64</definedName>
    <definedName name="OSRRefD22_12x_0" localSheetId="79">'411'!$D$67</definedName>
    <definedName name="OSRRefD22_12x_0" localSheetId="80">'412'!$D$65</definedName>
    <definedName name="OSRRefD22_12x_0" localSheetId="83">'414'!$D$58:$D$64</definedName>
    <definedName name="OSRRefD22_12x_0" localSheetId="84">'415'!$D$61:$D$65</definedName>
    <definedName name="OSRRefD22_12x_0" localSheetId="85">'418'!$D$64:$D$67</definedName>
    <definedName name="OSRRefD22_12x_0" localSheetId="88">'425'!$D$61:$D$63</definedName>
    <definedName name="OSRRefD22_12x_0" localSheetId="92">'433'!$D$64:$D$70</definedName>
    <definedName name="OSRRefD22_12x_0" localSheetId="94">'444'!$D$62:$D$64</definedName>
    <definedName name="OSRRefD22_12x_0" localSheetId="95">'450'!$D$68</definedName>
    <definedName name="OSRRefD22_12x_0" localSheetId="76">'491'!$D$72</definedName>
    <definedName name="OSRRefD22_12x_0" localSheetId="90">'492'!$D$65</definedName>
    <definedName name="OSRRefD22_12x_0" localSheetId="39">'Div 2'!$D$60:$D$63</definedName>
    <definedName name="OSRRefD22_12x_0" localSheetId="47">'Div 3'!$D$198</definedName>
    <definedName name="OSRRefD22_12x_0" localSheetId="74">'Div 4'!$D$73</definedName>
    <definedName name="OSRRefD22_12x_0" localSheetId="2">Summary!$D$231</definedName>
    <definedName name="OSRRefD22_13x_0" localSheetId="41">'201'!$D$59</definedName>
    <definedName name="OSRRefD22_13x_0" localSheetId="43">'203'!$D$62</definedName>
    <definedName name="OSRRefD22_13x_0" localSheetId="48">'300'!$D$195</definedName>
    <definedName name="OSRRefD22_13x_0" localSheetId="49">'300 &amp; 317'!$D$219</definedName>
    <definedName name="OSRRefD22_13x_0" localSheetId="50">'301'!$D$62</definedName>
    <definedName name="OSRRefD22_13x_0" localSheetId="55">'308'!$D$100</definedName>
    <definedName name="OSRRefD22_13x_0" localSheetId="67">'310'!$D$69:$D$70</definedName>
    <definedName name="OSRRefD22_13x_0" localSheetId="75">'310 &amp; 491'!$D$80</definedName>
    <definedName name="OSRRefD22_13x_0" localSheetId="56">'311'!$D$99</definedName>
    <definedName name="OSRRefD22_13x_0" localSheetId="72">'325'!$D$65:$D$68</definedName>
    <definedName name="OSRRefD22_13x_0" localSheetId="61">'326'!$D$94:$D$95</definedName>
    <definedName name="OSRRefD22_13x_0" localSheetId="59">'331'!$D$116:$D$118</definedName>
    <definedName name="OSRRefD22_13x_0" localSheetId="77">'405'!$D$63:$D$69</definedName>
    <definedName name="OSRRefD22_13x_0" localSheetId="79">'411'!$D$69</definedName>
    <definedName name="OSRRefD22_13x_0" localSheetId="83">'414'!$D$66</definedName>
    <definedName name="OSRRefD22_13x_0" localSheetId="84">'415'!$D$67</definedName>
    <definedName name="OSRRefD22_13x_0" localSheetId="85">'418'!$D$69</definedName>
    <definedName name="OSRRefD22_13x_0" localSheetId="88">'425'!$D$65</definedName>
    <definedName name="OSRRefD22_13x_0" localSheetId="92">'433'!$D$72</definedName>
    <definedName name="OSRRefD22_13x_0" localSheetId="94">'444'!$D$66:$D$73</definedName>
    <definedName name="OSRRefD22_13x_0" localSheetId="95">'450'!$D$70</definedName>
    <definedName name="OSRRefD22_13x_0" localSheetId="76">'491'!$D$74:$D$75</definedName>
    <definedName name="OSRRefD22_13x_0" localSheetId="90">'492'!$D$67:$D$69</definedName>
    <definedName name="OSRRefD22_13x_0" localSheetId="39">'Div 2'!$D$65:$D$67</definedName>
    <definedName name="OSRRefD22_13x_0" localSheetId="47">'Div 3'!$D$200</definedName>
    <definedName name="OSRRefD22_13x_0" localSheetId="74">'Div 4'!$D$75</definedName>
    <definedName name="OSRRefD22_13x_0" localSheetId="2">Summary!$D$233</definedName>
    <definedName name="OSRRefD22_14x_0" localSheetId="43">'203'!$D$64</definedName>
    <definedName name="OSRRefD22_14x_0" localSheetId="48">'300'!$D$197</definedName>
    <definedName name="OSRRefD22_14x_0" localSheetId="49">'300 &amp; 317'!$D$221</definedName>
    <definedName name="OSRRefD22_14x_0" localSheetId="50">'301'!$D$64</definedName>
    <definedName name="OSRRefD22_14x_0" localSheetId="55">'308'!$D$102</definedName>
    <definedName name="OSRRefD22_14x_0" localSheetId="67">'310'!$D$72:$D$75</definedName>
    <definedName name="OSRRefD22_14x_0" localSheetId="75">'310 &amp; 491'!$D$82</definedName>
    <definedName name="OSRRefD22_14x_0" localSheetId="56">'311'!$D$101</definedName>
    <definedName name="OSRRefD22_14x_0" localSheetId="72">'325'!$D$70</definedName>
    <definedName name="OSRRefD22_14x_0" localSheetId="61">'326'!$D$97</definedName>
    <definedName name="OSRRefD22_14x_0" localSheetId="59">'331'!$D$120</definedName>
    <definedName name="OSRRefD22_14x_0" localSheetId="77">'405'!$D$71</definedName>
    <definedName name="OSRRefD22_14x_0" localSheetId="79">'411'!$D$71:$D$73</definedName>
    <definedName name="OSRRefD22_14x_0" localSheetId="84">'415'!$D$69:$D$75</definedName>
    <definedName name="OSRRefD22_14x_0" localSheetId="85">'418'!$D$71</definedName>
    <definedName name="OSRRefD22_14x_0" localSheetId="88">'425'!$D$67</definedName>
    <definedName name="OSRRefD22_14x_0" localSheetId="92">'433'!$D$74</definedName>
    <definedName name="OSRRefD22_14x_0" localSheetId="94">'444'!$D$75</definedName>
    <definedName name="OSRRefD22_14x_0" localSheetId="95">'450'!$D$72</definedName>
    <definedName name="OSRRefD22_14x_0" localSheetId="76">'491'!$D$77:$D$78</definedName>
    <definedName name="OSRRefD22_14x_0" localSheetId="90">'492'!$D$71:$D$78</definedName>
    <definedName name="OSRRefD22_14x_0" localSheetId="39">'Div 2'!$D$69:$D$70</definedName>
    <definedName name="OSRRefD22_14x_0" localSheetId="47">'Div 3'!$D$202</definedName>
    <definedName name="OSRRefD22_14x_0" localSheetId="74">'Div 4'!$D$77</definedName>
    <definedName name="OSRRefD22_14x_0" localSheetId="2">Summary!$D$235</definedName>
    <definedName name="OSRRefD22_15x_0" localSheetId="43">'203'!$D$66</definedName>
    <definedName name="OSRRefD22_15x_0" localSheetId="48">'300'!$D$199</definedName>
    <definedName name="OSRRefD22_15x_0" localSheetId="49">'300 &amp; 317'!$D$223</definedName>
    <definedName name="OSRRefD22_15x_0" localSheetId="50">'301'!$D$66:$D$69</definedName>
    <definedName name="OSRRefD22_15x_0" localSheetId="67">'310'!$D$77</definedName>
    <definedName name="OSRRefD22_15x_0" localSheetId="75">'310 &amp; 491'!$D$84:$D$85</definedName>
    <definedName name="OSRRefD22_15x_0" localSheetId="72">'325'!$D$72</definedName>
    <definedName name="OSRRefD22_15x_0" localSheetId="61">'326'!$D$99</definedName>
    <definedName name="OSRRefD22_15x_0" localSheetId="59">'331'!$D$122:$D$126</definedName>
    <definedName name="OSRRefD22_15x_0" localSheetId="77">'405'!$D$73</definedName>
    <definedName name="OSRRefD22_15x_0" localSheetId="79">'411'!$D$75</definedName>
    <definedName name="OSRRefD22_15x_0" localSheetId="84">'415'!$D$77</definedName>
    <definedName name="OSRRefD22_15x_0" localSheetId="92">'433'!$D$76</definedName>
    <definedName name="OSRRefD22_15x_0" localSheetId="94">'444'!$D$77</definedName>
    <definedName name="OSRRefD22_15x_0" localSheetId="76">'491'!$D$80:$D$84</definedName>
    <definedName name="OSRRefD22_15x_0" localSheetId="90">'492'!$D$80</definedName>
    <definedName name="OSRRefD22_15x_0" localSheetId="39">'Div 2'!$D$72</definedName>
    <definedName name="OSRRefD22_15x_0" localSheetId="47">'Div 3'!$D$204</definedName>
    <definedName name="OSRRefD22_15x_0" localSheetId="74">'Div 4'!$D$79:$D$80</definedName>
    <definedName name="OSRRefD22_15x_0" localSheetId="2">Summary!$D$237</definedName>
    <definedName name="OSRRefD22_16x_0" localSheetId="48">'300'!$D$201:$D$204</definedName>
    <definedName name="OSRRefD22_16x_0" localSheetId="49">'300 &amp; 317'!$D$225:$D$228</definedName>
    <definedName name="OSRRefD22_16x_0" localSheetId="50">'301'!$D$71:$D$73</definedName>
    <definedName name="OSRRefD22_16x_0" localSheetId="67">'310'!$D$79:$D$84</definedName>
    <definedName name="OSRRefD22_16x_0" localSheetId="75">'310 &amp; 491'!$D$87:$D$88</definedName>
    <definedName name="OSRRefD22_16x_0" localSheetId="61">'326'!$D$101</definedName>
    <definedName name="OSRRefD22_16x_0" localSheetId="59">'331'!$D$128</definedName>
    <definedName name="OSRRefD22_16x_0" localSheetId="77">'405'!$D$75</definedName>
    <definedName name="OSRRefD22_16x_0" localSheetId="84">'415'!$D$79</definedName>
    <definedName name="OSRRefD22_16x_0" localSheetId="94">'444'!$D$79</definedName>
    <definedName name="OSRRefD22_16x_0" localSheetId="76">'491'!$D$86</definedName>
    <definedName name="OSRRefD22_16x_0" localSheetId="90">'492'!$D$82</definedName>
    <definedName name="OSRRefD22_16x_0" localSheetId="39">'Div 2'!$D$74:$D$78</definedName>
    <definedName name="OSRRefD22_16x_0" localSheetId="47">'Div 3'!$D$206</definedName>
    <definedName name="OSRRefD22_16x_0" localSheetId="74">'Div 4'!$D$82:$D$83</definedName>
    <definedName name="OSRRefD22_16x_0" localSheetId="2">Summary!$D$239</definedName>
    <definedName name="OSRRefD22_17x_0" localSheetId="48">'300'!$D$206:$D$208</definedName>
    <definedName name="OSRRefD22_17x_0" localSheetId="49">'300 &amp; 317'!$D$230:$D$232</definedName>
    <definedName name="OSRRefD22_17x_0" localSheetId="50">'301'!$D$75</definedName>
    <definedName name="OSRRefD22_17x_0" localSheetId="67">'310'!$D$86</definedName>
    <definedName name="OSRRefD22_17x_0" localSheetId="75">'310 &amp; 491'!$D$90:$D$94</definedName>
    <definedName name="OSRRefD22_17x_0" localSheetId="59">'331'!$D$130</definedName>
    <definedName name="OSRRefD22_17x_0" localSheetId="76">'491'!$D$88:$D$96</definedName>
    <definedName name="OSRRefD22_17x_0" localSheetId="90">'492'!$D$84</definedName>
    <definedName name="OSRRefD22_17x_0" localSheetId="39">'Div 2'!$D$80:$D$81</definedName>
    <definedName name="OSRRefD22_17x_0" localSheetId="47">'Div 3'!$D$208:$D$211</definedName>
    <definedName name="OSRRefD22_17x_0" localSheetId="74">'Div 4'!$D$85:$D$89</definedName>
    <definedName name="OSRRefD22_17x_0" localSheetId="2">Summary!$D$241</definedName>
    <definedName name="OSRRefD22_18x_0" localSheetId="48">'300'!$D$210:$D$213</definedName>
    <definedName name="OSRRefD22_18x_0" localSheetId="49">'300 &amp; 317'!$D$234:$D$237</definedName>
    <definedName name="OSRRefD22_18x_0" localSheetId="50">'301'!$D$77:$D$82</definedName>
    <definedName name="OSRRefD22_18x_0" localSheetId="67">'310'!$D$88</definedName>
    <definedName name="OSRRefD22_18x_0" localSheetId="75">'310 &amp; 491'!$D$96</definedName>
    <definedName name="OSRRefD22_18x_0" localSheetId="59">'331'!$D$132</definedName>
    <definedName name="OSRRefD22_18x_0" localSheetId="76">'491'!$D$98</definedName>
    <definedName name="OSRRefD22_18x_0" localSheetId="39">'Div 2'!$D$83</definedName>
    <definedName name="OSRRefD22_18x_0" localSheetId="47">'Div 3'!$D$213:$D$215</definedName>
    <definedName name="OSRRefD22_18x_0" localSheetId="74">'Div 4'!$D$91</definedName>
    <definedName name="OSRRefD22_18x_0" localSheetId="2">Summary!$D$243:$D$246</definedName>
    <definedName name="OSRRefD22_19x_0" localSheetId="48">'300'!$D$215:$D$216</definedName>
    <definedName name="OSRRefD22_19x_0" localSheetId="49">'300 &amp; 317'!$D$239:$D$240</definedName>
    <definedName name="OSRRefD22_19x_0" localSheetId="50">'301'!$D$84</definedName>
    <definedName name="OSRRefD22_19x_0" localSheetId="75">'310 &amp; 491'!$D$98:$D$106</definedName>
    <definedName name="OSRRefD22_19x_0" localSheetId="59">'331'!$D$134</definedName>
    <definedName name="OSRRefD22_19x_0" localSheetId="76">'491'!$D$100</definedName>
    <definedName name="OSRRefD22_19x_0" localSheetId="39">'Div 2'!$D$85:$D$86</definedName>
    <definedName name="OSRRefD22_19x_0" localSheetId="47">'Div 3'!$D$217:$D$221</definedName>
    <definedName name="OSRRefD22_19x_0" localSheetId="74">'Div 4'!$D$93:$D$101</definedName>
    <definedName name="OSRRefD22_19x_0" localSheetId="2">Summary!$D$248:$D$250</definedName>
    <definedName name="OSRRefD22_1x_0" localSheetId="40">'200'!$D$22</definedName>
    <definedName name="OSRRefD22_1x_0" localSheetId="41">'201'!$D$29:$D$31</definedName>
    <definedName name="OSRRefD22_1x_0" localSheetId="42">'202'!$D$29:$D$32</definedName>
    <definedName name="OSRRefD22_1x_0" localSheetId="43">'203'!$D$30:$D$33</definedName>
    <definedName name="OSRRefD22_1x_0" localSheetId="44">'204'!$D$30:$D$34</definedName>
    <definedName name="OSRRefD22_1x_0" localSheetId="45">'205'!$D$29</definedName>
    <definedName name="OSRRefD22_1x_0" localSheetId="46">'206'!$D$28:$D$31</definedName>
    <definedName name="OSRRefD22_1x_0" localSheetId="48">'300'!$D$162:$D$168</definedName>
    <definedName name="OSRRefD22_1x_0" localSheetId="49">'300 &amp; 317'!$D$186:$D$192</definedName>
    <definedName name="OSRRefD22_1x_0" localSheetId="50">'301'!$D$30:$D$36</definedName>
    <definedName name="OSRRefD22_1x_0" localSheetId="51">'306'!$D$30:$D$35</definedName>
    <definedName name="OSRRefD22_1x_0" localSheetId="53">'307'!$D$67:$D$70</definedName>
    <definedName name="OSRRefD22_1x_0" localSheetId="55">'308'!$D$67:$D$72</definedName>
    <definedName name="OSRRefD22_1x_0" localSheetId="68">'309'!$D$33:$D$36</definedName>
    <definedName name="OSRRefD22_1x_0" localSheetId="67">'310'!$D$39:$D$44</definedName>
    <definedName name="OSRRefD22_1x_0" localSheetId="75">'310 &amp; 491'!$D$47:$D$53</definedName>
    <definedName name="OSRRefD22_1x_0" localSheetId="56">'311'!$D$66:$D$71</definedName>
    <definedName name="OSRRefD22_1x_0" localSheetId="69">'313'!$D$36:$D$40</definedName>
    <definedName name="OSRRefD22_1x_0" localSheetId="54">'314'!$D$61:$D$62</definedName>
    <definedName name="OSRRefD22_1x_0" localSheetId="60">'315'!$D$80:$D$84</definedName>
    <definedName name="OSRRefD22_1x_0" localSheetId="63">'316'!$D$41:$D$43</definedName>
    <definedName name="OSRRefD22_1x_0" localSheetId="66">'317'!$D$65:$D$69</definedName>
    <definedName name="OSRRefD22_1x_0" localSheetId="64">'320'!$D$36:$D$38</definedName>
    <definedName name="OSRRefD22_1x_0" localSheetId="70">'321'!$D$33:$D$37</definedName>
    <definedName name="OSRRefD22_1x_0" localSheetId="71">'322'!$D$33:$D$35</definedName>
    <definedName name="OSRRefD22_1x_0" localSheetId="72">'325'!$D$33:$D$37</definedName>
    <definedName name="OSRRefD22_1x_0" localSheetId="61">'326'!$D$64:$D$68</definedName>
    <definedName name="OSRRefD22_1x_0" localSheetId="52">'330'!$D$81:$D$84</definedName>
    <definedName name="OSRRefD22_1x_0" localSheetId="59">'331'!$D$87:$D$91</definedName>
    <definedName name="OSRRefD22_1x_0" localSheetId="62">'332'!$D$49:$D$52</definedName>
    <definedName name="OSRRefD22_1x_0" localSheetId="77">'405'!$D$33:$D$35</definedName>
    <definedName name="OSRRefD22_1x_0" localSheetId="78">'406'!$D$33:$D$37</definedName>
    <definedName name="OSRRefD22_1x_0" localSheetId="79">'411'!$D$30:$D$35</definedName>
    <definedName name="OSRRefD22_1x_0" localSheetId="80">'412'!$D$32:$D$37</definedName>
    <definedName name="OSRRefD22_1x_0" localSheetId="82">'413'!$D$33:$D$35</definedName>
    <definedName name="OSRRefD22_1x_0" localSheetId="83">'414'!$D$32:$D$35</definedName>
    <definedName name="OSRRefD22_1x_0" localSheetId="84">'415'!$D$33:$D$37</definedName>
    <definedName name="OSRRefD22_1x_0" localSheetId="85">'418'!$D$33:$D$37</definedName>
    <definedName name="OSRRefD22_1x_0" localSheetId="86">'423'!$D$30</definedName>
    <definedName name="OSRRefD22_1x_0" localSheetId="87">'424'!$D$25:$D$28</definedName>
    <definedName name="OSRRefD22_1x_0" localSheetId="88">'425'!$D$33:$D$37</definedName>
    <definedName name="OSRRefD22_1x_0" localSheetId="91">'430'!$D$29</definedName>
    <definedName name="OSRRefD22_1x_0" localSheetId="92">'433'!$D$35:$D$40</definedName>
    <definedName name="OSRRefD22_1x_0" localSheetId="93">'435'!$D$28:$D$29</definedName>
    <definedName name="OSRRefD22_1x_0" localSheetId="94">'444'!$D$35:$D$40</definedName>
    <definedName name="OSRRefD22_1x_0" localSheetId="95">'450'!$D$34:$D$39</definedName>
    <definedName name="OSRRefD22_1x_0" localSheetId="89">'455'!$D$28:$D$29</definedName>
    <definedName name="OSRRefD22_1x_0" localSheetId="76">'491'!$D$41:$D$47</definedName>
    <definedName name="OSRRefD22_1x_0" localSheetId="90">'492'!$D$37:$D$43</definedName>
    <definedName name="OSRRefD22_1x_0" localSheetId="97">'501'!$D$31:$D$35</definedName>
    <definedName name="OSRRefD22_1x_0" localSheetId="39">'Div 2'!$D$31:$D$37</definedName>
    <definedName name="OSRRefD22_1x_0" localSheetId="47">'Div 3'!$D$167:$D$173</definedName>
    <definedName name="OSRRefD22_1x_0" localSheetId="74">'Div 4'!$D$42:$D$48</definedName>
    <definedName name="OSRRefD22_1x_0" localSheetId="96">'Div 5'!$D$31:$D$35</definedName>
    <definedName name="OSRRefD22_1x_0" localSheetId="65">'Div 6'!$D$65:$D$69</definedName>
    <definedName name="OSRRefD22_1x_0" localSheetId="2">Summary!$D$198:$D$204</definedName>
    <definedName name="OSRRefD22_20x_0" localSheetId="48">'300'!$D$218:$D$224</definedName>
    <definedName name="OSRRefD22_20x_0" localSheetId="49">'300 &amp; 317'!$D$242:$D$248</definedName>
    <definedName name="OSRRefD22_20x_0" localSheetId="50">'301'!$D$86</definedName>
    <definedName name="OSRRefD22_20x_0" localSheetId="75">'310 &amp; 491'!$D$108</definedName>
    <definedName name="OSRRefD22_20x_0" localSheetId="76">'491'!$D$102:$D$104</definedName>
    <definedName name="OSRRefD22_20x_0" localSheetId="47">'Div 3'!$D$223:$D$224</definedName>
    <definedName name="OSRRefD22_20x_0" localSheetId="74">'Div 4'!$D$103</definedName>
    <definedName name="OSRRefD22_20x_0" localSheetId="2">Summary!$D$252:$D$256</definedName>
    <definedName name="OSRRefD22_21x_0" localSheetId="48">'300'!$D$226:$D$227</definedName>
    <definedName name="OSRRefD22_21x_0" localSheetId="49">'300 &amp; 317'!$D$250:$D$251</definedName>
    <definedName name="OSRRefD22_21x_0" localSheetId="50">'301'!$D$88:$D$89</definedName>
    <definedName name="OSRRefD22_21x_0" localSheetId="75">'310 &amp; 491'!$D$110</definedName>
    <definedName name="OSRRefD22_21x_0" localSheetId="76">'491'!$D$106</definedName>
    <definedName name="OSRRefD22_21x_0" localSheetId="47">'Div 3'!$D$226:$D$232</definedName>
    <definedName name="OSRRefD22_21x_0" localSheetId="74">'Div 4'!$D$105</definedName>
    <definedName name="OSRRefD22_21x_0" localSheetId="2">Summary!$D$258:$D$259</definedName>
    <definedName name="OSRRefD22_22x_0" localSheetId="48">'300'!$D$229</definedName>
    <definedName name="OSRRefD22_22x_0" localSheetId="49">'300 &amp; 317'!$D$253</definedName>
    <definedName name="OSRRefD22_22x_0" localSheetId="50">'301'!$D$91</definedName>
    <definedName name="OSRRefD22_22x_0" localSheetId="75">'310 &amp; 491'!$D$112:$D$114</definedName>
    <definedName name="OSRRefD22_22x_0" localSheetId="47">'Div 3'!$D$234:$D$235</definedName>
    <definedName name="OSRRefD22_22x_0" localSheetId="74">'Div 4'!$D$107:$D$109</definedName>
    <definedName name="OSRRefD22_22x_0" localSheetId="2">Summary!$D$261:$D$269</definedName>
    <definedName name="OSRRefD22_23x_0" localSheetId="48">'300'!$D$231:$D$233</definedName>
    <definedName name="OSRRefD22_23x_0" localSheetId="49">'300 &amp; 317'!$D$255:$D$257</definedName>
    <definedName name="OSRRefD22_23x_0" localSheetId="75">'310 &amp; 491'!$D$116</definedName>
    <definedName name="OSRRefD22_23x_0" localSheetId="47">'Div 3'!$D$237</definedName>
    <definedName name="OSRRefD22_23x_0" localSheetId="74">'Div 4'!$D$111</definedName>
    <definedName name="OSRRefD22_23x_0" localSheetId="2">Summary!$D$271:$D$272</definedName>
    <definedName name="OSRRefD22_24x_0" localSheetId="48">'300'!$D$235</definedName>
    <definedName name="OSRRefD22_24x_0" localSheetId="49">'300 &amp; 317'!$D$259</definedName>
    <definedName name="OSRRefD22_24x_0" localSheetId="47">'Div 3'!$D$239:$D$241</definedName>
    <definedName name="OSRRefD22_24x_0" localSheetId="2">Summary!$D$274</definedName>
    <definedName name="OSRRefD22_25x_0" localSheetId="47">'Div 3'!$D$243</definedName>
    <definedName name="OSRRefD22_25x_0" localSheetId="2">Summary!$D$276:$D$278</definedName>
    <definedName name="OSRRefD22_26x_0" localSheetId="2">Summary!$D$280</definedName>
    <definedName name="OSRRefD22_2x_0" localSheetId="40">'200'!$D$24</definedName>
    <definedName name="OSRRefD22_2x_0" localSheetId="41">'201'!$D$33</definedName>
    <definedName name="OSRRefD22_2x_0" localSheetId="42">'202'!$D$34</definedName>
    <definedName name="OSRRefD22_2x_0" localSheetId="43">'203'!$D$35</definedName>
    <definedName name="OSRRefD22_2x_0" localSheetId="44">'204'!$D$36</definedName>
    <definedName name="OSRRefD22_2x_0" localSheetId="45">'205'!$D$31</definedName>
    <definedName name="OSRRefD22_2x_0" localSheetId="46">'206'!$D$33</definedName>
    <definedName name="OSRRefD22_2x_0" localSheetId="48">'300'!$D$170</definedName>
    <definedName name="OSRRefD22_2x_0" localSheetId="49">'300 &amp; 317'!$D$194</definedName>
    <definedName name="OSRRefD22_2x_0" localSheetId="50">'301'!$D$38</definedName>
    <definedName name="OSRRefD22_2x_0" localSheetId="51">'306'!$D$37</definedName>
    <definedName name="OSRRefD22_2x_0" localSheetId="53">'307'!$D$72</definedName>
    <definedName name="OSRRefD22_2x_0" localSheetId="55">'308'!$D$74</definedName>
    <definedName name="OSRRefD22_2x_0" localSheetId="68">'309'!$D$38</definedName>
    <definedName name="OSRRefD22_2x_0" localSheetId="67">'310'!$D$46</definedName>
    <definedName name="OSRRefD22_2x_0" localSheetId="75">'310 &amp; 491'!$D$55</definedName>
    <definedName name="OSRRefD22_2x_0" localSheetId="56">'311'!$D$73</definedName>
    <definedName name="OSRRefD22_2x_0" localSheetId="69">'313'!$D$42</definedName>
    <definedName name="OSRRefD22_2x_0" localSheetId="54">'314'!$D$64:$D$65</definedName>
    <definedName name="OSRRefD22_2x_0" localSheetId="60">'315'!$D$86</definedName>
    <definedName name="OSRRefD22_2x_0" localSheetId="63">'316'!$D$45</definedName>
    <definedName name="OSRRefD22_2x_0" localSheetId="66">'317'!$D$71</definedName>
    <definedName name="OSRRefD22_2x_0" localSheetId="64">'320'!$D$40</definedName>
    <definedName name="OSRRefD22_2x_0" localSheetId="70">'321'!$D$39</definedName>
    <definedName name="OSRRefD22_2x_0" localSheetId="71">'322'!$D$37</definedName>
    <definedName name="OSRRefD22_2x_0" localSheetId="72">'325'!$D$39</definedName>
    <definedName name="OSRRefD22_2x_0" localSheetId="61">'326'!$D$70</definedName>
    <definedName name="OSRRefD22_2x_0" localSheetId="52">'330'!$D$86</definedName>
    <definedName name="OSRRefD22_2x_0" localSheetId="59">'331'!$D$93</definedName>
    <definedName name="OSRRefD22_2x_0" localSheetId="62">'332'!$D$54</definedName>
    <definedName name="OSRRefD22_2x_0" localSheetId="77">'405'!$D$37</definedName>
    <definedName name="OSRRefD22_2x_0" localSheetId="78">'406'!$D$39</definedName>
    <definedName name="OSRRefD22_2x_0" localSheetId="79">'411'!$D$37</definedName>
    <definedName name="OSRRefD22_2x_0" localSheetId="80">'412'!$D$39</definedName>
    <definedName name="OSRRefD22_2x_0" localSheetId="82">'413'!$D$37</definedName>
    <definedName name="OSRRefD22_2x_0" localSheetId="83">'414'!$D$37</definedName>
    <definedName name="OSRRefD22_2x_0" localSheetId="84">'415'!$D$39</definedName>
    <definedName name="OSRRefD22_2x_0" localSheetId="85">'418'!$D$39</definedName>
    <definedName name="OSRRefD22_2x_0" localSheetId="86">'423'!$D$32</definedName>
    <definedName name="OSRRefD22_2x_0" localSheetId="87">'424'!$D$30</definedName>
    <definedName name="OSRRefD22_2x_0" localSheetId="88">'425'!$D$39</definedName>
    <definedName name="OSRRefD22_2x_0" localSheetId="91">'430'!$D$31</definedName>
    <definedName name="OSRRefD22_2x_0" localSheetId="92">'433'!$D$42</definedName>
    <definedName name="OSRRefD22_2x_0" localSheetId="93">'435'!$D$31</definedName>
    <definedName name="OSRRefD22_2x_0" localSheetId="94">'444'!$D$42</definedName>
    <definedName name="OSRRefD22_2x_0" localSheetId="95">'450'!$D$41</definedName>
    <definedName name="OSRRefD22_2x_0" localSheetId="76">'491'!$D$49</definedName>
    <definedName name="OSRRefD22_2x_0" localSheetId="90">'492'!$D$45</definedName>
    <definedName name="OSRRefD22_2x_0" localSheetId="97">'501'!$D$37</definedName>
    <definedName name="OSRRefD22_2x_0" localSheetId="39">'Div 2'!$D$39</definedName>
    <definedName name="OSRRefD22_2x_0" localSheetId="47">'Div 3'!$D$175</definedName>
    <definedName name="OSRRefD22_2x_0" localSheetId="74">'Div 4'!$D$50</definedName>
    <definedName name="OSRRefD22_2x_0" localSheetId="96">'Div 5'!$D$37</definedName>
    <definedName name="OSRRefD22_2x_0" localSheetId="65">'Div 6'!$D$71</definedName>
    <definedName name="OSRRefD22_2x_0" localSheetId="2">Summary!$D$206</definedName>
    <definedName name="OSRRefD22_3x_0" localSheetId="40">'200'!$D$26</definedName>
    <definedName name="OSRRefD22_3x_0" localSheetId="41">'201'!$D$35</definedName>
    <definedName name="OSRRefD22_3x_0" localSheetId="42">'202'!$D$36</definedName>
    <definedName name="OSRRefD22_3x_0" localSheetId="43">'203'!$D$37</definedName>
    <definedName name="OSRRefD22_3x_0" localSheetId="44">'204'!$D$38</definedName>
    <definedName name="OSRRefD22_3x_0" localSheetId="45">'205'!$D$33:$D$34</definedName>
    <definedName name="OSRRefD22_3x_0" localSheetId="46">'206'!$D$35</definedName>
    <definedName name="OSRRefD22_3x_0" localSheetId="48">'300'!$D$172</definedName>
    <definedName name="OSRRefD22_3x_0" localSheetId="49">'300 &amp; 317'!$D$196</definedName>
    <definedName name="OSRRefD22_3x_0" localSheetId="50">'301'!$D$40</definedName>
    <definedName name="OSRRefD22_3x_0" localSheetId="51">'306'!$D$39</definedName>
    <definedName name="OSRRefD22_3x_0" localSheetId="53">'307'!$D$74</definedName>
    <definedName name="OSRRefD22_3x_0" localSheetId="55">'308'!$D$76:$D$77</definedName>
    <definedName name="OSRRefD22_3x_0" localSheetId="68">'309'!$D$40</definedName>
    <definedName name="OSRRefD22_3x_0" localSheetId="67">'310'!$D$48</definedName>
    <definedName name="OSRRefD22_3x_0" localSheetId="75">'310 &amp; 491'!$D$57</definedName>
    <definedName name="OSRRefD22_3x_0" localSheetId="56">'311'!$D$75:$D$76</definedName>
    <definedName name="OSRRefD22_3x_0" localSheetId="69">'313'!$D$44</definedName>
    <definedName name="OSRRefD22_3x_0" localSheetId="54">'314'!$D$67</definedName>
    <definedName name="OSRRefD22_3x_0" localSheetId="60">'315'!$D$88</definedName>
    <definedName name="OSRRefD22_3x_0" localSheetId="63">'316'!$D$47</definedName>
    <definedName name="OSRRefD22_3x_0" localSheetId="66">'317'!$D$73</definedName>
    <definedName name="OSRRefD22_3x_0" localSheetId="64">'320'!$D$42:$D$43</definedName>
    <definedName name="OSRRefD22_3x_0" localSheetId="70">'321'!$D$41</definedName>
    <definedName name="OSRRefD22_3x_0" localSheetId="71">'322'!$D$39</definedName>
    <definedName name="OSRRefD22_3x_0" localSheetId="72">'325'!$D$41</definedName>
    <definedName name="OSRRefD22_3x_0" localSheetId="61">'326'!$D$72</definedName>
    <definedName name="OSRRefD22_3x_0" localSheetId="52">'330'!$D$88</definedName>
    <definedName name="OSRRefD22_3x_0" localSheetId="59">'331'!$D$95</definedName>
    <definedName name="OSRRefD22_3x_0" localSheetId="62">'332'!$D$56</definedName>
    <definedName name="OSRRefD22_3x_0" localSheetId="77">'405'!$D$39</definedName>
    <definedName name="OSRRefD22_3x_0" localSheetId="78">'406'!$D$41</definedName>
    <definedName name="OSRRefD22_3x_0" localSheetId="79">'411'!$D$39</definedName>
    <definedName name="OSRRefD22_3x_0" localSheetId="80">'412'!$D$41</definedName>
    <definedName name="OSRRefD22_3x_0" localSheetId="82">'413'!$D$39</definedName>
    <definedName name="OSRRefD22_3x_0" localSheetId="83">'414'!$D$39</definedName>
    <definedName name="OSRRefD22_3x_0" localSheetId="84">'415'!$D$41</definedName>
    <definedName name="OSRRefD22_3x_0" localSheetId="85">'418'!$D$41</definedName>
    <definedName name="OSRRefD22_3x_0" localSheetId="86">'423'!$D$34</definedName>
    <definedName name="OSRRefD22_3x_0" localSheetId="87">'424'!$D$32</definedName>
    <definedName name="OSRRefD22_3x_0" localSheetId="88">'425'!$D$41</definedName>
    <definedName name="OSRRefD22_3x_0" localSheetId="91">'430'!$D$33:$D$34</definedName>
    <definedName name="OSRRefD22_3x_0" localSheetId="92">'433'!$D$44</definedName>
    <definedName name="OSRRefD22_3x_0" localSheetId="93">'435'!$D$33</definedName>
    <definedName name="OSRRefD22_3x_0" localSheetId="94">'444'!$D$44</definedName>
    <definedName name="OSRRefD22_3x_0" localSheetId="95">'450'!$D$43</definedName>
    <definedName name="OSRRefD22_3x_0" localSheetId="76">'491'!$D$51</definedName>
    <definedName name="OSRRefD22_3x_0" localSheetId="90">'492'!$D$47</definedName>
    <definedName name="OSRRefD22_3x_0" localSheetId="97">'501'!$D$39</definedName>
    <definedName name="OSRRefD22_3x_0" localSheetId="39">'Div 2'!$D$41</definedName>
    <definedName name="OSRRefD22_3x_0" localSheetId="47">'Div 3'!$D$177</definedName>
    <definedName name="OSRRefD22_3x_0" localSheetId="74">'Div 4'!$D$52</definedName>
    <definedName name="OSRRefD22_3x_0" localSheetId="96">'Div 5'!$D$39</definedName>
    <definedName name="OSRRefD22_3x_0" localSheetId="65">'Div 6'!$D$73</definedName>
    <definedName name="OSRRefD22_3x_0" localSheetId="2">Summary!$D$208</definedName>
    <definedName name="OSRRefD22_4x_0" localSheetId="41">'201'!$D$37</definedName>
    <definedName name="OSRRefD22_4x_0" localSheetId="42">'202'!$D$38:$D$39</definedName>
    <definedName name="OSRRefD22_4x_0" localSheetId="43">'203'!$D$39</definedName>
    <definedName name="OSRRefD22_4x_0" localSheetId="44">'204'!$D$40:$D$42</definedName>
    <definedName name="OSRRefD22_4x_0" localSheetId="45">'205'!$D$36</definedName>
    <definedName name="OSRRefD22_4x_0" localSheetId="46">'206'!$D$37:$D$38</definedName>
    <definedName name="OSRRefD22_4x_0" localSheetId="48">'300'!$D$174</definedName>
    <definedName name="OSRRefD22_4x_0" localSheetId="49">'300 &amp; 317'!$D$198</definedName>
    <definedName name="OSRRefD22_4x_0" localSheetId="50">'301'!$D$42</definedName>
    <definedName name="OSRRefD22_4x_0" localSheetId="51">'306'!$D$41</definedName>
    <definedName name="OSRRefD22_4x_0" localSheetId="53">'307'!$D$76:$D$77</definedName>
    <definedName name="OSRRefD22_4x_0" localSheetId="55">'308'!$D$79</definedName>
    <definedName name="OSRRefD22_4x_0" localSheetId="68">'309'!$D$42</definedName>
    <definedName name="OSRRefD22_4x_0" localSheetId="67">'310'!$D$50</definedName>
    <definedName name="OSRRefD22_4x_0" localSheetId="75">'310 &amp; 491'!$D$59</definedName>
    <definedName name="OSRRefD22_4x_0" localSheetId="56">'311'!$D$78</definedName>
    <definedName name="OSRRefD22_4x_0" localSheetId="69">'313'!$D$46</definedName>
    <definedName name="OSRRefD22_4x_0" localSheetId="54">'314'!$D$69</definedName>
    <definedName name="OSRRefD22_4x_0" localSheetId="60">'315'!$D$90</definedName>
    <definedName name="OSRRefD22_4x_0" localSheetId="63">'316'!$D$49</definedName>
    <definedName name="OSRRefD22_4x_0" localSheetId="66">'317'!$D$75</definedName>
    <definedName name="OSRRefD22_4x_0" localSheetId="64">'320'!$D$45</definedName>
    <definedName name="OSRRefD22_4x_0" localSheetId="70">'321'!$D$43</definedName>
    <definedName name="OSRRefD22_4x_0" localSheetId="71">'322'!$D$41</definedName>
    <definedName name="OSRRefD22_4x_0" localSheetId="72">'325'!$D$43</definedName>
    <definedName name="OSRRefD22_4x_0" localSheetId="61">'326'!$D$74</definedName>
    <definedName name="OSRRefD22_4x_0" localSheetId="52">'330'!$D$90:$D$91</definedName>
    <definedName name="OSRRefD22_4x_0" localSheetId="59">'331'!$D$97</definedName>
    <definedName name="OSRRefD22_4x_0" localSheetId="62">'332'!$D$58</definedName>
    <definedName name="OSRRefD22_4x_0" localSheetId="77">'405'!$D$41</definedName>
    <definedName name="OSRRefD22_4x_0" localSheetId="78">'406'!$D$43</definedName>
    <definedName name="OSRRefD22_4x_0" localSheetId="79">'411'!$D$41:$D$43</definedName>
    <definedName name="OSRRefD22_4x_0" localSheetId="80">'412'!$D$43</definedName>
    <definedName name="OSRRefD22_4x_0" localSheetId="82">'413'!$D$41</definedName>
    <definedName name="OSRRefD22_4x_0" localSheetId="83">'414'!$D$41</definedName>
    <definedName name="OSRRefD22_4x_0" localSheetId="84">'415'!$D$43</definedName>
    <definedName name="OSRRefD22_4x_0" localSheetId="85">'418'!$D$43</definedName>
    <definedName name="OSRRefD22_4x_0" localSheetId="86">'423'!$D$36</definedName>
    <definedName name="OSRRefD22_4x_0" localSheetId="87">'424'!$D$34</definedName>
    <definedName name="OSRRefD22_4x_0" localSheetId="88">'425'!$D$43</definedName>
    <definedName name="OSRRefD22_4x_0" localSheetId="91">'430'!$D$36</definedName>
    <definedName name="OSRRefD22_4x_0" localSheetId="92">'433'!$D$46</definedName>
    <definedName name="OSRRefD22_4x_0" localSheetId="93">'435'!$D$35</definedName>
    <definedName name="OSRRefD22_4x_0" localSheetId="94">'444'!$D$46</definedName>
    <definedName name="OSRRefD22_4x_0" localSheetId="95">'450'!$D$45</definedName>
    <definedName name="OSRRefD22_4x_0" localSheetId="76">'491'!$D$53</definedName>
    <definedName name="OSRRefD22_4x_0" localSheetId="90">'492'!$D$49</definedName>
    <definedName name="OSRRefD22_4x_0" localSheetId="97">'501'!$D$41</definedName>
    <definedName name="OSRRefD22_4x_0" localSheetId="39">'Div 2'!$D$43</definedName>
    <definedName name="OSRRefD22_4x_0" localSheetId="47">'Div 3'!$D$179</definedName>
    <definedName name="OSRRefD22_4x_0" localSheetId="74">'Div 4'!$D$54</definedName>
    <definedName name="OSRRefD22_4x_0" localSheetId="96">'Div 5'!$D$41</definedName>
    <definedName name="OSRRefD22_4x_0" localSheetId="65">'Div 6'!$D$75</definedName>
    <definedName name="OSRRefD22_4x_0" localSheetId="2">Summary!$D$210</definedName>
    <definedName name="OSRRefD22_5x_0" localSheetId="41">'201'!$D$39</definedName>
    <definedName name="OSRRefD22_5x_0" localSheetId="42">'202'!$D$41</definedName>
    <definedName name="OSRRefD22_5x_0" localSheetId="43">'203'!$D$41</definedName>
    <definedName name="OSRRefD22_5x_0" localSheetId="44">'204'!$D$44</definedName>
    <definedName name="OSRRefD22_5x_0" localSheetId="45">'205'!$D$38</definedName>
    <definedName name="OSRRefD22_5x_0" localSheetId="46">'206'!$D$40</definedName>
    <definedName name="OSRRefD22_5x_0" localSheetId="48">'300'!$D$176:$D$177</definedName>
    <definedName name="OSRRefD22_5x_0" localSheetId="49">'300 &amp; 317'!$D$200:$D$201</definedName>
    <definedName name="OSRRefD22_5x_0" localSheetId="50">'301'!$D$44:$D$45</definedName>
    <definedName name="OSRRefD22_5x_0" localSheetId="53">'307'!$D$79</definedName>
    <definedName name="OSRRefD22_5x_0" localSheetId="55">'308'!$D$81</definedName>
    <definedName name="OSRRefD22_5x_0" localSheetId="68">'309'!$D$44</definedName>
    <definedName name="OSRRefD22_5x_0" localSheetId="67">'310'!$D$52:$D$53</definedName>
    <definedName name="OSRRefD22_5x_0" localSheetId="75">'310 &amp; 491'!$D$61:$D$63</definedName>
    <definedName name="OSRRefD22_5x_0" localSheetId="56">'311'!$D$80</definedName>
    <definedName name="OSRRefD22_5x_0" localSheetId="69">'313'!$D$48</definedName>
    <definedName name="OSRRefD22_5x_0" localSheetId="60">'315'!$D$92</definedName>
    <definedName name="OSRRefD22_5x_0" localSheetId="63">'316'!$D$51:$D$52</definedName>
    <definedName name="OSRRefD22_5x_0" localSheetId="66">'317'!$D$77:$D$78</definedName>
    <definedName name="OSRRefD22_5x_0" localSheetId="64">'320'!$D$47:$D$48</definedName>
    <definedName name="OSRRefD22_5x_0" localSheetId="70">'321'!$D$45</definedName>
    <definedName name="OSRRefD22_5x_0" localSheetId="71">'322'!$D$43</definedName>
    <definedName name="OSRRefD22_5x_0" localSheetId="72">'325'!$D$45:$D$46</definedName>
    <definedName name="OSRRefD22_5x_0" localSheetId="61">'326'!$D$76</definedName>
    <definedName name="OSRRefD22_5x_0" localSheetId="52">'330'!$D$93</definedName>
    <definedName name="OSRRefD22_5x_0" localSheetId="59">'331'!$D$99</definedName>
    <definedName name="OSRRefD22_5x_0" localSheetId="62">'332'!$D$60:$D$61</definedName>
    <definedName name="OSRRefD22_5x_0" localSheetId="77">'405'!$D$43:$D$44</definedName>
    <definedName name="OSRRefD22_5x_0" localSheetId="78">'406'!$D$45</definedName>
    <definedName name="OSRRefD22_5x_0" localSheetId="79">'411'!$D$45</definedName>
    <definedName name="OSRRefD22_5x_0" localSheetId="80">'412'!$D$45</definedName>
    <definedName name="OSRRefD22_5x_0" localSheetId="82">'413'!$D$43</definedName>
    <definedName name="OSRRefD22_5x_0" localSheetId="83">'414'!$D$43</definedName>
    <definedName name="OSRRefD22_5x_0" localSheetId="84">'415'!$D$45:$D$46</definedName>
    <definedName name="OSRRefD22_5x_0" localSheetId="85">'418'!$D$45:$D$46</definedName>
    <definedName name="OSRRefD22_5x_0" localSheetId="86">'423'!$D$38</definedName>
    <definedName name="OSRRefD22_5x_0" localSheetId="87">'424'!$D$36</definedName>
    <definedName name="OSRRefD22_5x_0" localSheetId="88">'425'!$D$45</definedName>
    <definedName name="OSRRefD22_5x_0" localSheetId="91">'430'!$D$38</definedName>
    <definedName name="OSRRefD22_5x_0" localSheetId="92">'433'!$D$48</definedName>
    <definedName name="OSRRefD22_5x_0" localSheetId="93">'435'!$D$37:$D$38</definedName>
    <definedName name="OSRRefD22_5x_0" localSheetId="94">'444'!$D$48</definedName>
    <definedName name="OSRRefD22_5x_0" localSheetId="95">'450'!$D$47</definedName>
    <definedName name="OSRRefD22_5x_0" localSheetId="76">'491'!$D$55:$D$57</definedName>
    <definedName name="OSRRefD22_5x_0" localSheetId="90">'492'!$D$51</definedName>
    <definedName name="OSRRefD22_5x_0" localSheetId="97">'501'!$D$43</definedName>
    <definedName name="OSRRefD22_5x_0" localSheetId="39">'Div 2'!$D$45</definedName>
    <definedName name="OSRRefD22_5x_0" localSheetId="47">'Div 3'!$D$181:$D$182</definedName>
    <definedName name="OSRRefD22_5x_0" localSheetId="74">'Div 4'!$D$56:$D$58</definedName>
    <definedName name="OSRRefD22_5x_0" localSheetId="96">'Div 5'!$D$43</definedName>
    <definedName name="OSRRefD22_5x_0" localSheetId="65">'Div 6'!$D$77:$D$78</definedName>
    <definedName name="OSRRefD22_5x_0" localSheetId="2">Summary!$D$212:$D$214</definedName>
    <definedName name="OSRRefD22_6x_0" localSheetId="41">'201'!$D$41</definedName>
    <definedName name="OSRRefD22_6x_0" localSheetId="42">'202'!$D$43</definedName>
    <definedName name="OSRRefD22_6x_0" localSheetId="43">'203'!$D$43</definedName>
    <definedName name="OSRRefD22_6x_0" localSheetId="44">'204'!$D$46:$D$47</definedName>
    <definedName name="OSRRefD22_6x_0" localSheetId="45">'205'!$D$40</definedName>
    <definedName name="OSRRefD22_6x_0" localSheetId="46">'206'!$D$42</definedName>
    <definedName name="OSRRefD22_6x_0" localSheetId="48">'300'!$D$179:$D$180</definedName>
    <definedName name="OSRRefD22_6x_0" localSheetId="49">'300 &amp; 317'!$D$203:$D$204</definedName>
    <definedName name="OSRRefD22_6x_0" localSheetId="50">'301'!$D$47:$D$48</definedName>
    <definedName name="OSRRefD22_6x_0" localSheetId="53">'307'!$D$81</definedName>
    <definedName name="OSRRefD22_6x_0" localSheetId="55">'308'!$D$83</definedName>
    <definedName name="OSRRefD22_6x_0" localSheetId="68">'309'!$D$46</definedName>
    <definedName name="OSRRefD22_6x_0" localSheetId="67">'310'!$D$55</definedName>
    <definedName name="OSRRefD22_6x_0" localSheetId="75">'310 &amp; 491'!$D$65</definedName>
    <definedName name="OSRRefD22_6x_0" localSheetId="56">'311'!$D$82</definedName>
    <definedName name="OSRRefD22_6x_0" localSheetId="69">'313'!$D$50</definedName>
    <definedName name="OSRRefD22_6x_0" localSheetId="60">'315'!$D$94</definedName>
    <definedName name="OSRRefD22_6x_0" localSheetId="63">'316'!$D$54</definedName>
    <definedName name="OSRRefD22_6x_0" localSheetId="66">'317'!$D$80</definedName>
    <definedName name="OSRRefD22_6x_0" localSheetId="64">'320'!$D$50</definedName>
    <definedName name="OSRRefD22_6x_0" localSheetId="70">'321'!$D$47:$D$48</definedName>
    <definedName name="OSRRefD22_6x_0" localSheetId="71">'322'!$D$45</definedName>
    <definedName name="OSRRefD22_6x_0" localSheetId="72">'325'!$D$48</definedName>
    <definedName name="OSRRefD22_6x_0" localSheetId="61">'326'!$D$78</definedName>
    <definedName name="OSRRefD22_6x_0" localSheetId="52">'330'!$D$95</definedName>
    <definedName name="OSRRefD22_6x_0" localSheetId="59">'331'!$D$101</definedName>
    <definedName name="OSRRefD22_6x_0" localSheetId="62">'332'!$D$63</definedName>
    <definedName name="OSRRefD22_6x_0" localSheetId="77">'405'!$D$46</definedName>
    <definedName name="OSRRefD22_6x_0" localSheetId="78">'406'!$D$47</definedName>
    <definedName name="OSRRefD22_6x_0" localSheetId="79">'411'!$D$47</definedName>
    <definedName name="OSRRefD22_6x_0" localSheetId="80">'412'!$D$47</definedName>
    <definedName name="OSRRefD22_6x_0" localSheetId="82">'413'!$D$45</definedName>
    <definedName name="OSRRefD22_6x_0" localSheetId="83">'414'!$D$45</definedName>
    <definedName name="OSRRefD22_6x_0" localSheetId="84">'415'!$D$48</definedName>
    <definedName name="OSRRefD22_6x_0" localSheetId="85">'418'!$D$48</definedName>
    <definedName name="OSRRefD22_6x_0" localSheetId="87">'424'!$D$38</definedName>
    <definedName name="OSRRefD22_6x_0" localSheetId="88">'425'!$D$47</definedName>
    <definedName name="OSRRefD22_6x_0" localSheetId="91">'430'!$D$40</definedName>
    <definedName name="OSRRefD22_6x_0" localSheetId="92">'433'!$D$50</definedName>
    <definedName name="OSRRefD22_6x_0" localSheetId="93">'435'!$D$40</definedName>
    <definedName name="OSRRefD22_6x_0" localSheetId="94">'444'!$D$50</definedName>
    <definedName name="OSRRefD22_6x_0" localSheetId="95">'450'!$D$49</definedName>
    <definedName name="OSRRefD22_6x_0" localSheetId="76">'491'!$D$59</definedName>
    <definedName name="OSRRefD22_6x_0" localSheetId="90">'492'!$D$53</definedName>
    <definedName name="OSRRefD22_6x_0" localSheetId="97">'501'!$D$45</definedName>
    <definedName name="OSRRefD22_6x_0" localSheetId="39">'Div 2'!$D$47</definedName>
    <definedName name="OSRRefD22_6x_0" localSheetId="47">'Div 3'!$D$184:$D$185</definedName>
    <definedName name="OSRRefD22_6x_0" localSheetId="74">'Div 4'!$D$60</definedName>
    <definedName name="OSRRefD22_6x_0" localSheetId="96">'Div 5'!$D$45</definedName>
    <definedName name="OSRRefD22_6x_0" localSheetId="65">'Div 6'!$D$80</definedName>
    <definedName name="OSRRefD22_6x_0" localSheetId="2">Summary!$D$216:$D$217</definedName>
    <definedName name="OSRRefD22_7x_0" localSheetId="41">'201'!$D$43</definedName>
    <definedName name="OSRRefD22_7x_0" localSheetId="42">'202'!$D$45:$D$46</definedName>
    <definedName name="OSRRefD22_7x_0" localSheetId="43">'203'!$D$45</definedName>
    <definedName name="OSRRefD22_7x_0" localSheetId="44">'204'!$D$49</definedName>
    <definedName name="OSRRefD22_7x_0" localSheetId="48">'300'!$D$182</definedName>
    <definedName name="OSRRefD22_7x_0" localSheetId="49">'300 &amp; 317'!$D$206</definedName>
    <definedName name="OSRRefD22_7x_0" localSheetId="50">'301'!$D$50</definedName>
    <definedName name="OSRRefD22_7x_0" localSheetId="53">'307'!$D$83</definedName>
    <definedName name="OSRRefD22_7x_0" localSheetId="55">'308'!$D$85</definedName>
    <definedName name="OSRRefD22_7x_0" localSheetId="68">'309'!$D$48:$D$49</definedName>
    <definedName name="OSRRefD22_7x_0" localSheetId="67">'310'!$D$57</definedName>
    <definedName name="OSRRefD22_7x_0" localSheetId="75">'310 &amp; 491'!$D$67</definedName>
    <definedName name="OSRRefD22_7x_0" localSheetId="56">'311'!$D$84</definedName>
    <definedName name="OSRRefD22_7x_0" localSheetId="69">'313'!$D$52</definedName>
    <definedName name="OSRRefD22_7x_0" localSheetId="60">'315'!$D$96:$D$97</definedName>
    <definedName name="OSRRefD22_7x_0" localSheetId="63">'316'!$D$56</definedName>
    <definedName name="OSRRefD22_7x_0" localSheetId="66">'317'!$D$82</definedName>
    <definedName name="OSRRefD22_7x_0" localSheetId="70">'321'!$D$50:$D$51</definedName>
    <definedName name="OSRRefD22_7x_0" localSheetId="71">'322'!$D$47</definedName>
    <definedName name="OSRRefD22_7x_0" localSheetId="72">'325'!$D$50</definedName>
    <definedName name="OSRRefD22_7x_0" localSheetId="61">'326'!$D$80</definedName>
    <definedName name="OSRRefD22_7x_0" localSheetId="52">'330'!$D$97</definedName>
    <definedName name="OSRRefD22_7x_0" localSheetId="59">'331'!$D$103</definedName>
    <definedName name="OSRRefD22_7x_0" localSheetId="62">'332'!$D$65</definedName>
    <definedName name="OSRRefD22_7x_0" localSheetId="77">'405'!$D$48</definedName>
    <definedName name="OSRRefD22_7x_0" localSheetId="78">'406'!$D$49</definedName>
    <definedName name="OSRRefD22_7x_0" localSheetId="79">'411'!$D$49</definedName>
    <definedName name="OSRRefD22_7x_0" localSheetId="80">'412'!$D$49</definedName>
    <definedName name="OSRRefD22_7x_0" localSheetId="82">'413'!$D$47:$D$48</definedName>
    <definedName name="OSRRefD22_7x_0" localSheetId="83">'414'!$D$47</definedName>
    <definedName name="OSRRefD22_7x_0" localSheetId="84">'415'!$D$50</definedName>
    <definedName name="OSRRefD22_7x_0" localSheetId="85">'418'!$D$50</definedName>
    <definedName name="OSRRefD22_7x_0" localSheetId="87">'424'!$D$40</definedName>
    <definedName name="OSRRefD22_7x_0" localSheetId="88">'425'!$D$49</definedName>
    <definedName name="OSRRefD22_7x_0" localSheetId="92">'433'!$D$52</definedName>
    <definedName name="OSRRefD22_7x_0" localSheetId="94">'444'!$D$52</definedName>
    <definedName name="OSRRefD22_7x_0" localSheetId="95">'450'!$D$51</definedName>
    <definedName name="OSRRefD22_7x_0" localSheetId="76">'491'!$D$61</definedName>
    <definedName name="OSRRefD22_7x_0" localSheetId="90">'492'!$D$55</definedName>
    <definedName name="OSRRefD22_7x_0" localSheetId="97">'501'!$D$47:$D$48</definedName>
    <definedName name="OSRRefD22_7x_0" localSheetId="39">'Div 2'!$D$49</definedName>
    <definedName name="OSRRefD22_7x_0" localSheetId="47">'Div 3'!$D$187</definedName>
    <definedName name="OSRRefD22_7x_0" localSheetId="74">'Div 4'!$D$62</definedName>
    <definedName name="OSRRefD22_7x_0" localSheetId="96">'Div 5'!$D$47:$D$48</definedName>
    <definedName name="OSRRefD22_7x_0" localSheetId="65">'Div 6'!$D$82</definedName>
    <definedName name="OSRRefD22_7x_0" localSheetId="2">Summary!$D$219</definedName>
    <definedName name="OSRRefD22_8x_0" localSheetId="41">'201'!$D$45:$D$46</definedName>
    <definedName name="OSRRefD22_8x_0" localSheetId="42">'202'!$D$48</definedName>
    <definedName name="OSRRefD22_8x_0" localSheetId="43">'203'!$D$47</definedName>
    <definedName name="OSRRefD22_8x_0" localSheetId="44">'204'!$D$51</definedName>
    <definedName name="OSRRefD22_8x_0" localSheetId="48">'300'!$D$184</definedName>
    <definedName name="OSRRefD22_8x_0" localSheetId="49">'300 &amp; 317'!$D$208</definedName>
    <definedName name="OSRRefD22_8x_0" localSheetId="50">'301'!$D$52</definedName>
    <definedName name="OSRRefD22_8x_0" localSheetId="53">'307'!$D$85:$D$86</definedName>
    <definedName name="OSRRefD22_8x_0" localSheetId="55">'308'!$D$87</definedName>
    <definedName name="OSRRefD22_8x_0" localSheetId="68">'309'!$D$51:$D$52</definedName>
    <definedName name="OSRRefD22_8x_0" localSheetId="67">'310'!$D$59</definedName>
    <definedName name="OSRRefD22_8x_0" localSheetId="75">'310 &amp; 491'!$D$69</definedName>
    <definedName name="OSRRefD22_8x_0" localSheetId="56">'311'!$D$86</definedName>
    <definedName name="OSRRefD22_8x_0" localSheetId="69">'313'!$D$54</definedName>
    <definedName name="OSRRefD22_8x_0" localSheetId="60">'315'!$D$99:$D$102</definedName>
    <definedName name="OSRRefD22_8x_0" localSheetId="63">'316'!$D$58:$D$62</definedName>
    <definedName name="OSRRefD22_8x_0" localSheetId="66">'317'!$D$84</definedName>
    <definedName name="OSRRefD22_8x_0" localSheetId="70">'321'!$D$53:$D$56</definedName>
    <definedName name="OSRRefD22_8x_0" localSheetId="71">'322'!$D$49:$D$50</definedName>
    <definedName name="OSRRefD22_8x_0" localSheetId="72">'325'!$D$52</definedName>
    <definedName name="OSRRefD22_8x_0" localSheetId="61">'326'!$D$82</definedName>
    <definedName name="OSRRefD22_8x_0" localSheetId="52">'330'!$D$99:$D$100</definedName>
    <definedName name="OSRRefD22_8x_0" localSheetId="59">'331'!$D$105</definedName>
    <definedName name="OSRRefD22_8x_0" localSheetId="62">'332'!$D$67</definedName>
    <definedName name="OSRRefD22_8x_0" localSheetId="77">'405'!$D$50</definedName>
    <definedName name="OSRRefD22_8x_0" localSheetId="78">'406'!$D$51:$D$52</definedName>
    <definedName name="OSRRefD22_8x_0" localSheetId="79">'411'!$D$51</definedName>
    <definedName name="OSRRefD22_8x_0" localSheetId="80">'412'!$D$51:$D$52</definedName>
    <definedName name="OSRRefD22_8x_0" localSheetId="82">'413'!$D$50:$D$51</definedName>
    <definedName name="OSRRefD22_8x_0" localSheetId="83">'414'!$D$49:$D$50</definedName>
    <definedName name="OSRRefD22_8x_0" localSheetId="84">'415'!$D$52</definedName>
    <definedName name="OSRRefD22_8x_0" localSheetId="85">'418'!$D$52:$D$53</definedName>
    <definedName name="OSRRefD22_8x_0" localSheetId="87">'424'!$D$42:$D$43</definedName>
    <definedName name="OSRRefD22_8x_0" localSheetId="88">'425'!$D$51</definedName>
    <definedName name="OSRRefD22_8x_0" localSheetId="92">'433'!$D$54</definedName>
    <definedName name="OSRRefD22_8x_0" localSheetId="94">'444'!$D$54</definedName>
    <definedName name="OSRRefD22_8x_0" localSheetId="95">'450'!$D$53</definedName>
    <definedName name="OSRRefD22_8x_0" localSheetId="76">'491'!$D$63:$D$64</definedName>
    <definedName name="OSRRefD22_8x_0" localSheetId="90">'492'!$D$57</definedName>
    <definedName name="OSRRefD22_8x_0" localSheetId="97">'501'!$D$50</definedName>
    <definedName name="OSRRefD22_8x_0" localSheetId="39">'Div 2'!$D$51</definedName>
    <definedName name="OSRRefD22_8x_0" localSheetId="47">'Div 3'!$D$189</definedName>
    <definedName name="OSRRefD22_8x_0" localSheetId="74">'Div 4'!$D$64</definedName>
    <definedName name="OSRRefD22_8x_0" localSheetId="96">'Div 5'!$D$50</definedName>
    <definedName name="OSRRefD22_8x_0" localSheetId="65">'Div 6'!$D$84</definedName>
    <definedName name="OSRRefD22_8x_0" localSheetId="2">Summary!$D$221</definedName>
    <definedName name="OSRRefD22_9x_0" localSheetId="41">'201'!$D$48:$D$49</definedName>
    <definedName name="OSRRefD22_9x_0" localSheetId="42">'202'!$D$50:$D$52</definedName>
    <definedName name="OSRRefD22_9x_0" localSheetId="43">'203'!$D$49:$D$50</definedName>
    <definedName name="OSRRefD22_9x_0" localSheetId="48">'300'!$D$186</definedName>
    <definedName name="OSRRefD22_9x_0" localSheetId="49">'300 &amp; 317'!$D$210</definedName>
    <definedName name="OSRRefD22_9x_0" localSheetId="50">'301'!$D$54</definedName>
    <definedName name="OSRRefD22_9x_0" localSheetId="53">'307'!$D$88:$D$90</definedName>
    <definedName name="OSRRefD22_9x_0" localSheetId="55">'308'!$D$89</definedName>
    <definedName name="OSRRefD22_9x_0" localSheetId="68">'309'!$D$54:$D$56</definedName>
    <definedName name="OSRRefD22_9x_0" localSheetId="67">'310'!$D$61</definedName>
    <definedName name="OSRRefD22_9x_0" localSheetId="75">'310 &amp; 491'!$D$71</definedName>
    <definedName name="OSRRefD22_9x_0" localSheetId="56">'311'!$D$88</definedName>
    <definedName name="OSRRefD22_9x_0" localSheetId="69">'313'!$D$56</definedName>
    <definedName name="OSRRefD22_9x_0" localSheetId="60">'315'!$D$104</definedName>
    <definedName name="OSRRefD22_9x_0" localSheetId="63">'316'!$D$64</definedName>
    <definedName name="OSRRefD22_9x_0" localSheetId="66">'317'!$D$86:$D$88</definedName>
    <definedName name="OSRRefD22_9x_0" localSheetId="70">'321'!$D$58</definedName>
    <definedName name="OSRRefD22_9x_0" localSheetId="71">'322'!$D$52:$D$54</definedName>
    <definedName name="OSRRefD22_9x_0" localSheetId="72">'325'!$D$54</definedName>
    <definedName name="OSRRefD22_9x_0" localSheetId="61">'326'!$D$84</definedName>
    <definedName name="OSRRefD22_9x_0" localSheetId="52">'330'!$D$102</definedName>
    <definedName name="OSRRefD22_9x_0" localSheetId="59">'331'!$D$107</definedName>
    <definedName name="OSRRefD22_9x_0" localSheetId="62">'332'!$D$69:$D$74</definedName>
    <definedName name="OSRRefD22_9x_0" localSheetId="77">'405'!$D$52:$D$53</definedName>
    <definedName name="OSRRefD22_9x_0" localSheetId="78">'406'!$D$54</definedName>
    <definedName name="OSRRefD22_9x_0" localSheetId="79">'411'!$D$53:$D$54</definedName>
    <definedName name="OSRRefD22_9x_0" localSheetId="80">'412'!$D$54:$D$55</definedName>
    <definedName name="OSRRefD22_9x_0" localSheetId="82">'413'!$D$53:$D$56</definedName>
    <definedName name="OSRRefD22_9x_0" localSheetId="83">'414'!$D$52</definedName>
    <definedName name="OSRRefD22_9x_0" localSheetId="84">'415'!$D$54</definedName>
    <definedName name="OSRRefD22_9x_0" localSheetId="85">'418'!$D$55:$D$56</definedName>
    <definedName name="OSRRefD22_9x_0" localSheetId="87">'424'!$D$45</definedName>
    <definedName name="OSRRefD22_9x_0" localSheetId="88">'425'!$D$53:$D$54</definedName>
    <definedName name="OSRRefD22_9x_0" localSheetId="92">'433'!$D$56</definedName>
    <definedName name="OSRRefD22_9x_0" localSheetId="94">'444'!$D$56</definedName>
    <definedName name="OSRRefD22_9x_0" localSheetId="95">'450'!$D$55</definedName>
    <definedName name="OSRRefD22_9x_0" localSheetId="76">'491'!$D$66</definedName>
    <definedName name="OSRRefD22_9x_0" localSheetId="90">'492'!$D$59</definedName>
    <definedName name="OSRRefD22_9x_0" localSheetId="39">'Div 2'!$D$53:$D$54</definedName>
    <definedName name="OSRRefD22_9x_0" localSheetId="47">'Div 3'!$D$191</definedName>
    <definedName name="OSRRefD22_9x_0" localSheetId="74">'Div 4'!$D$66:$D$67</definedName>
    <definedName name="OSRRefD22_9x_0" localSheetId="65">'Div 6'!$D$86:$D$88</definedName>
    <definedName name="OSRRefD22_9x_0" localSheetId="2">Summary!$D$223</definedName>
    <definedName name="OSRRefD22x_0" localSheetId="40">'200'!$D$20,'200'!$D$22,'200'!$D$24,'200'!$D$26</definedName>
    <definedName name="OSRRefD22x_0" localSheetId="41">'201'!$D$20:$D$27,'201'!$D$29:$D$31,'201'!$D$33,'201'!$D$35,'201'!$D$37,'201'!$D$39,'201'!$D$41,'201'!$D$43,'201'!$D$45:$D$46,'201'!$D$48:$D$49,'201'!$D$51,'201'!$D$53:$D$55,'201'!$D$57,'201'!$D$59</definedName>
    <definedName name="OSRRefD22x_0" localSheetId="42">'202'!$D$20:$D$27,'202'!$D$29:$D$32,'202'!$D$34,'202'!$D$36,'202'!$D$38:$D$39,'202'!$D$41,'202'!$D$43,'202'!$D$45:$D$46,'202'!$D$48,'202'!$D$50:$D$52,'202'!$D$54,'202'!$D$56</definedName>
    <definedName name="OSRRefD22x_0" localSheetId="43">'203'!$D$20:$D$28,'203'!$D$30:$D$33,'203'!$D$35,'203'!$D$37,'203'!$D$39,'203'!$D$41,'203'!$D$43,'203'!$D$45,'203'!$D$47,'203'!$D$49:$D$50,'203'!$D$52:$D$53,'203'!$D$55,'203'!$D$57:$D$60,'203'!$D$62,'203'!$D$64,'203'!$D$66</definedName>
    <definedName name="OSRRefD22x_0" localSheetId="44">'204'!$D$20:$D$28,'204'!$D$30:$D$34,'204'!$D$36,'204'!$D$38,'204'!$D$40:$D$42,'204'!$D$44,'204'!$D$46:$D$47,'204'!$D$49,'204'!$D$51</definedName>
    <definedName name="OSRRefD22x_0" localSheetId="45">'205'!$D$20:$D$27,'205'!$D$29,'205'!$D$31,'205'!$D$33:$D$34,'205'!$D$36,'205'!$D$38,'205'!$D$40</definedName>
    <definedName name="OSRRefD22x_0" localSheetId="46">'206'!$D$20:$D$26,'206'!$D$28:$D$31,'206'!$D$33,'206'!$D$35,'206'!$D$37:$D$38,'206'!$D$40,'206'!$D$42</definedName>
    <definedName name="OSRRefD22x_0" localSheetId="48">'300'!$D$151:$D$160,'300'!$D$162:$D$168,'300'!$D$170,'300'!$D$172,'300'!$D$174,'300'!$D$176:$D$177,'300'!$D$179:$D$180,'300'!$D$182,'300'!$D$184,'300'!$D$186,'300'!$D$188:$D$189,'300'!$D$191,'300'!$D$193,'300'!$D$195,'300'!$D$197,'300'!$D$199,'300'!$D$201:$D$204,'300'!$D$206:$D$208,'300'!$D$210:$D$213,'300'!$D$215:$D$216,'300'!$D$218:$D$224,'300'!$D$226:$D$227,'300'!$D$229,'300'!$D$231:$D$233,'300'!$D$235</definedName>
    <definedName name="OSRRefD22x_0" localSheetId="49">'300 &amp; 317'!$D$175:$D$184,'300 &amp; 317'!$D$186:$D$192,'300 &amp; 317'!$D$194,'300 &amp; 317'!$D$196,'300 &amp; 317'!$D$198,'300 &amp; 317'!$D$200:$D$201,'300 &amp; 317'!$D$203:$D$204,'300 &amp; 317'!$D$206,'300 &amp; 317'!$D$208,'300 &amp; 317'!$D$210,'300 &amp; 317'!$D$212:$D$213,'300 &amp; 317'!$D$215,'300 &amp; 317'!$D$217,'300 &amp; 317'!$D$219,'300 &amp; 317'!$D$221,'300 &amp; 317'!$D$223,'300 &amp; 317'!$D$225:$D$228,'300 &amp; 317'!$D$230:$D$232,'300 &amp; 317'!$D$234:$D$237,'300 &amp; 317'!$D$239:$D$240,'300 &amp; 317'!$D$242:$D$248,'300 &amp; 317'!$D$250:$D$251,'300 &amp; 317'!$D$253,'300 &amp; 317'!$D$255:$D$257,'300 &amp; 317'!$D$259</definedName>
    <definedName name="OSRRefD22x_0" localSheetId="50">'301'!$D$20:$D$28,'301'!$D$30:$D$36,'301'!$D$38,'301'!$D$40,'301'!$D$42,'301'!$D$44:$D$45,'301'!$D$47:$D$48,'301'!$D$50,'301'!$D$52,'301'!$D$54,'301'!$D$56,'301'!$D$58,'301'!$D$60,'301'!$D$62,'301'!$D$64,'301'!$D$66:$D$69,'301'!$D$71:$D$73,'301'!$D$75,'301'!$D$77:$D$82,'301'!$D$84,'301'!$D$86,'301'!$D$88:$D$89,'301'!$D$91</definedName>
    <definedName name="OSRRefD22x_0" localSheetId="51">'306'!$D$20:$D$28,'306'!$D$30:$D$35,'306'!$D$37,'306'!$D$39,'306'!$D$41</definedName>
    <definedName name="OSRRefD22x_0" localSheetId="53">'307'!$D$58:$D$65,'307'!$D$67:$D$70,'307'!$D$72,'307'!$D$74,'307'!$D$76:$D$77,'307'!$D$79,'307'!$D$81,'307'!$D$83,'307'!$D$85:$D$86,'307'!$D$88:$D$90,'307'!$D$92</definedName>
    <definedName name="OSRRefD22x_0" localSheetId="55">'308'!$D$57:$D$65,'308'!$D$67:$D$72,'308'!$D$74,'308'!$D$76:$D$77,'308'!$D$79,'308'!$D$81,'308'!$D$83,'308'!$D$85,'308'!$D$87,'308'!$D$89,'308'!$D$91,'308'!$D$93:$D$95,'308'!$D$97:$D$98,'308'!$D$100,'308'!$D$102</definedName>
    <definedName name="OSRRefD22x_0" localSheetId="68">'309'!$D$24:$D$31,'309'!$D$33:$D$36,'309'!$D$38,'309'!$D$40,'309'!$D$42,'309'!$D$44,'309'!$D$46,'309'!$D$48:$D$49,'309'!$D$51:$D$52,'309'!$D$54:$D$56,'309'!$D$58</definedName>
    <definedName name="OSRRefD22x_0" localSheetId="67">'310'!$D$30:$D$37,'310'!$D$39:$D$44,'310'!$D$46,'310'!$D$48,'310'!$D$50,'310'!$D$52:$D$53,'310'!$D$55,'310'!$D$57,'310'!$D$59,'310'!$D$61,'310'!$D$63,'310'!$D$65,'310'!$D$67,'310'!$D$69:$D$70,'310'!$D$72:$D$75,'310'!$D$77,'310'!$D$79:$D$84,'310'!$D$86,'310'!$D$88</definedName>
    <definedName name="OSRRefD22x_0" localSheetId="75">'310 &amp; 491'!$D$37:$D$45,'310 &amp; 491'!$D$47:$D$53,'310 &amp; 491'!$D$55,'310 &amp; 491'!$D$57,'310 &amp; 491'!$D$59,'310 &amp; 491'!$D$61:$D$63,'310 &amp; 491'!$D$65,'310 &amp; 491'!$D$67,'310 &amp; 491'!$D$69,'310 &amp; 491'!$D$71,'310 &amp; 491'!$D$73:$D$74,'310 &amp; 491'!$D$76,'310 &amp; 491'!$D$78,'310 &amp; 491'!$D$80,'310 &amp; 491'!$D$82,'310 &amp; 491'!$D$84:$D$85,'310 &amp; 491'!$D$87:$D$88,'310 &amp; 491'!$D$90:$D$94,'310 &amp; 491'!$D$96,'310 &amp; 491'!$D$98:$D$106,'310 &amp; 491'!$D$108,'310 &amp; 491'!$D$110,'310 &amp; 491'!$D$112:$D$114,'310 &amp; 491'!$D$116</definedName>
    <definedName name="OSRRefD22x_0" localSheetId="56">'311'!$D$56:$D$64,'311'!$D$66:$D$71,'311'!$D$73,'311'!$D$75:$D$76,'311'!$D$78,'311'!$D$80,'311'!$D$82,'311'!$D$84,'311'!$D$86,'311'!$D$88,'311'!$D$90,'311'!$D$92:$D$94,'311'!$D$96:$D$97,'311'!$D$99,'311'!$D$101</definedName>
    <definedName name="OSRRefD22x_0" localSheetId="69">'313'!$D$27:$D$34,'313'!$D$36:$D$40,'313'!$D$42,'313'!$D$44,'313'!$D$46,'313'!$D$48,'313'!$D$50,'313'!$D$52,'313'!$D$54,'313'!$D$56,'313'!$D$58:$D$61,'313'!$D$63</definedName>
    <definedName name="OSRRefD22x_0" localSheetId="54">'314'!$D$53:$D$59,'314'!$D$61:$D$62,'314'!$D$64:$D$65,'314'!$D$67,'314'!$D$69</definedName>
    <definedName name="OSRRefD22x_0" localSheetId="60">'315'!$D$71:$D$78,'315'!$D$80:$D$84,'315'!$D$86,'315'!$D$88,'315'!$D$90,'315'!$D$92,'315'!$D$94,'315'!$D$96:$D$97,'315'!$D$99:$D$102,'315'!$D$104,'315'!$D$106</definedName>
    <definedName name="OSRRefD22x_0" localSheetId="63">'316'!$D$32:$D$39,'316'!$D$41:$D$43,'316'!$D$45,'316'!$D$47,'316'!$D$49,'316'!$D$51:$D$52,'316'!$D$54,'316'!$D$56,'316'!$D$58:$D$62,'316'!$D$64,'316'!$D$66</definedName>
    <definedName name="OSRRefD22x_0" localSheetId="66">'317'!$D$55:$D$63,'317'!$D$65:$D$69,'317'!$D$71,'317'!$D$73,'317'!$D$75,'317'!$D$77:$D$78,'317'!$D$80,'317'!$D$82,'317'!$D$84,'317'!$D$86:$D$88,'317'!$D$90</definedName>
    <definedName name="OSRRefD22x_0" localSheetId="64">'320'!$D$28:$D$34,'320'!$D$36:$D$38,'320'!$D$40,'320'!$D$42:$D$43,'320'!$D$45,'320'!$D$47:$D$48,'320'!$D$50</definedName>
    <definedName name="OSRRefD22x_0" localSheetId="70">'321'!$D$24:$D$31,'321'!$D$33:$D$37,'321'!$D$39,'321'!$D$41,'321'!$D$43,'321'!$D$45,'321'!$D$47:$D$48,'321'!$D$50:$D$51,'321'!$D$53:$D$56,'321'!$D$58,'321'!$D$60</definedName>
    <definedName name="OSRRefD22x_0" localSheetId="71">'322'!$D$24:$D$31,'322'!$D$33:$D$35,'322'!$D$37,'322'!$D$39,'322'!$D$41,'322'!$D$43,'322'!$D$45,'322'!$D$47,'322'!$D$49:$D$50,'322'!$D$52:$D$54,'322'!$D$56:$D$60,'322'!$D$62,'322'!$D$64</definedName>
    <definedName name="OSRRefD22x_0" localSheetId="72">'325'!$D$24:$D$31,'325'!$D$33:$D$37,'325'!$D$39,'325'!$D$41,'325'!$D$43,'325'!$D$45:$D$46,'325'!$D$48,'325'!$D$50,'325'!$D$52,'325'!$D$54,'325'!$D$56:$D$57,'325'!$D$59:$D$61,'325'!$D$63,'325'!$D$65:$D$68,'325'!$D$70,'325'!$D$72</definedName>
    <definedName name="OSRRefD22x_0" localSheetId="61">'326'!$D$55:$D$62,'326'!$D$64:$D$68,'326'!$D$70,'326'!$D$72,'326'!$D$74,'326'!$D$76,'326'!$D$78,'326'!$D$80,'326'!$D$82,'326'!$D$84,'326'!$D$86,'326'!$D$88:$D$90,'326'!$D$92,'326'!$D$94:$D$95,'326'!$D$97,'326'!$D$99,'326'!$D$101</definedName>
    <definedName name="OSRRefD22x_0" localSheetId="73">'327'!$D$22</definedName>
    <definedName name="OSRRefD22x_0" localSheetId="52">'330'!$D$72:$D$79,'330'!$D$81:$D$84,'330'!$D$86,'330'!$D$88,'330'!$D$90:$D$91,'330'!$D$93,'330'!$D$95,'330'!$D$97,'330'!$D$99:$D$100,'330'!$D$102,'330'!$D$104:$D$106,'330'!$D$108</definedName>
    <definedName name="OSRRefD22x_0" localSheetId="59">'331'!$D$78:$D$85,'331'!$D$87:$D$91,'331'!$D$93,'331'!$D$95,'331'!$D$97,'331'!$D$99,'331'!$D$101,'331'!$D$103,'331'!$D$105,'331'!$D$107,'331'!$D$109,'331'!$D$111,'331'!$D$113:$D$114,'331'!$D$116:$D$118,'331'!$D$120,'331'!$D$122:$D$126,'331'!$D$128,'331'!$D$130,'331'!$D$132,'331'!$D$134</definedName>
    <definedName name="OSRRefD22x_0" localSheetId="62">'332'!$D$40:$D$47,'332'!$D$49:$D$52,'332'!$D$54,'332'!$D$56,'332'!$D$58,'332'!$D$60:$D$61,'332'!$D$63,'332'!$D$65,'332'!$D$67,'332'!$D$69:$D$74,'332'!$D$76,'332'!$D$78</definedName>
    <definedName name="OSRRefD22x_0" localSheetId="77">'405'!$D$24:$D$31,'405'!$D$33:$D$35,'405'!$D$37,'405'!$D$39,'405'!$D$41,'405'!$D$43:$D$44,'405'!$D$46,'405'!$D$48,'405'!$D$50,'405'!$D$52:$D$53,'405'!$D$55,'405'!$D$57:$D$59,'405'!$D$61,'405'!$D$63:$D$69,'405'!$D$71,'405'!$D$73,'405'!$D$75</definedName>
    <definedName name="OSRRefD22x_0" localSheetId="78">'406'!$D$24:$D$31,'406'!$D$33:$D$37,'406'!$D$39,'406'!$D$41,'406'!$D$43,'406'!$D$45,'406'!$D$47,'406'!$D$49,'406'!$D$51:$D$52,'406'!$D$54,'406'!$D$56:$D$60,'406'!$D$62,'406'!$D$64</definedName>
    <definedName name="OSRRefD22x_0" localSheetId="79">'411'!$D$20:$D$28,'411'!$D$30:$D$35,'411'!$D$37,'411'!$D$39,'411'!$D$41:$D$43,'411'!$D$45,'411'!$D$47,'411'!$D$49,'411'!$D$51,'411'!$D$53:$D$54,'411'!$D$56:$D$60,'411'!$D$62:$D$65,'411'!$D$67,'411'!$D$69,'411'!$D$71:$D$73,'411'!$D$75</definedName>
    <definedName name="OSRRefD22x_0" localSheetId="80">'412'!$D$23:$D$30,'412'!$D$32:$D$37,'412'!$D$39,'412'!$D$41,'412'!$D$43,'412'!$D$45,'412'!$D$47,'412'!$D$49,'412'!$D$51:$D$52,'412'!$D$54:$D$55,'412'!$D$57:$D$61,'412'!$D$63,'412'!$D$65</definedName>
    <definedName name="OSRRefD22x_0" localSheetId="82">'413'!$D$24:$D$31,'413'!$D$33:$D$35,'413'!$D$37,'413'!$D$39,'413'!$D$41,'413'!$D$43,'413'!$D$45,'413'!$D$47:$D$48,'413'!$D$50:$D$51,'413'!$D$53:$D$56,'413'!$D$58</definedName>
    <definedName name="OSRRefD22x_0" localSheetId="83">'414'!$D$24:$D$30,'414'!$D$32:$D$35,'414'!$D$37,'414'!$D$39,'414'!$D$41,'414'!$D$43,'414'!$D$45,'414'!$D$47,'414'!$D$49:$D$50,'414'!$D$52,'414'!$D$54,'414'!$D$56,'414'!$D$58:$D$64,'414'!$D$66</definedName>
    <definedName name="OSRRefD22x_0" localSheetId="84">'415'!$D$24:$D$31,'415'!$D$33:$D$37,'415'!$D$39,'415'!$D$41,'415'!$D$43,'415'!$D$45:$D$46,'415'!$D$48,'415'!$D$50,'415'!$D$52,'415'!$D$54,'415'!$D$56,'415'!$D$58:$D$59,'415'!$D$61:$D$65,'415'!$D$67,'415'!$D$69:$D$75,'415'!$D$77,'415'!$D$79</definedName>
    <definedName name="OSRRefD22x_0" localSheetId="85">'418'!$D$24:$D$31,'418'!$D$33:$D$37,'418'!$D$39,'418'!$D$41,'418'!$D$43,'418'!$D$45:$D$46,'418'!$D$48,'418'!$D$50,'418'!$D$52:$D$53,'418'!$D$55:$D$56,'418'!$D$58:$D$60,'418'!$D$62,'418'!$D$64:$D$67,'418'!$D$69,'418'!$D$71</definedName>
    <definedName name="OSRRefD22x_0" localSheetId="86">'423'!$D$21:$D$28,'423'!$D$30,'423'!$D$32,'423'!$D$34,'423'!$D$36,'423'!$D$38</definedName>
    <definedName name="OSRRefD22x_0" localSheetId="87">'424'!$D$23,'424'!$D$25:$D$28,'424'!$D$30,'424'!$D$32,'424'!$D$34,'424'!$D$36,'424'!$D$38,'424'!$D$40,'424'!$D$42:$D$43,'424'!$D$45,'424'!$D$47,'424'!$D$49</definedName>
    <definedName name="OSRRefD22x_0" localSheetId="88">'425'!$D$24:$D$31,'425'!$D$33:$D$37,'425'!$D$39,'425'!$D$41,'425'!$D$43,'425'!$D$45,'425'!$D$47,'425'!$D$49,'425'!$D$51,'425'!$D$53:$D$54,'425'!$D$56,'425'!$D$58:$D$59,'425'!$D$61:$D$63,'425'!$D$65,'425'!$D$67</definedName>
    <definedName name="OSRRefD22x_0" localSheetId="91">'430'!$D$20:$D$27,'430'!$D$29,'430'!$D$31,'430'!$D$33:$D$34,'430'!$D$36,'430'!$D$38,'430'!$D$40</definedName>
    <definedName name="OSRRefD22x_0" localSheetId="92">'433'!$D$25:$D$33,'433'!$D$35:$D$40,'433'!$D$42,'433'!$D$44,'433'!$D$46,'433'!$D$48,'433'!$D$50,'433'!$D$52,'433'!$D$54,'433'!$D$56,'433'!$D$58,'433'!$D$60:$D$62,'433'!$D$64:$D$70,'433'!$D$72,'433'!$D$74,'433'!$D$76</definedName>
    <definedName name="OSRRefD22x_0" localSheetId="93">'435'!$D$24:$D$26,'435'!$D$28:$D$29,'435'!$D$31,'435'!$D$33,'435'!$D$35,'435'!$D$37:$D$38,'435'!$D$40</definedName>
    <definedName name="OSRRefD22x_0" localSheetId="94">'444'!$D$25:$D$33,'444'!$D$35:$D$40,'444'!$D$42,'444'!$D$44,'444'!$D$46,'444'!$D$48,'444'!$D$50,'444'!$D$52,'444'!$D$54,'444'!$D$56,'444'!$D$58,'444'!$D$60,'444'!$D$62:$D$64,'444'!$D$66:$D$73,'444'!$D$75,'444'!$D$77,'444'!$D$79</definedName>
    <definedName name="OSRRefD22x_0" localSheetId="95">'450'!$D$24:$D$32,'450'!$D$34:$D$39,'450'!$D$41,'450'!$D$43,'450'!$D$45,'450'!$D$47,'450'!$D$49,'450'!$D$51,'450'!$D$53,'450'!$D$55,'450'!$D$57:$D$59,'450'!$D$61:$D$66,'450'!$D$68,'450'!$D$70,'450'!$D$72</definedName>
    <definedName name="OSRRefD22x_0" localSheetId="89">'455'!$D$20:$D$26,'455'!$D$28:$D$29</definedName>
    <definedName name="OSRRefD22x_0" localSheetId="76">'491'!$D$31:$D$39,'491'!$D$41:$D$47,'491'!$D$49,'491'!$D$51,'491'!$D$53,'491'!$D$55:$D$57,'491'!$D$59,'491'!$D$61,'491'!$D$63:$D$64,'491'!$D$66,'491'!$D$68,'491'!$D$70,'491'!$D$72,'491'!$D$74:$D$75,'491'!$D$77:$D$78,'491'!$D$80:$D$84,'491'!$D$86,'491'!$D$88:$D$96,'491'!$D$98,'491'!$D$100,'491'!$D$102:$D$104,'491'!$D$106</definedName>
    <definedName name="OSRRefD22x_0" localSheetId="90">'492'!$D$27:$D$35,'492'!$D$37:$D$43,'492'!$D$45,'492'!$D$47,'492'!$D$49,'492'!$D$51,'492'!$D$53,'492'!$D$55,'492'!$D$57,'492'!$D$59,'492'!$D$61,'492'!$D$63,'492'!$D$65,'492'!$D$67:$D$69,'492'!$D$71:$D$78,'492'!$D$80,'492'!$D$82,'492'!$D$84</definedName>
    <definedName name="OSRRefD22x_0" localSheetId="97">'501'!$D$21:$D$29,'501'!$D$31:$D$35,'501'!$D$37,'501'!$D$39,'501'!$D$41,'501'!$D$43,'501'!$D$45,'501'!$D$47:$D$48,'501'!$D$50</definedName>
    <definedName name="OSRRefD22x_0" localSheetId="39">'Div 2'!$D$20:$D$29,'Div 2'!$D$31:$D$37,'Div 2'!$D$39,'Div 2'!$D$41,'Div 2'!$D$43,'Div 2'!$D$45,'Div 2'!$D$47,'Div 2'!$D$49,'Div 2'!$D$51,'Div 2'!$D$53:$D$54,'Div 2'!$D$56,'Div 2'!$D$58,'Div 2'!$D$60:$D$63,'Div 2'!$D$65:$D$67,'Div 2'!$D$69:$D$70,'Div 2'!$D$72,'Div 2'!$D$74:$D$78,'Div 2'!$D$80:$D$81,'Div 2'!$D$83,'Div 2'!$D$85:$D$86</definedName>
    <definedName name="OSRRefD22x_0" localSheetId="47">'Div 3'!$D$156:$D$165,'Div 3'!$D$167:$D$173,'Div 3'!$D$175,'Div 3'!$D$177,'Div 3'!$D$179,'Div 3'!$D$181:$D$182,'Div 3'!$D$184:$D$185,'Div 3'!$D$187,'Div 3'!$D$189,'Div 3'!$D$191,'Div 3'!$D$193:$D$194,'Div 3'!$D$196,'Div 3'!$D$198,'Div 3'!$D$200,'Div 3'!$D$202,'Div 3'!$D$204,'Div 3'!$D$206,'Div 3'!$D$208:$D$211,'Div 3'!$D$213:$D$215,'Div 3'!$D$217:$D$221,'Div 3'!$D$223:$D$224,'Div 3'!$D$226:$D$232,'Div 3'!$D$234:$D$235,'Div 3'!$D$237,'Div 3'!$D$239:$D$241,'Div 3'!$D$243</definedName>
    <definedName name="OSRRefD22x_0" localSheetId="74">'Div 4'!$D$32:$D$40,'Div 4'!$D$42:$D$48,'Div 4'!$D$50,'Div 4'!$D$52,'Div 4'!$D$54,'Div 4'!$D$56:$D$58,'Div 4'!$D$60,'Div 4'!$D$62,'Div 4'!$D$64,'Div 4'!$D$66:$D$67,'Div 4'!$D$69,'Div 4'!$D$71,'Div 4'!$D$73,'Div 4'!$D$75,'Div 4'!$D$77,'Div 4'!$D$79:$D$80,'Div 4'!$D$82:$D$83,'Div 4'!$D$85:$D$89,'Div 4'!$D$91,'Div 4'!$D$93:$D$101,'Div 4'!$D$103,'Div 4'!$D$105,'Div 4'!$D$107:$D$109,'Div 4'!$D$111</definedName>
    <definedName name="OSRRefD22x_0" localSheetId="96">'Div 5'!$D$21:$D$29,'Div 5'!$D$31:$D$35,'Div 5'!$D$37,'Div 5'!$D$39,'Div 5'!$D$41,'Div 5'!$D$43,'Div 5'!$D$45,'Div 5'!$D$47:$D$48,'Div 5'!$D$50</definedName>
    <definedName name="OSRRefD22x_0" localSheetId="65">'Div 6'!$D$55:$D$63,'Div 6'!$D$65:$D$69,'Div 6'!$D$71,'Div 6'!$D$73,'Div 6'!$D$75,'Div 6'!$D$77:$D$78,'Div 6'!$D$80,'Div 6'!$D$82,'Div 6'!$D$84,'Div 6'!$D$86:$D$88,'Div 6'!$D$90</definedName>
    <definedName name="OSRRefD22x_0" localSheetId="2">Summary!$D$187:$D$196,Summary!$D$198:$D$204,Summary!$D$206,Summary!$D$208,Summary!$D$210,Summary!$D$212:$D$214,Summary!$D$216:$D$217,Summary!$D$219,Summary!$D$221,Summary!$D$223,Summary!$D$225:$D$226,Summary!$D$228:$D$229,Summary!$D$231,Summary!$D$233,Summary!$D$235,Summary!$D$237,Summary!$D$239,Summary!$D$241,Summary!$D$243:$D$246,Summary!$D$248:$D$250,Summary!$D$252:$D$256,Summary!$D$258:$D$259,Summary!$D$261:$D$269,Summary!$D$271:$D$272,Summary!$D$274,Summary!$D$276:$D$278,Summary!$D$280</definedName>
    <definedName name="OSRRefD25x_0" localSheetId="48">'300'!$D$238:$D$245</definedName>
    <definedName name="OSRRefD25x_0" localSheetId="49">'300 &amp; 317'!$D$262:$D$271</definedName>
    <definedName name="OSRRefD25x_0" localSheetId="50">'301'!$D$94:$D$95</definedName>
    <definedName name="OSRRefD25x_0" localSheetId="55">'308'!$D$105:$D$106</definedName>
    <definedName name="OSRRefD25x_0" localSheetId="75">'310 &amp; 491'!$D$119:$D$121</definedName>
    <definedName name="OSRRefD25x_0" localSheetId="56">'311'!$D$104:$D$105</definedName>
    <definedName name="OSRRefD25x_0" localSheetId="60">'315'!$D$109:$D$110</definedName>
    <definedName name="OSRRefD25x_0" localSheetId="63">'316'!$D$69</definedName>
    <definedName name="OSRRefD25x_0" localSheetId="66">'317'!$D$93:$D$95</definedName>
    <definedName name="OSRRefD25x_0" localSheetId="64">'320'!$D$53:$D$56</definedName>
    <definedName name="OSRRefD25x_0" localSheetId="59">'331'!$D$137:$D$138</definedName>
    <definedName name="OSRRefD25x_0" localSheetId="62">'332'!$D$81:$D$85</definedName>
    <definedName name="OSRRefD25x_0" localSheetId="79">'411'!$D$78:$D$79</definedName>
    <definedName name="OSRRefD25x_0" localSheetId="82">'413'!$D$61</definedName>
    <definedName name="OSRRefD25x_0" localSheetId="85">'418'!$D$74</definedName>
    <definedName name="OSRRefD25x_0" localSheetId="86">'423'!$D$41</definedName>
    <definedName name="OSRRefD25x_0" localSheetId="87">'424'!$D$52</definedName>
    <definedName name="OSRRefD25x_0" localSheetId="88">'425'!$D$70</definedName>
    <definedName name="OSRRefD25x_0" localSheetId="89">'455'!$D$32:$D$33</definedName>
    <definedName name="OSRRefD25x_0" localSheetId="76">'491'!$D$109:$D$111</definedName>
    <definedName name="OSRRefD25x_0" localSheetId="97">'501'!$D$53</definedName>
    <definedName name="OSRRefD25x_0" localSheetId="47">'Div 3'!$D$246:$D$253</definedName>
    <definedName name="OSRRefD25x_0" localSheetId="74">'Div 4'!$D$114:$D$116</definedName>
    <definedName name="OSRRefD25x_0" localSheetId="96">'Div 5'!$D$53</definedName>
    <definedName name="OSRRefD25x_0" localSheetId="65">'Div 6'!$D$93:$D$95</definedName>
    <definedName name="OSRRefD25x_0" localSheetId="2">Summary!$D$283:$D$293</definedName>
    <definedName name="OSRRefH13x_0" localSheetId="48">'300'!$H$13:$H$96</definedName>
    <definedName name="OSRRefH13x_0" localSheetId="49">'300 &amp; 317'!$H$13:$H$115</definedName>
    <definedName name="OSRRefH13x_0" localSheetId="53">'307'!$H$13:$H$34</definedName>
    <definedName name="OSRRefH13x_0" localSheetId="55">'308'!$H$13:$H$36</definedName>
    <definedName name="OSRRefH13x_0" localSheetId="68">'309'!$H$13:$H$14</definedName>
    <definedName name="OSRRefH13x_0" localSheetId="67">'310'!$H$13:$H$20</definedName>
    <definedName name="OSRRefH13x_0" localSheetId="75">'310 &amp; 491'!$H$13:$H$27</definedName>
    <definedName name="OSRRefH13x_0" localSheetId="56">'311'!$H$13:$H$35</definedName>
    <definedName name="OSRRefH13x_0" localSheetId="69">'313'!$H$13:$H$17</definedName>
    <definedName name="OSRRefH13x_0" localSheetId="54">'314'!$H$13:$H$31</definedName>
    <definedName name="OSRRefH13x_0" localSheetId="60">'315'!$H$13:$H$48</definedName>
    <definedName name="OSRRefH13x_0" localSheetId="63">'316'!$H$13:$H$24</definedName>
    <definedName name="OSRRefH13x_0" localSheetId="66">'317'!$H$13:$H$36</definedName>
    <definedName name="OSRRefH13x_0" localSheetId="64">'320'!$H$13:$H$15</definedName>
    <definedName name="OSRRefH13x_0" localSheetId="70">'321'!$H$13:$H$14</definedName>
    <definedName name="OSRRefH13x_0" localSheetId="71">'322'!$H$13:$H$14</definedName>
    <definedName name="OSRRefH13x_0" localSheetId="57">'324'!$H$13:$H$15</definedName>
    <definedName name="OSRRefH13x_0" localSheetId="72">'325'!$H$13:$H$14</definedName>
    <definedName name="OSRRefH13x_0" localSheetId="61">'326'!$H$13:$H$35</definedName>
    <definedName name="OSRRefH13x_0" localSheetId="73">'327'!$H$13</definedName>
    <definedName name="OSRRefH13x_0" localSheetId="52">'330'!$H$13:$H$43</definedName>
    <definedName name="OSRRefH13x_0" localSheetId="59">'331'!$H$13:$H$51</definedName>
    <definedName name="OSRRefH13x_0" localSheetId="62">'332'!$H$13:$H$27</definedName>
    <definedName name="OSRRefH13x_0" localSheetId="77">'405'!$H$13:$H$14</definedName>
    <definedName name="OSRRefH13x_0" localSheetId="78">'406'!$H$13:$H$14</definedName>
    <definedName name="OSRRefH13x_0" localSheetId="80">'412'!$H$13:$H$14</definedName>
    <definedName name="OSRRefH13x_0" localSheetId="82">'413'!$H$13:$H$14</definedName>
    <definedName name="OSRRefH13x_0" localSheetId="83">'414'!$H$13:$H$14</definedName>
    <definedName name="OSRRefH13x_0" localSheetId="84">'415'!$H$13:$H$14</definedName>
    <definedName name="OSRRefH13x_0" localSheetId="85">'418'!$H$13:$H$14</definedName>
    <definedName name="OSRRefH13x_0" localSheetId="87">'424'!$H$13</definedName>
    <definedName name="OSRRefH13x_0" localSheetId="88">'425'!$H$13:$H$14</definedName>
    <definedName name="OSRRefH13x_0" localSheetId="92">'433'!$H$13:$H$15</definedName>
    <definedName name="OSRRefH13x_0" localSheetId="93">'435'!$H$13:$H$14</definedName>
    <definedName name="OSRRefH13x_0" localSheetId="94">'444'!$H$13:$H$15</definedName>
    <definedName name="OSRRefH13x_0" localSheetId="95">'450'!$H$13:$H$14</definedName>
    <definedName name="OSRRefH13x_0" localSheetId="76">'491'!$H$13:$H$21</definedName>
    <definedName name="OSRRefH13x_0" localSheetId="90">'492'!$H$13:$H$17</definedName>
    <definedName name="OSRRefH13x_0" localSheetId="97">'501'!$H$13</definedName>
    <definedName name="OSRRefH13x_0" localSheetId="47">'Div 3'!$H$13:$H$99</definedName>
    <definedName name="OSRRefH13x_0" localSheetId="74">'Div 4'!$H$13:$H$22</definedName>
    <definedName name="OSRRefH13x_0" localSheetId="96">'Div 5'!$H$13</definedName>
    <definedName name="OSRRefH13x_0" localSheetId="65">'Div 6'!$H$13:$H$36</definedName>
    <definedName name="OSRRefH13x_0" localSheetId="2">Summary!$H$13:$H$125</definedName>
    <definedName name="OSRRefH16x_0" localSheetId="48">'300'!$H$99:$H$145</definedName>
    <definedName name="OSRRefH16x_0" localSheetId="49">'300 &amp; 317'!$H$118:$H$169</definedName>
    <definedName name="OSRRefH16x_0" localSheetId="53">'307'!$H$37:$H$52</definedName>
    <definedName name="OSRRefH16x_0" localSheetId="55">'308'!$H$39:$H$51</definedName>
    <definedName name="OSRRefH16x_0" localSheetId="68">'309'!$H$17:$H$18</definedName>
    <definedName name="OSRRefH16x_0" localSheetId="67">'310'!$H$23:$H$24</definedName>
    <definedName name="OSRRefH16x_0" localSheetId="75">'310 &amp; 491'!$H$30:$H$31</definedName>
    <definedName name="OSRRefH16x_0" localSheetId="56">'311'!$H$38:$H$50</definedName>
    <definedName name="OSRRefH16x_0" localSheetId="69">'313'!$H$20:$H$21</definedName>
    <definedName name="OSRRefH16x_0" localSheetId="54">'314'!$H$34:$H$47</definedName>
    <definedName name="OSRRefH16x_0" localSheetId="60">'315'!$H$51:$H$65</definedName>
    <definedName name="OSRRefH16x_0" localSheetId="66">'317'!$H$39:$H$49</definedName>
    <definedName name="OSRRefH16x_0" localSheetId="64">'320'!$H$18:$H$22</definedName>
    <definedName name="OSRRefH16x_0" localSheetId="70">'321'!$H$17:$H$18</definedName>
    <definedName name="OSRRefH16x_0" localSheetId="71">'322'!$H$17:$H$18</definedName>
    <definedName name="OSRRefH16x_0" localSheetId="57">'324'!$H$18:$H$19</definedName>
    <definedName name="OSRRefH16x_0" localSheetId="72">'325'!$H$17:$H$18</definedName>
    <definedName name="OSRRefH16x_0" localSheetId="61">'326'!$H$38:$H$49</definedName>
    <definedName name="OSRRefH16x_0" localSheetId="73">'327'!$H$16</definedName>
    <definedName name="OSRRefH16x_0" localSheetId="52">'330'!$H$46:$H$66</definedName>
    <definedName name="OSRRefH16x_0" localSheetId="59">'331'!$H$54:$H$72</definedName>
    <definedName name="OSRRefH16x_0" localSheetId="62">'332'!$H$30:$H$34</definedName>
    <definedName name="OSRRefH16x_0" localSheetId="77">'405'!$H$17:$H$18</definedName>
    <definedName name="OSRRefH16x_0" localSheetId="78">'406'!$H$17:$H$18</definedName>
    <definedName name="OSRRefH16x_0" localSheetId="80">'412'!$H$17</definedName>
    <definedName name="OSRRefH16x_0" localSheetId="82">'413'!$H$17:$H$18</definedName>
    <definedName name="OSRRefH16x_0" localSheetId="83">'414'!$H$17:$H$18</definedName>
    <definedName name="OSRRefH16x_0" localSheetId="84">'415'!$H$17:$H$18</definedName>
    <definedName name="OSRRefH16x_0" localSheetId="85">'418'!$H$17:$H$18</definedName>
    <definedName name="OSRRefH16x_0" localSheetId="86">'423'!$H$15</definedName>
    <definedName name="OSRRefH16x_0" localSheetId="87">'424'!$H$16:$H$17</definedName>
    <definedName name="OSRRefH16x_0" localSheetId="88">'425'!$H$17:$H$18</definedName>
    <definedName name="OSRRefH16x_0" localSheetId="92">'433'!$H$18:$H$19</definedName>
    <definedName name="OSRRefH16x_0" localSheetId="93">'435'!$H$17:$H$18</definedName>
    <definedName name="OSRRefH16x_0" localSheetId="94">'444'!$H$18:$H$19</definedName>
    <definedName name="OSRRefH16x_0" localSheetId="95">'450'!$H$17:$H$18</definedName>
    <definedName name="OSRRefH16x_0" localSheetId="76">'491'!$H$24:$H$25</definedName>
    <definedName name="OSRRefH16x_0" localSheetId="90">'492'!$H$20:$H$21</definedName>
    <definedName name="OSRRefH16x_0" localSheetId="47">'Div 3'!$H$102:$H$150</definedName>
    <definedName name="OSRRefH16x_0" localSheetId="74">'Div 4'!$H$25:$H$26</definedName>
    <definedName name="OSRRefH16x_0" localSheetId="65">'Div 6'!$H$39:$H$49</definedName>
    <definedName name="OSRRefH16x_0" localSheetId="2">Summary!$H$128:$H$181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'203'!$H$20:$H$28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'300'!$H$151:$H$160</definedName>
    <definedName name="OSRRefH22_0x_0" localSheetId="49">'300 &amp; 317'!$H$175:$H$184</definedName>
    <definedName name="OSRRefH22_0x_0" localSheetId="50">'301'!$H$20:$H$28</definedName>
    <definedName name="OSRRefH22_0x_0" localSheetId="51">'306'!$H$20:$H$28</definedName>
    <definedName name="OSRRefH22_0x_0" localSheetId="53">'307'!$H$58:$H$65</definedName>
    <definedName name="OSRRefH22_0x_0" localSheetId="55">'308'!$H$57:$H$65</definedName>
    <definedName name="OSRRefH22_0x_0" localSheetId="68">'309'!$H$24:$H$31</definedName>
    <definedName name="OSRRefH22_0x_0" localSheetId="67">'310'!$H$30:$H$37</definedName>
    <definedName name="OSRRefH22_0x_0" localSheetId="75">'310 &amp; 491'!$H$37:$H$45</definedName>
    <definedName name="OSRRefH22_0x_0" localSheetId="56">'311'!$H$56:$H$64</definedName>
    <definedName name="OSRRefH22_0x_0" localSheetId="69">'313'!$H$27:$H$34</definedName>
    <definedName name="OSRRefH22_0x_0" localSheetId="54">'314'!$H$53:$H$59</definedName>
    <definedName name="OSRRefH22_0x_0" localSheetId="60">'315'!$H$71:$H$78</definedName>
    <definedName name="OSRRefH22_0x_0" localSheetId="63">'316'!$H$32:$H$39</definedName>
    <definedName name="OSRRefH22_0x_0" localSheetId="66">'317'!$H$55:$H$63</definedName>
    <definedName name="OSRRefH22_0x_0" localSheetId="64">'320'!$H$28:$H$34</definedName>
    <definedName name="OSRRefH22_0x_0" localSheetId="70">'321'!$H$24:$H$31</definedName>
    <definedName name="OSRRefH22_0x_0" localSheetId="71">'322'!$H$24:$H$31</definedName>
    <definedName name="OSRRefH22_0x_0" localSheetId="72">'325'!$H$24:$H$31</definedName>
    <definedName name="OSRRefH22_0x_0" localSheetId="61">'326'!$H$55:$H$62</definedName>
    <definedName name="OSRRefH22_0x_0" localSheetId="73">'327'!$H$22</definedName>
    <definedName name="OSRRefH22_0x_0" localSheetId="52">'330'!$H$72:$H$79</definedName>
    <definedName name="OSRRefH22_0x_0" localSheetId="59">'331'!$H$78:$H$85</definedName>
    <definedName name="OSRRefH22_0x_0" localSheetId="62">'332'!$H$40:$H$47</definedName>
    <definedName name="OSRRefH22_0x_0" localSheetId="77">'405'!$H$24:$H$31</definedName>
    <definedName name="OSRRefH22_0x_0" localSheetId="78">'406'!$H$24:$H$31</definedName>
    <definedName name="OSRRefH22_0x_0" localSheetId="79">'411'!$H$20:$H$28</definedName>
    <definedName name="OSRRefH22_0x_0" localSheetId="80">'412'!$H$23:$H$30</definedName>
    <definedName name="OSRRefH22_0x_0" localSheetId="82">'413'!$H$24:$H$31</definedName>
    <definedName name="OSRRefH22_0x_0" localSheetId="83">'414'!$H$24:$H$30</definedName>
    <definedName name="OSRRefH22_0x_0" localSheetId="84">'415'!$H$24:$H$31</definedName>
    <definedName name="OSRRefH22_0x_0" localSheetId="85">'418'!$H$24:$H$31</definedName>
    <definedName name="OSRRefH22_0x_0" localSheetId="86">'423'!$H$21:$H$28</definedName>
    <definedName name="OSRRefH22_0x_0" localSheetId="87">'424'!$H$23</definedName>
    <definedName name="OSRRefH22_0x_0" localSheetId="88">'425'!$H$24:$H$31</definedName>
    <definedName name="OSRRefH22_0x_0" localSheetId="91">'430'!$H$20:$H$27</definedName>
    <definedName name="OSRRefH22_0x_0" localSheetId="92">'433'!$H$25:$H$33</definedName>
    <definedName name="OSRRefH22_0x_0" localSheetId="93">'435'!$H$24:$H$26</definedName>
    <definedName name="OSRRefH22_0x_0" localSheetId="94">'444'!$H$25:$H$33</definedName>
    <definedName name="OSRRefH22_0x_0" localSheetId="95">'450'!$H$24:$H$32</definedName>
    <definedName name="OSRRefH22_0x_0" localSheetId="89">'455'!$H$20:$H$26</definedName>
    <definedName name="OSRRefH22_0x_0" localSheetId="76">'491'!$H$31:$H$39</definedName>
    <definedName name="OSRRefH22_0x_0" localSheetId="90">'492'!$H$27:$H$35</definedName>
    <definedName name="OSRRefH22_0x_0" localSheetId="97">'501'!$H$21:$H$29</definedName>
    <definedName name="OSRRefH22_0x_0" localSheetId="39">'Div 2'!$H$20:$H$29</definedName>
    <definedName name="OSRRefH22_0x_0" localSheetId="47">'Div 3'!$H$156:$H$165</definedName>
    <definedName name="OSRRefH22_0x_0" localSheetId="74">'Div 4'!$H$32:$H$40</definedName>
    <definedName name="OSRRefH22_0x_0" localSheetId="96">'Div 5'!$H$21:$H$29</definedName>
    <definedName name="OSRRefH22_0x_0" localSheetId="65">'Div 6'!$H$55:$H$63</definedName>
    <definedName name="OSRRefH22_0x_0" localSheetId="2">Summary!$H$187:$H$196</definedName>
    <definedName name="OSRRefH22_10x_0" localSheetId="41">'201'!$H$51</definedName>
    <definedName name="OSRRefH22_10x_0" localSheetId="42">'202'!$H$54</definedName>
    <definedName name="OSRRefH22_10x_0" localSheetId="43">'203'!$H$52:$H$53</definedName>
    <definedName name="OSRRefH22_10x_0" localSheetId="48">'300'!$H$188:$H$189</definedName>
    <definedName name="OSRRefH22_10x_0" localSheetId="49">'300 &amp; 317'!$H$212:$H$213</definedName>
    <definedName name="OSRRefH22_10x_0" localSheetId="50">'301'!$H$56</definedName>
    <definedName name="OSRRefH22_10x_0" localSheetId="53">'307'!$H$92</definedName>
    <definedName name="OSRRefH22_10x_0" localSheetId="55">'308'!$H$91</definedName>
    <definedName name="OSRRefH22_10x_0" localSheetId="68">'309'!$H$58</definedName>
    <definedName name="OSRRefH22_10x_0" localSheetId="67">'310'!$H$63</definedName>
    <definedName name="OSRRefH22_10x_0" localSheetId="75">'310 &amp; 491'!$H$73:$H$74</definedName>
    <definedName name="OSRRefH22_10x_0" localSheetId="56">'311'!$H$90</definedName>
    <definedName name="OSRRefH22_10x_0" localSheetId="69">'313'!$H$58:$H$61</definedName>
    <definedName name="OSRRefH22_10x_0" localSheetId="60">'315'!$H$106</definedName>
    <definedName name="OSRRefH22_10x_0" localSheetId="63">'316'!$H$66</definedName>
    <definedName name="OSRRefH22_10x_0" localSheetId="66">'317'!$H$90</definedName>
    <definedName name="OSRRefH22_10x_0" localSheetId="70">'321'!$H$60</definedName>
    <definedName name="OSRRefH22_10x_0" localSheetId="71">'322'!$H$56:$H$60</definedName>
    <definedName name="OSRRefH22_10x_0" localSheetId="72">'325'!$H$56:$H$57</definedName>
    <definedName name="OSRRefH22_10x_0" localSheetId="61">'326'!$H$86</definedName>
    <definedName name="OSRRefH22_10x_0" localSheetId="52">'330'!$H$104:$H$106</definedName>
    <definedName name="OSRRefH22_10x_0" localSheetId="59">'331'!$H$109</definedName>
    <definedName name="OSRRefH22_10x_0" localSheetId="62">'332'!$H$76</definedName>
    <definedName name="OSRRefH22_10x_0" localSheetId="77">'405'!$H$55</definedName>
    <definedName name="OSRRefH22_10x_0" localSheetId="78">'406'!$H$56:$H$60</definedName>
    <definedName name="OSRRefH22_10x_0" localSheetId="79">'411'!$H$56:$H$60</definedName>
    <definedName name="OSRRefH22_10x_0" localSheetId="80">'412'!$H$57:$H$61</definedName>
    <definedName name="OSRRefH22_10x_0" localSheetId="82">'413'!$H$58</definedName>
    <definedName name="OSRRefH22_10x_0" localSheetId="83">'414'!$H$54</definedName>
    <definedName name="OSRRefH22_10x_0" localSheetId="84">'415'!$H$56</definedName>
    <definedName name="OSRRefH22_10x_0" localSheetId="85">'418'!$H$58:$H$60</definedName>
    <definedName name="OSRRefH22_10x_0" localSheetId="87">'424'!$H$47</definedName>
    <definedName name="OSRRefH22_10x_0" localSheetId="88">'425'!$H$56</definedName>
    <definedName name="OSRRefH22_10x_0" localSheetId="92">'433'!$H$58</definedName>
    <definedName name="OSRRefH22_10x_0" localSheetId="94">'444'!$H$58</definedName>
    <definedName name="OSRRefH22_10x_0" localSheetId="95">'450'!$H$57:$H$59</definedName>
    <definedName name="OSRRefH22_10x_0" localSheetId="76">'491'!$H$68</definedName>
    <definedName name="OSRRefH22_10x_0" localSheetId="90">'492'!$H$61</definedName>
    <definedName name="OSRRefH22_10x_0" localSheetId="39">'Div 2'!$H$56</definedName>
    <definedName name="OSRRefH22_10x_0" localSheetId="47">'Div 3'!$H$193:$H$194</definedName>
    <definedName name="OSRRefH22_10x_0" localSheetId="74">'Div 4'!$H$69</definedName>
    <definedName name="OSRRefH22_10x_0" localSheetId="65">'Div 6'!$H$90</definedName>
    <definedName name="OSRRefH22_10x_0" localSheetId="2">Summary!$H$225:$H$226</definedName>
    <definedName name="OSRRefH22_11x_0" localSheetId="41">'201'!$H$53:$H$55</definedName>
    <definedName name="OSRRefH22_11x_0" localSheetId="42">'202'!$H$56</definedName>
    <definedName name="OSRRefH22_11x_0" localSheetId="43">'203'!$H$55</definedName>
    <definedName name="OSRRefH22_11x_0" localSheetId="48">'300'!$H$191</definedName>
    <definedName name="OSRRefH22_11x_0" localSheetId="49">'300 &amp; 317'!$H$215</definedName>
    <definedName name="OSRRefH22_11x_0" localSheetId="50">'301'!$H$58</definedName>
    <definedName name="OSRRefH22_11x_0" localSheetId="55">'308'!$H$93:$H$95</definedName>
    <definedName name="OSRRefH22_11x_0" localSheetId="67">'310'!$H$65</definedName>
    <definedName name="OSRRefH22_11x_0" localSheetId="75">'310 &amp; 491'!$H$76</definedName>
    <definedName name="OSRRefH22_11x_0" localSheetId="56">'311'!$H$92:$H$94</definedName>
    <definedName name="OSRRefH22_11x_0" localSheetId="69">'313'!$H$63</definedName>
    <definedName name="OSRRefH22_11x_0" localSheetId="71">'322'!$H$62</definedName>
    <definedName name="OSRRefH22_11x_0" localSheetId="72">'325'!$H$59:$H$61</definedName>
    <definedName name="OSRRefH22_11x_0" localSheetId="61">'326'!$H$88:$H$90</definedName>
    <definedName name="OSRRefH22_11x_0" localSheetId="52">'330'!$H$108</definedName>
    <definedName name="OSRRefH22_11x_0" localSheetId="59">'331'!$H$111</definedName>
    <definedName name="OSRRefH22_11x_0" localSheetId="62">'332'!$H$78</definedName>
    <definedName name="OSRRefH22_11x_0" localSheetId="77">'405'!$H$57:$H$59</definedName>
    <definedName name="OSRRefH22_11x_0" localSheetId="78">'406'!$H$62</definedName>
    <definedName name="OSRRefH22_11x_0" localSheetId="79">'411'!$H$62:$H$65</definedName>
    <definedName name="OSRRefH22_11x_0" localSheetId="80">'412'!$H$63</definedName>
    <definedName name="OSRRefH22_11x_0" localSheetId="83">'414'!$H$56</definedName>
    <definedName name="OSRRefH22_11x_0" localSheetId="84">'415'!$H$58:$H$59</definedName>
    <definedName name="OSRRefH22_11x_0" localSheetId="85">'418'!$H$62</definedName>
    <definedName name="OSRRefH22_11x_0" localSheetId="87">'424'!$H$49</definedName>
    <definedName name="OSRRefH22_11x_0" localSheetId="88">'425'!$H$58:$H$59</definedName>
    <definedName name="OSRRefH22_11x_0" localSheetId="92">'433'!$H$60:$H$62</definedName>
    <definedName name="OSRRefH22_11x_0" localSheetId="94">'444'!$H$60</definedName>
    <definedName name="OSRRefH22_11x_0" localSheetId="95">'450'!$H$61:$H$66</definedName>
    <definedName name="OSRRefH22_11x_0" localSheetId="76">'491'!$H$70</definedName>
    <definedName name="OSRRefH22_11x_0" localSheetId="90">'492'!$H$63</definedName>
    <definedName name="OSRRefH22_11x_0" localSheetId="39">'Div 2'!$H$58</definedName>
    <definedName name="OSRRefH22_11x_0" localSheetId="47">'Div 3'!$H$196</definedName>
    <definedName name="OSRRefH22_11x_0" localSheetId="74">'Div 4'!$H$71</definedName>
    <definedName name="OSRRefH22_11x_0" localSheetId="2">Summary!$H$228:$H$229</definedName>
    <definedName name="OSRRefH22_12x_0" localSheetId="41">'201'!$H$57</definedName>
    <definedName name="OSRRefH22_12x_0" localSheetId="43">'203'!$H$57:$H$60</definedName>
    <definedName name="OSRRefH22_12x_0" localSheetId="48">'300'!$H$193</definedName>
    <definedName name="OSRRefH22_12x_0" localSheetId="49">'300 &amp; 317'!$H$217</definedName>
    <definedName name="OSRRefH22_12x_0" localSheetId="50">'301'!$H$60</definedName>
    <definedName name="OSRRefH22_12x_0" localSheetId="55">'308'!$H$97:$H$98</definedName>
    <definedName name="OSRRefH22_12x_0" localSheetId="67">'310'!$H$67</definedName>
    <definedName name="OSRRefH22_12x_0" localSheetId="75">'310 &amp; 491'!$H$78</definedName>
    <definedName name="OSRRefH22_12x_0" localSheetId="56">'311'!$H$96:$H$97</definedName>
    <definedName name="OSRRefH22_12x_0" localSheetId="71">'322'!$H$64</definedName>
    <definedName name="OSRRefH22_12x_0" localSheetId="72">'325'!$H$63</definedName>
    <definedName name="OSRRefH22_12x_0" localSheetId="61">'326'!$H$92</definedName>
    <definedName name="OSRRefH22_12x_0" localSheetId="59">'331'!$H$113:$H$114</definedName>
    <definedName name="OSRRefH22_12x_0" localSheetId="77">'405'!$H$61</definedName>
    <definedName name="OSRRefH22_12x_0" localSheetId="78">'406'!$H$64</definedName>
    <definedName name="OSRRefH22_12x_0" localSheetId="79">'411'!$H$67</definedName>
    <definedName name="OSRRefH22_12x_0" localSheetId="80">'412'!$H$65</definedName>
    <definedName name="OSRRefH22_12x_0" localSheetId="83">'414'!$H$58:$H$64</definedName>
    <definedName name="OSRRefH22_12x_0" localSheetId="84">'415'!$H$61:$H$65</definedName>
    <definedName name="OSRRefH22_12x_0" localSheetId="85">'418'!$H$64:$H$67</definedName>
    <definedName name="OSRRefH22_12x_0" localSheetId="88">'425'!$H$61:$H$63</definedName>
    <definedName name="OSRRefH22_12x_0" localSheetId="92">'433'!$H$64:$H$70</definedName>
    <definedName name="OSRRefH22_12x_0" localSheetId="94">'444'!$H$62:$H$64</definedName>
    <definedName name="OSRRefH22_12x_0" localSheetId="95">'450'!$H$68</definedName>
    <definedName name="OSRRefH22_12x_0" localSheetId="76">'491'!$H$72</definedName>
    <definedName name="OSRRefH22_12x_0" localSheetId="90">'492'!$H$65</definedName>
    <definedName name="OSRRefH22_12x_0" localSheetId="39">'Div 2'!$H$60:$H$63</definedName>
    <definedName name="OSRRefH22_12x_0" localSheetId="47">'Div 3'!$H$198</definedName>
    <definedName name="OSRRefH22_12x_0" localSheetId="74">'Div 4'!$H$73</definedName>
    <definedName name="OSRRefH22_12x_0" localSheetId="2">Summary!$H$231</definedName>
    <definedName name="OSRRefH22_13x_0" localSheetId="41">'201'!$H$59</definedName>
    <definedName name="OSRRefH22_13x_0" localSheetId="43">'203'!$H$62</definedName>
    <definedName name="OSRRefH22_13x_0" localSheetId="48">'300'!$H$195</definedName>
    <definedName name="OSRRefH22_13x_0" localSheetId="49">'300 &amp; 317'!$H$219</definedName>
    <definedName name="OSRRefH22_13x_0" localSheetId="50">'301'!$H$62</definedName>
    <definedName name="OSRRefH22_13x_0" localSheetId="55">'308'!$H$100</definedName>
    <definedName name="OSRRefH22_13x_0" localSheetId="67">'310'!$H$69:$H$70</definedName>
    <definedName name="OSRRefH22_13x_0" localSheetId="75">'310 &amp; 491'!$H$80</definedName>
    <definedName name="OSRRefH22_13x_0" localSheetId="56">'311'!$H$99</definedName>
    <definedName name="OSRRefH22_13x_0" localSheetId="72">'325'!$H$65:$H$68</definedName>
    <definedName name="OSRRefH22_13x_0" localSheetId="61">'326'!$H$94:$H$95</definedName>
    <definedName name="OSRRefH22_13x_0" localSheetId="59">'331'!$H$116:$H$118</definedName>
    <definedName name="OSRRefH22_13x_0" localSheetId="77">'405'!$H$63:$H$69</definedName>
    <definedName name="OSRRefH22_13x_0" localSheetId="79">'411'!$H$69</definedName>
    <definedName name="OSRRefH22_13x_0" localSheetId="83">'414'!$H$66</definedName>
    <definedName name="OSRRefH22_13x_0" localSheetId="84">'415'!$H$67</definedName>
    <definedName name="OSRRefH22_13x_0" localSheetId="85">'418'!$H$69</definedName>
    <definedName name="OSRRefH22_13x_0" localSheetId="88">'425'!$H$65</definedName>
    <definedName name="OSRRefH22_13x_0" localSheetId="92">'433'!$H$72</definedName>
    <definedName name="OSRRefH22_13x_0" localSheetId="94">'444'!$H$66:$H$73</definedName>
    <definedName name="OSRRefH22_13x_0" localSheetId="95">'450'!$H$70</definedName>
    <definedName name="OSRRefH22_13x_0" localSheetId="76">'491'!$H$74:$H$75</definedName>
    <definedName name="OSRRefH22_13x_0" localSheetId="90">'492'!$H$67:$H$69</definedName>
    <definedName name="OSRRefH22_13x_0" localSheetId="39">'Div 2'!$H$65:$H$67</definedName>
    <definedName name="OSRRefH22_13x_0" localSheetId="47">'Div 3'!$H$200</definedName>
    <definedName name="OSRRefH22_13x_0" localSheetId="74">'Div 4'!$H$75</definedName>
    <definedName name="OSRRefH22_13x_0" localSheetId="2">Summary!$H$233</definedName>
    <definedName name="OSRRefH22_14x_0" localSheetId="43">'203'!$H$64</definedName>
    <definedName name="OSRRefH22_14x_0" localSheetId="48">'300'!$H$197</definedName>
    <definedName name="OSRRefH22_14x_0" localSheetId="49">'300 &amp; 317'!$H$221</definedName>
    <definedName name="OSRRefH22_14x_0" localSheetId="50">'301'!$H$64</definedName>
    <definedName name="OSRRefH22_14x_0" localSheetId="55">'308'!$H$102</definedName>
    <definedName name="OSRRefH22_14x_0" localSheetId="67">'310'!$H$72:$H$75</definedName>
    <definedName name="OSRRefH22_14x_0" localSheetId="75">'310 &amp; 491'!$H$82</definedName>
    <definedName name="OSRRefH22_14x_0" localSheetId="56">'311'!$H$101</definedName>
    <definedName name="OSRRefH22_14x_0" localSheetId="72">'325'!$H$70</definedName>
    <definedName name="OSRRefH22_14x_0" localSheetId="61">'326'!$H$97</definedName>
    <definedName name="OSRRefH22_14x_0" localSheetId="59">'331'!$H$120</definedName>
    <definedName name="OSRRefH22_14x_0" localSheetId="77">'405'!$H$71</definedName>
    <definedName name="OSRRefH22_14x_0" localSheetId="79">'411'!$H$71:$H$73</definedName>
    <definedName name="OSRRefH22_14x_0" localSheetId="84">'415'!$H$69:$H$75</definedName>
    <definedName name="OSRRefH22_14x_0" localSheetId="85">'418'!$H$71</definedName>
    <definedName name="OSRRefH22_14x_0" localSheetId="88">'425'!$H$67</definedName>
    <definedName name="OSRRefH22_14x_0" localSheetId="92">'433'!$H$74</definedName>
    <definedName name="OSRRefH22_14x_0" localSheetId="94">'444'!$H$75</definedName>
    <definedName name="OSRRefH22_14x_0" localSheetId="95">'450'!$H$72</definedName>
    <definedName name="OSRRefH22_14x_0" localSheetId="76">'491'!$H$77:$H$78</definedName>
    <definedName name="OSRRefH22_14x_0" localSheetId="90">'492'!$H$71:$H$78</definedName>
    <definedName name="OSRRefH22_14x_0" localSheetId="39">'Div 2'!$H$69:$H$70</definedName>
    <definedName name="OSRRefH22_14x_0" localSheetId="47">'Div 3'!$H$202</definedName>
    <definedName name="OSRRefH22_14x_0" localSheetId="74">'Div 4'!$H$77</definedName>
    <definedName name="OSRRefH22_14x_0" localSheetId="2">Summary!$H$235</definedName>
    <definedName name="OSRRefH22_15x_0" localSheetId="43">'203'!$H$66</definedName>
    <definedName name="OSRRefH22_15x_0" localSheetId="48">'300'!$H$199</definedName>
    <definedName name="OSRRefH22_15x_0" localSheetId="49">'300 &amp; 317'!$H$223</definedName>
    <definedName name="OSRRefH22_15x_0" localSheetId="50">'301'!$H$66:$H$69</definedName>
    <definedName name="OSRRefH22_15x_0" localSheetId="67">'310'!$H$77</definedName>
    <definedName name="OSRRefH22_15x_0" localSheetId="75">'310 &amp; 491'!$H$84:$H$85</definedName>
    <definedName name="OSRRefH22_15x_0" localSheetId="72">'325'!$H$72</definedName>
    <definedName name="OSRRefH22_15x_0" localSheetId="61">'326'!$H$99</definedName>
    <definedName name="OSRRefH22_15x_0" localSheetId="59">'331'!$H$122:$H$126</definedName>
    <definedName name="OSRRefH22_15x_0" localSheetId="77">'405'!$H$73</definedName>
    <definedName name="OSRRefH22_15x_0" localSheetId="79">'411'!$H$75</definedName>
    <definedName name="OSRRefH22_15x_0" localSheetId="84">'415'!$H$77</definedName>
    <definedName name="OSRRefH22_15x_0" localSheetId="92">'433'!$H$76</definedName>
    <definedName name="OSRRefH22_15x_0" localSheetId="94">'444'!$H$77</definedName>
    <definedName name="OSRRefH22_15x_0" localSheetId="76">'491'!$H$80:$H$84</definedName>
    <definedName name="OSRRefH22_15x_0" localSheetId="90">'492'!$H$80</definedName>
    <definedName name="OSRRefH22_15x_0" localSheetId="39">'Div 2'!$H$72</definedName>
    <definedName name="OSRRefH22_15x_0" localSheetId="47">'Div 3'!$H$204</definedName>
    <definedName name="OSRRefH22_15x_0" localSheetId="74">'Div 4'!$H$79:$H$80</definedName>
    <definedName name="OSRRefH22_15x_0" localSheetId="2">Summary!$H$237</definedName>
    <definedName name="OSRRefH22_16x_0" localSheetId="48">'300'!$H$201:$H$204</definedName>
    <definedName name="OSRRefH22_16x_0" localSheetId="49">'300 &amp; 317'!$H$225:$H$228</definedName>
    <definedName name="OSRRefH22_16x_0" localSheetId="50">'301'!$H$71:$H$73</definedName>
    <definedName name="OSRRefH22_16x_0" localSheetId="67">'310'!$H$79:$H$84</definedName>
    <definedName name="OSRRefH22_16x_0" localSheetId="75">'310 &amp; 491'!$H$87:$H$88</definedName>
    <definedName name="OSRRefH22_16x_0" localSheetId="61">'326'!$H$101</definedName>
    <definedName name="OSRRefH22_16x_0" localSheetId="59">'331'!$H$128</definedName>
    <definedName name="OSRRefH22_16x_0" localSheetId="77">'405'!$H$75</definedName>
    <definedName name="OSRRefH22_16x_0" localSheetId="84">'415'!$H$79</definedName>
    <definedName name="OSRRefH22_16x_0" localSheetId="94">'444'!$H$79</definedName>
    <definedName name="OSRRefH22_16x_0" localSheetId="76">'491'!$H$86</definedName>
    <definedName name="OSRRefH22_16x_0" localSheetId="90">'492'!$H$82</definedName>
    <definedName name="OSRRefH22_16x_0" localSheetId="39">'Div 2'!$H$74:$H$78</definedName>
    <definedName name="OSRRefH22_16x_0" localSheetId="47">'Div 3'!$H$206</definedName>
    <definedName name="OSRRefH22_16x_0" localSheetId="74">'Div 4'!$H$82:$H$83</definedName>
    <definedName name="OSRRefH22_16x_0" localSheetId="2">Summary!$H$239</definedName>
    <definedName name="OSRRefH22_17x_0" localSheetId="48">'300'!$H$206:$H$208</definedName>
    <definedName name="OSRRefH22_17x_0" localSheetId="49">'300 &amp; 317'!$H$230:$H$232</definedName>
    <definedName name="OSRRefH22_17x_0" localSheetId="50">'301'!$H$75</definedName>
    <definedName name="OSRRefH22_17x_0" localSheetId="67">'310'!$H$86</definedName>
    <definedName name="OSRRefH22_17x_0" localSheetId="75">'310 &amp; 491'!$H$90:$H$94</definedName>
    <definedName name="OSRRefH22_17x_0" localSheetId="59">'331'!$H$130</definedName>
    <definedName name="OSRRefH22_17x_0" localSheetId="76">'491'!$H$88:$H$96</definedName>
    <definedName name="OSRRefH22_17x_0" localSheetId="90">'492'!$H$84</definedName>
    <definedName name="OSRRefH22_17x_0" localSheetId="39">'Div 2'!$H$80:$H$81</definedName>
    <definedName name="OSRRefH22_17x_0" localSheetId="47">'Div 3'!$H$208:$H$211</definedName>
    <definedName name="OSRRefH22_17x_0" localSheetId="74">'Div 4'!$H$85:$H$89</definedName>
    <definedName name="OSRRefH22_17x_0" localSheetId="2">Summary!$H$241</definedName>
    <definedName name="OSRRefH22_18x_0" localSheetId="48">'300'!$H$210:$H$213</definedName>
    <definedName name="OSRRefH22_18x_0" localSheetId="49">'300 &amp; 317'!$H$234:$H$237</definedName>
    <definedName name="OSRRefH22_18x_0" localSheetId="50">'301'!$H$77:$H$82</definedName>
    <definedName name="OSRRefH22_18x_0" localSheetId="67">'310'!$H$88</definedName>
    <definedName name="OSRRefH22_18x_0" localSheetId="75">'310 &amp; 491'!$H$96</definedName>
    <definedName name="OSRRefH22_18x_0" localSheetId="59">'331'!$H$132</definedName>
    <definedName name="OSRRefH22_18x_0" localSheetId="76">'491'!$H$98</definedName>
    <definedName name="OSRRefH22_18x_0" localSheetId="39">'Div 2'!$H$83</definedName>
    <definedName name="OSRRefH22_18x_0" localSheetId="47">'Div 3'!$H$213:$H$215</definedName>
    <definedName name="OSRRefH22_18x_0" localSheetId="74">'Div 4'!$H$91</definedName>
    <definedName name="OSRRefH22_18x_0" localSheetId="2">Summary!$H$243:$H$246</definedName>
    <definedName name="OSRRefH22_19x_0" localSheetId="48">'300'!$H$215:$H$216</definedName>
    <definedName name="OSRRefH22_19x_0" localSheetId="49">'300 &amp; 317'!$H$239:$H$240</definedName>
    <definedName name="OSRRefH22_19x_0" localSheetId="50">'301'!$H$84</definedName>
    <definedName name="OSRRefH22_19x_0" localSheetId="75">'310 &amp; 491'!$H$98:$H$106</definedName>
    <definedName name="OSRRefH22_19x_0" localSheetId="59">'331'!$H$134</definedName>
    <definedName name="OSRRefH22_19x_0" localSheetId="76">'491'!$H$100</definedName>
    <definedName name="OSRRefH22_19x_0" localSheetId="39">'Div 2'!$H$85:$H$86</definedName>
    <definedName name="OSRRefH22_19x_0" localSheetId="47">'Div 3'!$H$217:$H$221</definedName>
    <definedName name="OSRRefH22_19x_0" localSheetId="74">'Div 4'!$H$93:$H$101</definedName>
    <definedName name="OSRRefH22_19x_0" localSheetId="2">Summary!$H$248:$H$250</definedName>
    <definedName name="OSRRefH22_1x_0" localSheetId="40">'200'!$H$22</definedName>
    <definedName name="OSRRefH22_1x_0" localSheetId="41">'201'!$H$29:$H$31</definedName>
    <definedName name="OSRRefH22_1x_0" localSheetId="42">'202'!$H$29:$H$32</definedName>
    <definedName name="OSRRefH22_1x_0" localSheetId="43">'203'!$H$30:$H$33</definedName>
    <definedName name="OSRRefH22_1x_0" localSheetId="44">'204'!$H$30:$H$34</definedName>
    <definedName name="OSRRefH22_1x_0" localSheetId="45">'205'!$H$29</definedName>
    <definedName name="OSRRefH22_1x_0" localSheetId="46">'206'!$H$28:$H$31</definedName>
    <definedName name="OSRRefH22_1x_0" localSheetId="48">'300'!$H$162:$H$168</definedName>
    <definedName name="OSRRefH22_1x_0" localSheetId="49">'300 &amp; 317'!$H$186:$H$192</definedName>
    <definedName name="OSRRefH22_1x_0" localSheetId="50">'301'!$H$30:$H$36</definedName>
    <definedName name="OSRRefH22_1x_0" localSheetId="51">'306'!$H$30:$H$35</definedName>
    <definedName name="OSRRefH22_1x_0" localSheetId="53">'307'!$H$67:$H$70</definedName>
    <definedName name="OSRRefH22_1x_0" localSheetId="55">'308'!$H$67:$H$72</definedName>
    <definedName name="OSRRefH22_1x_0" localSheetId="68">'309'!$H$33:$H$36</definedName>
    <definedName name="OSRRefH22_1x_0" localSheetId="67">'310'!$H$39:$H$44</definedName>
    <definedName name="OSRRefH22_1x_0" localSheetId="75">'310 &amp; 491'!$H$47:$H$53</definedName>
    <definedName name="OSRRefH22_1x_0" localSheetId="56">'311'!$H$66:$H$71</definedName>
    <definedName name="OSRRefH22_1x_0" localSheetId="69">'313'!$H$36:$H$40</definedName>
    <definedName name="OSRRefH22_1x_0" localSheetId="54">'314'!$H$61:$H$62</definedName>
    <definedName name="OSRRefH22_1x_0" localSheetId="60">'315'!$H$80:$H$84</definedName>
    <definedName name="OSRRefH22_1x_0" localSheetId="63">'316'!$H$41:$H$43</definedName>
    <definedName name="OSRRefH22_1x_0" localSheetId="66">'317'!$H$65:$H$69</definedName>
    <definedName name="OSRRefH22_1x_0" localSheetId="64">'320'!$H$36:$H$38</definedName>
    <definedName name="OSRRefH22_1x_0" localSheetId="70">'321'!$H$33:$H$37</definedName>
    <definedName name="OSRRefH22_1x_0" localSheetId="71">'322'!$H$33:$H$35</definedName>
    <definedName name="OSRRefH22_1x_0" localSheetId="72">'325'!$H$33:$H$37</definedName>
    <definedName name="OSRRefH22_1x_0" localSheetId="61">'326'!$H$64:$H$68</definedName>
    <definedName name="OSRRefH22_1x_0" localSheetId="52">'330'!$H$81:$H$84</definedName>
    <definedName name="OSRRefH22_1x_0" localSheetId="59">'331'!$H$87:$H$91</definedName>
    <definedName name="OSRRefH22_1x_0" localSheetId="62">'332'!$H$49:$H$52</definedName>
    <definedName name="OSRRefH22_1x_0" localSheetId="77">'405'!$H$33:$H$35</definedName>
    <definedName name="OSRRefH22_1x_0" localSheetId="78">'406'!$H$33:$H$37</definedName>
    <definedName name="OSRRefH22_1x_0" localSheetId="79">'411'!$H$30:$H$35</definedName>
    <definedName name="OSRRefH22_1x_0" localSheetId="80">'412'!$H$32:$H$37</definedName>
    <definedName name="OSRRefH22_1x_0" localSheetId="82">'413'!$H$33:$H$35</definedName>
    <definedName name="OSRRefH22_1x_0" localSheetId="83">'414'!$H$32:$H$35</definedName>
    <definedName name="OSRRefH22_1x_0" localSheetId="84">'415'!$H$33:$H$37</definedName>
    <definedName name="OSRRefH22_1x_0" localSheetId="85">'418'!$H$33:$H$37</definedName>
    <definedName name="OSRRefH22_1x_0" localSheetId="86">'423'!$H$30</definedName>
    <definedName name="OSRRefH22_1x_0" localSheetId="87">'424'!$H$25:$H$28</definedName>
    <definedName name="OSRRefH22_1x_0" localSheetId="88">'425'!$H$33:$H$37</definedName>
    <definedName name="OSRRefH22_1x_0" localSheetId="91">'430'!$H$29</definedName>
    <definedName name="OSRRefH22_1x_0" localSheetId="92">'433'!$H$35:$H$40</definedName>
    <definedName name="OSRRefH22_1x_0" localSheetId="93">'435'!$H$28:$H$29</definedName>
    <definedName name="OSRRefH22_1x_0" localSheetId="94">'444'!$H$35:$H$40</definedName>
    <definedName name="OSRRefH22_1x_0" localSheetId="95">'450'!$H$34:$H$39</definedName>
    <definedName name="OSRRefH22_1x_0" localSheetId="89">'455'!$H$28:$H$29</definedName>
    <definedName name="OSRRefH22_1x_0" localSheetId="76">'491'!$H$41:$H$47</definedName>
    <definedName name="OSRRefH22_1x_0" localSheetId="90">'492'!$H$37:$H$43</definedName>
    <definedName name="OSRRefH22_1x_0" localSheetId="97">'501'!$H$31:$H$35</definedName>
    <definedName name="OSRRefH22_1x_0" localSheetId="39">'Div 2'!$H$31:$H$37</definedName>
    <definedName name="OSRRefH22_1x_0" localSheetId="47">'Div 3'!$H$167:$H$173</definedName>
    <definedName name="OSRRefH22_1x_0" localSheetId="74">'Div 4'!$H$42:$H$48</definedName>
    <definedName name="OSRRefH22_1x_0" localSheetId="96">'Div 5'!$H$31:$H$35</definedName>
    <definedName name="OSRRefH22_1x_0" localSheetId="65">'Div 6'!$H$65:$H$69</definedName>
    <definedName name="OSRRefH22_1x_0" localSheetId="2">Summary!$H$198:$H$204</definedName>
    <definedName name="OSRRefH22_20x_0" localSheetId="48">'300'!$H$218:$H$224</definedName>
    <definedName name="OSRRefH22_20x_0" localSheetId="49">'300 &amp; 317'!$H$242:$H$248</definedName>
    <definedName name="OSRRefH22_20x_0" localSheetId="50">'301'!$H$86</definedName>
    <definedName name="OSRRefH22_20x_0" localSheetId="75">'310 &amp; 491'!$H$108</definedName>
    <definedName name="OSRRefH22_20x_0" localSheetId="76">'491'!$H$102:$H$104</definedName>
    <definedName name="OSRRefH22_20x_0" localSheetId="47">'Div 3'!$H$223:$H$224</definedName>
    <definedName name="OSRRefH22_20x_0" localSheetId="74">'Div 4'!$H$103</definedName>
    <definedName name="OSRRefH22_20x_0" localSheetId="2">Summary!$H$252:$H$256</definedName>
    <definedName name="OSRRefH22_21x_0" localSheetId="48">'300'!$H$226:$H$227</definedName>
    <definedName name="OSRRefH22_21x_0" localSheetId="49">'300 &amp; 317'!$H$250:$H$251</definedName>
    <definedName name="OSRRefH22_21x_0" localSheetId="50">'301'!$H$88:$H$89</definedName>
    <definedName name="OSRRefH22_21x_0" localSheetId="75">'310 &amp; 491'!$H$110</definedName>
    <definedName name="OSRRefH22_21x_0" localSheetId="76">'491'!$H$106</definedName>
    <definedName name="OSRRefH22_21x_0" localSheetId="47">'Div 3'!$H$226:$H$232</definedName>
    <definedName name="OSRRefH22_21x_0" localSheetId="74">'Div 4'!$H$105</definedName>
    <definedName name="OSRRefH22_21x_0" localSheetId="2">Summary!$H$258:$H$259</definedName>
    <definedName name="OSRRefH22_22x_0" localSheetId="48">'300'!$H$229</definedName>
    <definedName name="OSRRefH22_22x_0" localSheetId="49">'300 &amp; 317'!$H$253</definedName>
    <definedName name="OSRRefH22_22x_0" localSheetId="50">'301'!$H$91</definedName>
    <definedName name="OSRRefH22_22x_0" localSheetId="75">'310 &amp; 491'!$H$112:$H$114</definedName>
    <definedName name="OSRRefH22_22x_0" localSheetId="47">'Div 3'!$H$234:$H$235</definedName>
    <definedName name="OSRRefH22_22x_0" localSheetId="74">'Div 4'!$H$107:$H$109</definedName>
    <definedName name="OSRRefH22_22x_0" localSheetId="2">Summary!$H$261:$H$269</definedName>
    <definedName name="OSRRefH22_23x_0" localSheetId="48">'300'!$H$231:$H$233</definedName>
    <definedName name="OSRRefH22_23x_0" localSheetId="49">'300 &amp; 317'!$H$255:$H$257</definedName>
    <definedName name="OSRRefH22_23x_0" localSheetId="75">'310 &amp; 491'!$H$116</definedName>
    <definedName name="OSRRefH22_23x_0" localSheetId="47">'Div 3'!$H$237</definedName>
    <definedName name="OSRRefH22_23x_0" localSheetId="74">'Div 4'!$H$111</definedName>
    <definedName name="OSRRefH22_23x_0" localSheetId="2">Summary!$H$271:$H$272</definedName>
    <definedName name="OSRRefH22_24x_0" localSheetId="48">'300'!$H$235</definedName>
    <definedName name="OSRRefH22_24x_0" localSheetId="49">'300 &amp; 317'!$H$259</definedName>
    <definedName name="OSRRefH22_24x_0" localSheetId="47">'Div 3'!$H$239:$H$241</definedName>
    <definedName name="OSRRefH22_24x_0" localSheetId="2">Summary!$H$274</definedName>
    <definedName name="OSRRefH22_25x_0" localSheetId="47">'Div 3'!$H$243</definedName>
    <definedName name="OSRRefH22_25x_0" localSheetId="2">Summary!$H$276:$H$278</definedName>
    <definedName name="OSRRefH22_26x_0" localSheetId="2">Summary!$H$280</definedName>
    <definedName name="OSRRefH22_2x_0" localSheetId="40">'200'!$H$24</definedName>
    <definedName name="OSRRefH22_2x_0" localSheetId="41">'201'!$H$33</definedName>
    <definedName name="OSRRefH22_2x_0" localSheetId="42">'202'!$H$34</definedName>
    <definedName name="OSRRefH22_2x_0" localSheetId="43">'203'!$H$35</definedName>
    <definedName name="OSRRefH22_2x_0" localSheetId="44">'204'!$H$36</definedName>
    <definedName name="OSRRefH22_2x_0" localSheetId="45">'205'!$H$31</definedName>
    <definedName name="OSRRefH22_2x_0" localSheetId="46">'206'!$H$33</definedName>
    <definedName name="OSRRefH22_2x_0" localSheetId="48">'300'!$H$170</definedName>
    <definedName name="OSRRefH22_2x_0" localSheetId="49">'300 &amp; 317'!$H$194</definedName>
    <definedName name="OSRRefH22_2x_0" localSheetId="50">'301'!$H$38</definedName>
    <definedName name="OSRRefH22_2x_0" localSheetId="51">'306'!$H$37</definedName>
    <definedName name="OSRRefH22_2x_0" localSheetId="53">'307'!$H$72</definedName>
    <definedName name="OSRRefH22_2x_0" localSheetId="55">'308'!$H$74</definedName>
    <definedName name="OSRRefH22_2x_0" localSheetId="68">'309'!$H$38</definedName>
    <definedName name="OSRRefH22_2x_0" localSheetId="67">'310'!$H$46</definedName>
    <definedName name="OSRRefH22_2x_0" localSheetId="75">'310 &amp; 491'!$H$55</definedName>
    <definedName name="OSRRefH22_2x_0" localSheetId="56">'311'!$H$73</definedName>
    <definedName name="OSRRefH22_2x_0" localSheetId="69">'313'!$H$42</definedName>
    <definedName name="OSRRefH22_2x_0" localSheetId="54">'314'!$H$64:$H$65</definedName>
    <definedName name="OSRRefH22_2x_0" localSheetId="60">'315'!$H$86</definedName>
    <definedName name="OSRRefH22_2x_0" localSheetId="63">'316'!$H$45</definedName>
    <definedName name="OSRRefH22_2x_0" localSheetId="66">'317'!$H$71</definedName>
    <definedName name="OSRRefH22_2x_0" localSheetId="64">'320'!$H$40</definedName>
    <definedName name="OSRRefH22_2x_0" localSheetId="70">'321'!$H$39</definedName>
    <definedName name="OSRRefH22_2x_0" localSheetId="71">'322'!$H$37</definedName>
    <definedName name="OSRRefH22_2x_0" localSheetId="72">'325'!$H$39</definedName>
    <definedName name="OSRRefH22_2x_0" localSheetId="61">'326'!$H$70</definedName>
    <definedName name="OSRRefH22_2x_0" localSheetId="52">'330'!$H$86</definedName>
    <definedName name="OSRRefH22_2x_0" localSheetId="59">'331'!$H$93</definedName>
    <definedName name="OSRRefH22_2x_0" localSheetId="62">'332'!$H$54</definedName>
    <definedName name="OSRRefH22_2x_0" localSheetId="77">'405'!$H$37</definedName>
    <definedName name="OSRRefH22_2x_0" localSheetId="78">'406'!$H$39</definedName>
    <definedName name="OSRRefH22_2x_0" localSheetId="79">'411'!$H$37</definedName>
    <definedName name="OSRRefH22_2x_0" localSheetId="80">'412'!$H$39</definedName>
    <definedName name="OSRRefH22_2x_0" localSheetId="82">'413'!$H$37</definedName>
    <definedName name="OSRRefH22_2x_0" localSheetId="83">'414'!$H$37</definedName>
    <definedName name="OSRRefH22_2x_0" localSheetId="84">'415'!$H$39</definedName>
    <definedName name="OSRRefH22_2x_0" localSheetId="85">'418'!$H$39</definedName>
    <definedName name="OSRRefH22_2x_0" localSheetId="86">'423'!$H$32</definedName>
    <definedName name="OSRRefH22_2x_0" localSheetId="87">'424'!$H$30</definedName>
    <definedName name="OSRRefH22_2x_0" localSheetId="88">'425'!$H$39</definedName>
    <definedName name="OSRRefH22_2x_0" localSheetId="91">'430'!$H$31</definedName>
    <definedName name="OSRRefH22_2x_0" localSheetId="92">'433'!$H$42</definedName>
    <definedName name="OSRRefH22_2x_0" localSheetId="93">'435'!$H$31</definedName>
    <definedName name="OSRRefH22_2x_0" localSheetId="94">'444'!$H$42</definedName>
    <definedName name="OSRRefH22_2x_0" localSheetId="95">'450'!$H$41</definedName>
    <definedName name="OSRRefH22_2x_0" localSheetId="76">'491'!$H$49</definedName>
    <definedName name="OSRRefH22_2x_0" localSheetId="90">'492'!$H$45</definedName>
    <definedName name="OSRRefH22_2x_0" localSheetId="97">'501'!$H$37</definedName>
    <definedName name="OSRRefH22_2x_0" localSheetId="39">'Div 2'!$H$39</definedName>
    <definedName name="OSRRefH22_2x_0" localSheetId="47">'Div 3'!$H$175</definedName>
    <definedName name="OSRRefH22_2x_0" localSheetId="74">'Div 4'!$H$50</definedName>
    <definedName name="OSRRefH22_2x_0" localSheetId="96">'Div 5'!$H$37</definedName>
    <definedName name="OSRRefH22_2x_0" localSheetId="65">'Div 6'!$H$71</definedName>
    <definedName name="OSRRefH22_2x_0" localSheetId="2">Summary!$H$206</definedName>
    <definedName name="OSRRefH22_3x_0" localSheetId="40">'200'!$H$26</definedName>
    <definedName name="OSRRefH22_3x_0" localSheetId="41">'201'!$H$35</definedName>
    <definedName name="OSRRefH22_3x_0" localSheetId="42">'202'!$H$36</definedName>
    <definedName name="OSRRefH22_3x_0" localSheetId="43">'203'!$H$37</definedName>
    <definedName name="OSRRefH22_3x_0" localSheetId="44">'204'!$H$38</definedName>
    <definedName name="OSRRefH22_3x_0" localSheetId="45">'205'!$H$33:$H$34</definedName>
    <definedName name="OSRRefH22_3x_0" localSheetId="46">'206'!$H$35</definedName>
    <definedName name="OSRRefH22_3x_0" localSheetId="48">'300'!$H$172</definedName>
    <definedName name="OSRRefH22_3x_0" localSheetId="49">'300 &amp; 317'!$H$196</definedName>
    <definedName name="OSRRefH22_3x_0" localSheetId="50">'301'!$H$40</definedName>
    <definedName name="OSRRefH22_3x_0" localSheetId="51">'306'!$H$39</definedName>
    <definedName name="OSRRefH22_3x_0" localSheetId="53">'307'!$H$74</definedName>
    <definedName name="OSRRefH22_3x_0" localSheetId="55">'308'!$H$76:$H$77</definedName>
    <definedName name="OSRRefH22_3x_0" localSheetId="68">'309'!$H$40</definedName>
    <definedName name="OSRRefH22_3x_0" localSheetId="67">'310'!$H$48</definedName>
    <definedName name="OSRRefH22_3x_0" localSheetId="75">'310 &amp; 491'!$H$57</definedName>
    <definedName name="OSRRefH22_3x_0" localSheetId="56">'311'!$H$75:$H$76</definedName>
    <definedName name="OSRRefH22_3x_0" localSheetId="69">'313'!$H$44</definedName>
    <definedName name="OSRRefH22_3x_0" localSheetId="54">'314'!$H$67</definedName>
    <definedName name="OSRRefH22_3x_0" localSheetId="60">'315'!$H$88</definedName>
    <definedName name="OSRRefH22_3x_0" localSheetId="63">'316'!$H$47</definedName>
    <definedName name="OSRRefH22_3x_0" localSheetId="66">'317'!$H$73</definedName>
    <definedName name="OSRRefH22_3x_0" localSheetId="64">'320'!$H$42:$H$43</definedName>
    <definedName name="OSRRefH22_3x_0" localSheetId="70">'321'!$H$41</definedName>
    <definedName name="OSRRefH22_3x_0" localSheetId="71">'322'!$H$39</definedName>
    <definedName name="OSRRefH22_3x_0" localSheetId="72">'325'!$H$41</definedName>
    <definedName name="OSRRefH22_3x_0" localSheetId="61">'326'!$H$72</definedName>
    <definedName name="OSRRefH22_3x_0" localSheetId="52">'330'!$H$88</definedName>
    <definedName name="OSRRefH22_3x_0" localSheetId="59">'331'!$H$95</definedName>
    <definedName name="OSRRefH22_3x_0" localSheetId="62">'332'!$H$56</definedName>
    <definedName name="OSRRefH22_3x_0" localSheetId="77">'405'!$H$39</definedName>
    <definedName name="OSRRefH22_3x_0" localSheetId="78">'406'!$H$41</definedName>
    <definedName name="OSRRefH22_3x_0" localSheetId="79">'411'!$H$39</definedName>
    <definedName name="OSRRefH22_3x_0" localSheetId="80">'412'!$H$41</definedName>
    <definedName name="OSRRefH22_3x_0" localSheetId="82">'413'!$H$39</definedName>
    <definedName name="OSRRefH22_3x_0" localSheetId="83">'414'!$H$39</definedName>
    <definedName name="OSRRefH22_3x_0" localSheetId="84">'415'!$H$41</definedName>
    <definedName name="OSRRefH22_3x_0" localSheetId="85">'418'!$H$41</definedName>
    <definedName name="OSRRefH22_3x_0" localSheetId="86">'423'!$H$34</definedName>
    <definedName name="OSRRefH22_3x_0" localSheetId="87">'424'!$H$32</definedName>
    <definedName name="OSRRefH22_3x_0" localSheetId="88">'425'!$H$41</definedName>
    <definedName name="OSRRefH22_3x_0" localSheetId="91">'430'!$H$33:$H$34</definedName>
    <definedName name="OSRRefH22_3x_0" localSheetId="92">'433'!$H$44</definedName>
    <definedName name="OSRRefH22_3x_0" localSheetId="93">'435'!$H$33</definedName>
    <definedName name="OSRRefH22_3x_0" localSheetId="94">'444'!$H$44</definedName>
    <definedName name="OSRRefH22_3x_0" localSheetId="95">'450'!$H$43</definedName>
    <definedName name="OSRRefH22_3x_0" localSheetId="76">'491'!$H$51</definedName>
    <definedName name="OSRRefH22_3x_0" localSheetId="90">'492'!$H$47</definedName>
    <definedName name="OSRRefH22_3x_0" localSheetId="97">'501'!$H$39</definedName>
    <definedName name="OSRRefH22_3x_0" localSheetId="39">'Div 2'!$H$41</definedName>
    <definedName name="OSRRefH22_3x_0" localSheetId="47">'Div 3'!$H$177</definedName>
    <definedName name="OSRRefH22_3x_0" localSheetId="74">'Div 4'!$H$52</definedName>
    <definedName name="OSRRefH22_3x_0" localSheetId="96">'Div 5'!$H$39</definedName>
    <definedName name="OSRRefH22_3x_0" localSheetId="65">'Div 6'!$H$73</definedName>
    <definedName name="OSRRefH22_3x_0" localSheetId="2">Summary!$H$208</definedName>
    <definedName name="OSRRefH22_4x_0" localSheetId="41">'201'!$H$37</definedName>
    <definedName name="OSRRefH22_4x_0" localSheetId="42">'202'!$H$38:$H$39</definedName>
    <definedName name="OSRRefH22_4x_0" localSheetId="43">'203'!$H$39</definedName>
    <definedName name="OSRRefH22_4x_0" localSheetId="44">'204'!$H$40:$H$42</definedName>
    <definedName name="OSRRefH22_4x_0" localSheetId="45">'205'!$H$36</definedName>
    <definedName name="OSRRefH22_4x_0" localSheetId="46">'206'!$H$37:$H$38</definedName>
    <definedName name="OSRRefH22_4x_0" localSheetId="48">'300'!$H$174</definedName>
    <definedName name="OSRRefH22_4x_0" localSheetId="49">'300 &amp; 317'!$H$198</definedName>
    <definedName name="OSRRefH22_4x_0" localSheetId="50">'301'!$H$42</definedName>
    <definedName name="OSRRefH22_4x_0" localSheetId="51">'306'!$H$41</definedName>
    <definedName name="OSRRefH22_4x_0" localSheetId="53">'307'!$H$76:$H$77</definedName>
    <definedName name="OSRRefH22_4x_0" localSheetId="55">'308'!$H$79</definedName>
    <definedName name="OSRRefH22_4x_0" localSheetId="68">'309'!$H$42</definedName>
    <definedName name="OSRRefH22_4x_0" localSheetId="67">'310'!$H$50</definedName>
    <definedName name="OSRRefH22_4x_0" localSheetId="75">'310 &amp; 491'!$H$59</definedName>
    <definedName name="OSRRefH22_4x_0" localSheetId="56">'311'!$H$78</definedName>
    <definedName name="OSRRefH22_4x_0" localSheetId="69">'313'!$H$46</definedName>
    <definedName name="OSRRefH22_4x_0" localSheetId="54">'314'!$H$69</definedName>
    <definedName name="OSRRefH22_4x_0" localSheetId="60">'315'!$H$90</definedName>
    <definedName name="OSRRefH22_4x_0" localSheetId="63">'316'!$H$49</definedName>
    <definedName name="OSRRefH22_4x_0" localSheetId="66">'317'!$H$75</definedName>
    <definedName name="OSRRefH22_4x_0" localSheetId="64">'320'!$H$45</definedName>
    <definedName name="OSRRefH22_4x_0" localSheetId="70">'321'!$H$43</definedName>
    <definedName name="OSRRefH22_4x_0" localSheetId="71">'322'!$H$41</definedName>
    <definedName name="OSRRefH22_4x_0" localSheetId="72">'325'!$H$43</definedName>
    <definedName name="OSRRefH22_4x_0" localSheetId="61">'326'!$H$74</definedName>
    <definedName name="OSRRefH22_4x_0" localSheetId="52">'330'!$H$90:$H$91</definedName>
    <definedName name="OSRRefH22_4x_0" localSheetId="59">'331'!$H$97</definedName>
    <definedName name="OSRRefH22_4x_0" localSheetId="62">'332'!$H$58</definedName>
    <definedName name="OSRRefH22_4x_0" localSheetId="77">'405'!$H$41</definedName>
    <definedName name="OSRRefH22_4x_0" localSheetId="78">'406'!$H$43</definedName>
    <definedName name="OSRRefH22_4x_0" localSheetId="79">'411'!$H$41:$H$43</definedName>
    <definedName name="OSRRefH22_4x_0" localSheetId="80">'412'!$H$43</definedName>
    <definedName name="OSRRefH22_4x_0" localSheetId="82">'413'!$H$41</definedName>
    <definedName name="OSRRefH22_4x_0" localSheetId="83">'414'!$H$41</definedName>
    <definedName name="OSRRefH22_4x_0" localSheetId="84">'415'!$H$43</definedName>
    <definedName name="OSRRefH22_4x_0" localSheetId="85">'418'!$H$43</definedName>
    <definedName name="OSRRefH22_4x_0" localSheetId="86">'423'!$H$36</definedName>
    <definedName name="OSRRefH22_4x_0" localSheetId="87">'424'!$H$34</definedName>
    <definedName name="OSRRefH22_4x_0" localSheetId="88">'425'!$H$43</definedName>
    <definedName name="OSRRefH22_4x_0" localSheetId="91">'430'!$H$36</definedName>
    <definedName name="OSRRefH22_4x_0" localSheetId="92">'433'!$H$46</definedName>
    <definedName name="OSRRefH22_4x_0" localSheetId="93">'435'!$H$35</definedName>
    <definedName name="OSRRefH22_4x_0" localSheetId="94">'444'!$H$46</definedName>
    <definedName name="OSRRefH22_4x_0" localSheetId="95">'450'!$H$45</definedName>
    <definedName name="OSRRefH22_4x_0" localSheetId="76">'491'!$H$53</definedName>
    <definedName name="OSRRefH22_4x_0" localSheetId="90">'492'!$H$49</definedName>
    <definedName name="OSRRefH22_4x_0" localSheetId="97">'501'!$H$41</definedName>
    <definedName name="OSRRefH22_4x_0" localSheetId="39">'Div 2'!$H$43</definedName>
    <definedName name="OSRRefH22_4x_0" localSheetId="47">'Div 3'!$H$179</definedName>
    <definedName name="OSRRefH22_4x_0" localSheetId="74">'Div 4'!$H$54</definedName>
    <definedName name="OSRRefH22_4x_0" localSheetId="96">'Div 5'!$H$41</definedName>
    <definedName name="OSRRefH22_4x_0" localSheetId="65">'Div 6'!$H$75</definedName>
    <definedName name="OSRRefH22_4x_0" localSheetId="2">Summary!$H$210</definedName>
    <definedName name="OSRRefH22_5x_0" localSheetId="41">'201'!$H$39</definedName>
    <definedName name="OSRRefH22_5x_0" localSheetId="42">'202'!$H$41</definedName>
    <definedName name="OSRRefH22_5x_0" localSheetId="43">'203'!$H$41</definedName>
    <definedName name="OSRRefH22_5x_0" localSheetId="44">'204'!$H$44</definedName>
    <definedName name="OSRRefH22_5x_0" localSheetId="45">'205'!$H$38</definedName>
    <definedName name="OSRRefH22_5x_0" localSheetId="46">'206'!$H$40</definedName>
    <definedName name="OSRRefH22_5x_0" localSheetId="48">'300'!$H$176:$H$177</definedName>
    <definedName name="OSRRefH22_5x_0" localSheetId="49">'300 &amp; 317'!$H$200:$H$201</definedName>
    <definedName name="OSRRefH22_5x_0" localSheetId="50">'301'!$H$44:$H$45</definedName>
    <definedName name="OSRRefH22_5x_0" localSheetId="53">'307'!$H$79</definedName>
    <definedName name="OSRRefH22_5x_0" localSheetId="55">'308'!$H$81</definedName>
    <definedName name="OSRRefH22_5x_0" localSheetId="68">'309'!$H$44</definedName>
    <definedName name="OSRRefH22_5x_0" localSheetId="67">'310'!$H$52:$H$53</definedName>
    <definedName name="OSRRefH22_5x_0" localSheetId="75">'310 &amp; 491'!$H$61:$H$63</definedName>
    <definedName name="OSRRefH22_5x_0" localSheetId="56">'311'!$H$80</definedName>
    <definedName name="OSRRefH22_5x_0" localSheetId="69">'313'!$H$48</definedName>
    <definedName name="OSRRefH22_5x_0" localSheetId="60">'315'!$H$92</definedName>
    <definedName name="OSRRefH22_5x_0" localSheetId="63">'316'!$H$51:$H$52</definedName>
    <definedName name="OSRRefH22_5x_0" localSheetId="66">'317'!$H$77:$H$78</definedName>
    <definedName name="OSRRefH22_5x_0" localSheetId="64">'320'!$H$47:$H$48</definedName>
    <definedName name="OSRRefH22_5x_0" localSheetId="70">'321'!$H$45</definedName>
    <definedName name="OSRRefH22_5x_0" localSheetId="71">'322'!$H$43</definedName>
    <definedName name="OSRRefH22_5x_0" localSheetId="72">'325'!$H$45:$H$46</definedName>
    <definedName name="OSRRefH22_5x_0" localSheetId="61">'326'!$H$76</definedName>
    <definedName name="OSRRefH22_5x_0" localSheetId="52">'330'!$H$93</definedName>
    <definedName name="OSRRefH22_5x_0" localSheetId="59">'331'!$H$99</definedName>
    <definedName name="OSRRefH22_5x_0" localSheetId="62">'332'!$H$60:$H$61</definedName>
    <definedName name="OSRRefH22_5x_0" localSheetId="77">'405'!$H$43:$H$44</definedName>
    <definedName name="OSRRefH22_5x_0" localSheetId="78">'406'!$H$45</definedName>
    <definedName name="OSRRefH22_5x_0" localSheetId="79">'411'!$H$45</definedName>
    <definedName name="OSRRefH22_5x_0" localSheetId="80">'412'!$H$45</definedName>
    <definedName name="OSRRefH22_5x_0" localSheetId="82">'413'!$H$43</definedName>
    <definedName name="OSRRefH22_5x_0" localSheetId="83">'414'!$H$43</definedName>
    <definedName name="OSRRefH22_5x_0" localSheetId="84">'415'!$H$45:$H$46</definedName>
    <definedName name="OSRRefH22_5x_0" localSheetId="85">'418'!$H$45:$H$46</definedName>
    <definedName name="OSRRefH22_5x_0" localSheetId="86">'423'!$H$38</definedName>
    <definedName name="OSRRefH22_5x_0" localSheetId="87">'424'!$H$36</definedName>
    <definedName name="OSRRefH22_5x_0" localSheetId="88">'425'!$H$45</definedName>
    <definedName name="OSRRefH22_5x_0" localSheetId="91">'430'!$H$38</definedName>
    <definedName name="OSRRefH22_5x_0" localSheetId="92">'433'!$H$48</definedName>
    <definedName name="OSRRefH22_5x_0" localSheetId="93">'435'!$H$37:$H$38</definedName>
    <definedName name="OSRRefH22_5x_0" localSheetId="94">'444'!$H$48</definedName>
    <definedName name="OSRRefH22_5x_0" localSheetId="95">'450'!$H$47</definedName>
    <definedName name="OSRRefH22_5x_0" localSheetId="76">'491'!$H$55:$H$57</definedName>
    <definedName name="OSRRefH22_5x_0" localSheetId="90">'492'!$H$51</definedName>
    <definedName name="OSRRefH22_5x_0" localSheetId="97">'501'!$H$43</definedName>
    <definedName name="OSRRefH22_5x_0" localSheetId="39">'Div 2'!$H$45</definedName>
    <definedName name="OSRRefH22_5x_0" localSheetId="47">'Div 3'!$H$181:$H$182</definedName>
    <definedName name="OSRRefH22_5x_0" localSheetId="74">'Div 4'!$H$56:$H$58</definedName>
    <definedName name="OSRRefH22_5x_0" localSheetId="96">'Div 5'!$H$43</definedName>
    <definedName name="OSRRefH22_5x_0" localSheetId="65">'Div 6'!$H$77:$H$78</definedName>
    <definedName name="OSRRefH22_5x_0" localSheetId="2">Summary!$H$212:$H$214</definedName>
    <definedName name="OSRRefH22_6x_0" localSheetId="41">'201'!$H$41</definedName>
    <definedName name="OSRRefH22_6x_0" localSheetId="42">'202'!$H$43</definedName>
    <definedName name="OSRRefH22_6x_0" localSheetId="43">'203'!$H$43</definedName>
    <definedName name="OSRRefH22_6x_0" localSheetId="44">'204'!$H$46:$H$47</definedName>
    <definedName name="OSRRefH22_6x_0" localSheetId="45">'205'!$H$40</definedName>
    <definedName name="OSRRefH22_6x_0" localSheetId="46">'206'!$H$42</definedName>
    <definedName name="OSRRefH22_6x_0" localSheetId="48">'300'!$H$179:$H$180</definedName>
    <definedName name="OSRRefH22_6x_0" localSheetId="49">'300 &amp; 317'!$H$203:$H$204</definedName>
    <definedName name="OSRRefH22_6x_0" localSheetId="50">'301'!$H$47:$H$48</definedName>
    <definedName name="OSRRefH22_6x_0" localSheetId="53">'307'!$H$81</definedName>
    <definedName name="OSRRefH22_6x_0" localSheetId="55">'308'!$H$83</definedName>
    <definedName name="OSRRefH22_6x_0" localSheetId="68">'309'!$H$46</definedName>
    <definedName name="OSRRefH22_6x_0" localSheetId="67">'310'!$H$55</definedName>
    <definedName name="OSRRefH22_6x_0" localSheetId="75">'310 &amp; 491'!$H$65</definedName>
    <definedName name="OSRRefH22_6x_0" localSheetId="56">'311'!$H$82</definedName>
    <definedName name="OSRRefH22_6x_0" localSheetId="69">'313'!$H$50</definedName>
    <definedName name="OSRRefH22_6x_0" localSheetId="60">'315'!$H$94</definedName>
    <definedName name="OSRRefH22_6x_0" localSheetId="63">'316'!$H$54</definedName>
    <definedName name="OSRRefH22_6x_0" localSheetId="66">'317'!$H$80</definedName>
    <definedName name="OSRRefH22_6x_0" localSheetId="64">'320'!$H$50</definedName>
    <definedName name="OSRRefH22_6x_0" localSheetId="70">'321'!$H$47:$H$48</definedName>
    <definedName name="OSRRefH22_6x_0" localSheetId="71">'322'!$H$45</definedName>
    <definedName name="OSRRefH22_6x_0" localSheetId="72">'325'!$H$48</definedName>
    <definedName name="OSRRefH22_6x_0" localSheetId="61">'326'!$H$78</definedName>
    <definedName name="OSRRefH22_6x_0" localSheetId="52">'330'!$H$95</definedName>
    <definedName name="OSRRefH22_6x_0" localSheetId="59">'331'!$H$101</definedName>
    <definedName name="OSRRefH22_6x_0" localSheetId="62">'332'!$H$63</definedName>
    <definedName name="OSRRefH22_6x_0" localSheetId="77">'405'!$H$46</definedName>
    <definedName name="OSRRefH22_6x_0" localSheetId="78">'406'!$H$47</definedName>
    <definedName name="OSRRefH22_6x_0" localSheetId="79">'411'!$H$47</definedName>
    <definedName name="OSRRefH22_6x_0" localSheetId="80">'412'!$H$47</definedName>
    <definedName name="OSRRefH22_6x_0" localSheetId="82">'413'!$H$45</definedName>
    <definedName name="OSRRefH22_6x_0" localSheetId="83">'414'!$H$45</definedName>
    <definedName name="OSRRefH22_6x_0" localSheetId="84">'415'!$H$48</definedName>
    <definedName name="OSRRefH22_6x_0" localSheetId="85">'418'!$H$48</definedName>
    <definedName name="OSRRefH22_6x_0" localSheetId="87">'424'!$H$38</definedName>
    <definedName name="OSRRefH22_6x_0" localSheetId="88">'425'!$H$47</definedName>
    <definedName name="OSRRefH22_6x_0" localSheetId="91">'430'!$H$40</definedName>
    <definedName name="OSRRefH22_6x_0" localSheetId="92">'433'!$H$50</definedName>
    <definedName name="OSRRefH22_6x_0" localSheetId="93">'435'!$H$40</definedName>
    <definedName name="OSRRefH22_6x_0" localSheetId="94">'444'!$H$50</definedName>
    <definedName name="OSRRefH22_6x_0" localSheetId="95">'450'!$H$49</definedName>
    <definedName name="OSRRefH22_6x_0" localSheetId="76">'491'!$H$59</definedName>
    <definedName name="OSRRefH22_6x_0" localSheetId="90">'492'!$H$53</definedName>
    <definedName name="OSRRefH22_6x_0" localSheetId="97">'501'!$H$45</definedName>
    <definedName name="OSRRefH22_6x_0" localSheetId="39">'Div 2'!$H$47</definedName>
    <definedName name="OSRRefH22_6x_0" localSheetId="47">'Div 3'!$H$184:$H$185</definedName>
    <definedName name="OSRRefH22_6x_0" localSheetId="74">'Div 4'!$H$60</definedName>
    <definedName name="OSRRefH22_6x_0" localSheetId="96">'Div 5'!$H$45</definedName>
    <definedName name="OSRRefH22_6x_0" localSheetId="65">'Div 6'!$H$80</definedName>
    <definedName name="OSRRefH22_6x_0" localSheetId="2">Summary!$H$216:$H$217</definedName>
    <definedName name="OSRRefH22_7x_0" localSheetId="41">'201'!$H$43</definedName>
    <definedName name="OSRRefH22_7x_0" localSheetId="42">'202'!$H$45:$H$46</definedName>
    <definedName name="OSRRefH22_7x_0" localSheetId="43">'203'!$H$45</definedName>
    <definedName name="OSRRefH22_7x_0" localSheetId="44">'204'!$H$49</definedName>
    <definedName name="OSRRefH22_7x_0" localSheetId="48">'300'!$H$182</definedName>
    <definedName name="OSRRefH22_7x_0" localSheetId="49">'300 &amp; 317'!$H$206</definedName>
    <definedName name="OSRRefH22_7x_0" localSheetId="50">'301'!$H$50</definedName>
    <definedName name="OSRRefH22_7x_0" localSheetId="53">'307'!$H$83</definedName>
    <definedName name="OSRRefH22_7x_0" localSheetId="55">'308'!$H$85</definedName>
    <definedName name="OSRRefH22_7x_0" localSheetId="68">'309'!$H$48:$H$49</definedName>
    <definedName name="OSRRefH22_7x_0" localSheetId="67">'310'!$H$57</definedName>
    <definedName name="OSRRefH22_7x_0" localSheetId="75">'310 &amp; 491'!$H$67</definedName>
    <definedName name="OSRRefH22_7x_0" localSheetId="56">'311'!$H$84</definedName>
    <definedName name="OSRRefH22_7x_0" localSheetId="69">'313'!$H$52</definedName>
    <definedName name="OSRRefH22_7x_0" localSheetId="60">'315'!$H$96:$H$97</definedName>
    <definedName name="OSRRefH22_7x_0" localSheetId="63">'316'!$H$56</definedName>
    <definedName name="OSRRefH22_7x_0" localSheetId="66">'317'!$H$82</definedName>
    <definedName name="OSRRefH22_7x_0" localSheetId="70">'321'!$H$50:$H$51</definedName>
    <definedName name="OSRRefH22_7x_0" localSheetId="71">'322'!$H$47</definedName>
    <definedName name="OSRRefH22_7x_0" localSheetId="72">'325'!$H$50</definedName>
    <definedName name="OSRRefH22_7x_0" localSheetId="61">'326'!$H$80</definedName>
    <definedName name="OSRRefH22_7x_0" localSheetId="52">'330'!$H$97</definedName>
    <definedName name="OSRRefH22_7x_0" localSheetId="59">'331'!$H$103</definedName>
    <definedName name="OSRRefH22_7x_0" localSheetId="62">'332'!$H$65</definedName>
    <definedName name="OSRRefH22_7x_0" localSheetId="77">'405'!$H$48</definedName>
    <definedName name="OSRRefH22_7x_0" localSheetId="78">'406'!$H$49</definedName>
    <definedName name="OSRRefH22_7x_0" localSheetId="79">'411'!$H$49</definedName>
    <definedName name="OSRRefH22_7x_0" localSheetId="80">'412'!$H$49</definedName>
    <definedName name="OSRRefH22_7x_0" localSheetId="82">'413'!$H$47:$H$48</definedName>
    <definedName name="OSRRefH22_7x_0" localSheetId="83">'414'!$H$47</definedName>
    <definedName name="OSRRefH22_7x_0" localSheetId="84">'415'!$H$50</definedName>
    <definedName name="OSRRefH22_7x_0" localSheetId="85">'418'!$H$50</definedName>
    <definedName name="OSRRefH22_7x_0" localSheetId="87">'424'!$H$40</definedName>
    <definedName name="OSRRefH22_7x_0" localSheetId="88">'425'!$H$49</definedName>
    <definedName name="OSRRefH22_7x_0" localSheetId="92">'433'!$H$52</definedName>
    <definedName name="OSRRefH22_7x_0" localSheetId="94">'444'!$H$52</definedName>
    <definedName name="OSRRefH22_7x_0" localSheetId="95">'450'!$H$51</definedName>
    <definedName name="OSRRefH22_7x_0" localSheetId="76">'491'!$H$61</definedName>
    <definedName name="OSRRefH22_7x_0" localSheetId="90">'492'!$H$55</definedName>
    <definedName name="OSRRefH22_7x_0" localSheetId="97">'501'!$H$47:$H$48</definedName>
    <definedName name="OSRRefH22_7x_0" localSheetId="39">'Div 2'!$H$49</definedName>
    <definedName name="OSRRefH22_7x_0" localSheetId="47">'Div 3'!$H$187</definedName>
    <definedName name="OSRRefH22_7x_0" localSheetId="74">'Div 4'!$H$62</definedName>
    <definedName name="OSRRefH22_7x_0" localSheetId="96">'Div 5'!$H$47:$H$48</definedName>
    <definedName name="OSRRefH22_7x_0" localSheetId="65">'Div 6'!$H$82</definedName>
    <definedName name="OSRRefH22_7x_0" localSheetId="2">Summary!$H$219</definedName>
    <definedName name="OSRRefH22_8x_0" localSheetId="41">'201'!$H$45:$H$46</definedName>
    <definedName name="OSRRefH22_8x_0" localSheetId="42">'202'!$H$48</definedName>
    <definedName name="OSRRefH22_8x_0" localSheetId="43">'203'!$H$47</definedName>
    <definedName name="OSRRefH22_8x_0" localSheetId="44">'204'!$H$51</definedName>
    <definedName name="OSRRefH22_8x_0" localSheetId="48">'300'!$H$184</definedName>
    <definedName name="OSRRefH22_8x_0" localSheetId="49">'300 &amp; 317'!$H$208</definedName>
    <definedName name="OSRRefH22_8x_0" localSheetId="50">'301'!$H$52</definedName>
    <definedName name="OSRRefH22_8x_0" localSheetId="53">'307'!$H$85:$H$86</definedName>
    <definedName name="OSRRefH22_8x_0" localSheetId="55">'308'!$H$87</definedName>
    <definedName name="OSRRefH22_8x_0" localSheetId="68">'309'!$H$51:$H$52</definedName>
    <definedName name="OSRRefH22_8x_0" localSheetId="67">'310'!$H$59</definedName>
    <definedName name="OSRRefH22_8x_0" localSheetId="75">'310 &amp; 491'!$H$69</definedName>
    <definedName name="OSRRefH22_8x_0" localSheetId="56">'311'!$H$86</definedName>
    <definedName name="OSRRefH22_8x_0" localSheetId="69">'313'!$H$54</definedName>
    <definedName name="OSRRefH22_8x_0" localSheetId="60">'315'!$H$99:$H$102</definedName>
    <definedName name="OSRRefH22_8x_0" localSheetId="63">'316'!$H$58:$H$62</definedName>
    <definedName name="OSRRefH22_8x_0" localSheetId="66">'317'!$H$84</definedName>
    <definedName name="OSRRefH22_8x_0" localSheetId="70">'321'!$H$53:$H$56</definedName>
    <definedName name="OSRRefH22_8x_0" localSheetId="71">'322'!$H$49:$H$50</definedName>
    <definedName name="OSRRefH22_8x_0" localSheetId="72">'325'!$H$52</definedName>
    <definedName name="OSRRefH22_8x_0" localSheetId="61">'326'!$H$82</definedName>
    <definedName name="OSRRefH22_8x_0" localSheetId="52">'330'!$H$99:$H$100</definedName>
    <definedName name="OSRRefH22_8x_0" localSheetId="59">'331'!$H$105</definedName>
    <definedName name="OSRRefH22_8x_0" localSheetId="62">'332'!$H$67</definedName>
    <definedName name="OSRRefH22_8x_0" localSheetId="77">'405'!$H$50</definedName>
    <definedName name="OSRRefH22_8x_0" localSheetId="78">'406'!$H$51:$H$52</definedName>
    <definedName name="OSRRefH22_8x_0" localSheetId="79">'411'!$H$51</definedName>
    <definedName name="OSRRefH22_8x_0" localSheetId="80">'412'!$H$51:$H$52</definedName>
    <definedName name="OSRRefH22_8x_0" localSheetId="82">'413'!$H$50:$H$51</definedName>
    <definedName name="OSRRefH22_8x_0" localSheetId="83">'414'!$H$49:$H$50</definedName>
    <definedName name="OSRRefH22_8x_0" localSheetId="84">'415'!$H$52</definedName>
    <definedName name="OSRRefH22_8x_0" localSheetId="85">'418'!$H$52:$H$53</definedName>
    <definedName name="OSRRefH22_8x_0" localSheetId="87">'424'!$H$42:$H$43</definedName>
    <definedName name="OSRRefH22_8x_0" localSheetId="88">'425'!$H$51</definedName>
    <definedName name="OSRRefH22_8x_0" localSheetId="92">'433'!$H$54</definedName>
    <definedName name="OSRRefH22_8x_0" localSheetId="94">'444'!$H$54</definedName>
    <definedName name="OSRRefH22_8x_0" localSheetId="95">'450'!$H$53</definedName>
    <definedName name="OSRRefH22_8x_0" localSheetId="76">'491'!$H$63:$H$64</definedName>
    <definedName name="OSRRefH22_8x_0" localSheetId="90">'492'!$H$57</definedName>
    <definedName name="OSRRefH22_8x_0" localSheetId="97">'501'!$H$50</definedName>
    <definedName name="OSRRefH22_8x_0" localSheetId="39">'Div 2'!$H$51</definedName>
    <definedName name="OSRRefH22_8x_0" localSheetId="47">'Div 3'!$H$189</definedName>
    <definedName name="OSRRefH22_8x_0" localSheetId="74">'Div 4'!$H$64</definedName>
    <definedName name="OSRRefH22_8x_0" localSheetId="96">'Div 5'!$H$50</definedName>
    <definedName name="OSRRefH22_8x_0" localSheetId="65">'Div 6'!$H$84</definedName>
    <definedName name="OSRRefH22_8x_0" localSheetId="2">Summary!$H$221</definedName>
    <definedName name="OSRRefH22_9x_0" localSheetId="41">'201'!$H$48:$H$49</definedName>
    <definedName name="OSRRefH22_9x_0" localSheetId="42">'202'!$H$50:$H$52</definedName>
    <definedName name="OSRRefH22_9x_0" localSheetId="43">'203'!$H$49:$H$50</definedName>
    <definedName name="OSRRefH22_9x_0" localSheetId="48">'300'!$H$186</definedName>
    <definedName name="OSRRefH22_9x_0" localSheetId="49">'300 &amp; 317'!$H$210</definedName>
    <definedName name="OSRRefH22_9x_0" localSheetId="50">'301'!$H$54</definedName>
    <definedName name="OSRRefH22_9x_0" localSheetId="53">'307'!$H$88:$H$90</definedName>
    <definedName name="OSRRefH22_9x_0" localSheetId="55">'308'!$H$89</definedName>
    <definedName name="OSRRefH22_9x_0" localSheetId="68">'309'!$H$54:$H$56</definedName>
    <definedName name="OSRRefH22_9x_0" localSheetId="67">'310'!$H$61</definedName>
    <definedName name="OSRRefH22_9x_0" localSheetId="75">'310 &amp; 491'!$H$71</definedName>
    <definedName name="OSRRefH22_9x_0" localSheetId="56">'311'!$H$88</definedName>
    <definedName name="OSRRefH22_9x_0" localSheetId="69">'313'!$H$56</definedName>
    <definedName name="OSRRefH22_9x_0" localSheetId="60">'315'!$H$104</definedName>
    <definedName name="OSRRefH22_9x_0" localSheetId="63">'316'!$H$64</definedName>
    <definedName name="OSRRefH22_9x_0" localSheetId="66">'317'!$H$86:$H$88</definedName>
    <definedName name="OSRRefH22_9x_0" localSheetId="70">'321'!$H$58</definedName>
    <definedName name="OSRRefH22_9x_0" localSheetId="71">'322'!$H$52:$H$54</definedName>
    <definedName name="OSRRefH22_9x_0" localSheetId="72">'325'!$H$54</definedName>
    <definedName name="OSRRefH22_9x_0" localSheetId="61">'326'!$H$84</definedName>
    <definedName name="OSRRefH22_9x_0" localSheetId="52">'330'!$H$102</definedName>
    <definedName name="OSRRefH22_9x_0" localSheetId="59">'331'!$H$107</definedName>
    <definedName name="OSRRefH22_9x_0" localSheetId="62">'332'!$H$69:$H$74</definedName>
    <definedName name="OSRRefH22_9x_0" localSheetId="77">'405'!$H$52:$H$53</definedName>
    <definedName name="OSRRefH22_9x_0" localSheetId="78">'406'!$H$54</definedName>
    <definedName name="OSRRefH22_9x_0" localSheetId="79">'411'!$H$53:$H$54</definedName>
    <definedName name="OSRRefH22_9x_0" localSheetId="80">'412'!$H$54:$H$55</definedName>
    <definedName name="OSRRefH22_9x_0" localSheetId="82">'413'!$H$53:$H$56</definedName>
    <definedName name="OSRRefH22_9x_0" localSheetId="83">'414'!$H$52</definedName>
    <definedName name="OSRRefH22_9x_0" localSheetId="84">'415'!$H$54</definedName>
    <definedName name="OSRRefH22_9x_0" localSheetId="85">'418'!$H$55:$H$56</definedName>
    <definedName name="OSRRefH22_9x_0" localSheetId="87">'424'!$H$45</definedName>
    <definedName name="OSRRefH22_9x_0" localSheetId="88">'425'!$H$53:$H$54</definedName>
    <definedName name="OSRRefH22_9x_0" localSheetId="92">'433'!$H$56</definedName>
    <definedName name="OSRRefH22_9x_0" localSheetId="94">'444'!$H$56</definedName>
    <definedName name="OSRRefH22_9x_0" localSheetId="95">'450'!$H$55</definedName>
    <definedName name="OSRRefH22_9x_0" localSheetId="76">'491'!$H$66</definedName>
    <definedName name="OSRRefH22_9x_0" localSheetId="90">'492'!$H$59</definedName>
    <definedName name="OSRRefH22_9x_0" localSheetId="39">'Div 2'!$H$53:$H$54</definedName>
    <definedName name="OSRRefH22_9x_0" localSheetId="47">'Div 3'!$H$191</definedName>
    <definedName name="OSRRefH22_9x_0" localSheetId="74">'Div 4'!$H$66:$H$67</definedName>
    <definedName name="OSRRefH22_9x_0" localSheetId="65">'Div 6'!$H$86:$H$88</definedName>
    <definedName name="OSRRefH22_9x_0" localSheetId="2">Summary!$H$223</definedName>
    <definedName name="OSRRefH22x_0" localSheetId="40">'200'!$H$20,'200'!$H$22,'200'!$H$24,'200'!$H$26</definedName>
    <definedName name="OSRRefH22x_0" localSheetId="41">'201'!$H$20:$H$27,'201'!$H$29:$H$31,'201'!$H$33,'201'!$H$35,'201'!$H$37,'201'!$H$39,'201'!$H$41,'201'!$H$43,'201'!$H$45:$H$46,'201'!$H$48:$H$49,'201'!$H$51,'201'!$H$53:$H$55,'201'!$H$57,'201'!$H$59</definedName>
    <definedName name="OSRRefH22x_0" localSheetId="42">'202'!$H$20:$H$27,'202'!$H$29:$H$32,'202'!$H$34,'202'!$H$36,'202'!$H$38:$H$39,'202'!$H$41,'202'!$H$43,'202'!$H$45:$H$46,'202'!$H$48,'202'!$H$50:$H$52,'202'!$H$54,'202'!$H$56</definedName>
    <definedName name="OSRRefH22x_0" localSheetId="43">'203'!$H$20:$H$28,'203'!$H$30:$H$33,'203'!$H$35,'203'!$H$37,'203'!$H$39,'203'!$H$41,'203'!$H$43,'203'!$H$45,'203'!$H$47,'203'!$H$49:$H$50,'203'!$H$52:$H$53,'203'!$H$55,'203'!$H$57:$H$60,'203'!$H$62,'203'!$H$64,'203'!$H$66</definedName>
    <definedName name="OSRRefH22x_0" localSheetId="44">'204'!$H$20:$H$28,'204'!$H$30:$H$34,'204'!$H$36,'204'!$H$38,'204'!$H$40:$H$42,'204'!$H$44,'204'!$H$46:$H$47,'204'!$H$49,'204'!$H$51</definedName>
    <definedName name="OSRRefH22x_0" localSheetId="45">'205'!$H$20:$H$27,'205'!$H$29,'205'!$H$31,'205'!$H$33:$H$34,'205'!$H$36,'205'!$H$38,'205'!$H$40</definedName>
    <definedName name="OSRRefH22x_0" localSheetId="46">'206'!$H$20:$H$26,'206'!$H$28:$H$31,'206'!$H$33,'206'!$H$35,'206'!$H$37:$H$38,'206'!$H$40,'206'!$H$42</definedName>
    <definedName name="OSRRefH22x_0" localSheetId="48">'300'!$H$151:$H$160,'300'!$H$162:$H$168,'300'!$H$170,'300'!$H$172,'300'!$H$174,'300'!$H$176:$H$177,'300'!$H$179:$H$180,'300'!$H$182,'300'!$H$184,'300'!$H$186,'300'!$H$188:$H$189,'300'!$H$191,'300'!$H$193,'300'!$H$195,'300'!$H$197,'300'!$H$199,'300'!$H$201:$H$204,'300'!$H$206:$H$208,'300'!$H$210:$H$213,'300'!$H$215:$H$216,'300'!$H$218:$H$224,'300'!$H$226:$H$227,'300'!$H$229,'300'!$H$231:$H$233,'300'!$H$235</definedName>
    <definedName name="OSRRefH22x_0" localSheetId="49">'300 &amp; 317'!$H$175:$H$184,'300 &amp; 317'!$H$186:$H$192,'300 &amp; 317'!$H$194,'300 &amp; 317'!$H$196,'300 &amp; 317'!$H$198,'300 &amp; 317'!$H$200:$H$201,'300 &amp; 317'!$H$203:$H$204,'300 &amp; 317'!$H$206,'300 &amp; 317'!$H$208,'300 &amp; 317'!$H$210,'300 &amp; 317'!$H$212:$H$213,'300 &amp; 317'!$H$215,'300 &amp; 317'!$H$217,'300 &amp; 317'!$H$219,'300 &amp; 317'!$H$221,'300 &amp; 317'!$H$223,'300 &amp; 317'!$H$225:$H$228,'300 &amp; 317'!$H$230:$H$232,'300 &amp; 317'!$H$234:$H$237,'300 &amp; 317'!$H$239:$H$240,'300 &amp; 317'!$H$242:$H$248,'300 &amp; 317'!$H$250:$H$251,'300 &amp; 317'!$H$253,'300 &amp; 317'!$H$255:$H$257,'300 &amp; 317'!$H$259</definedName>
    <definedName name="OSRRefH22x_0" localSheetId="50">'301'!$H$20:$H$28,'301'!$H$30:$H$36,'301'!$H$38,'301'!$H$40,'301'!$H$42,'301'!$H$44:$H$45,'301'!$H$47:$H$48,'301'!$H$50,'301'!$H$52,'301'!$H$54,'301'!$H$56,'301'!$H$58,'301'!$H$60,'301'!$H$62,'301'!$H$64,'301'!$H$66:$H$69,'301'!$H$71:$H$73,'301'!$H$75,'301'!$H$77:$H$82,'301'!$H$84,'301'!$H$86,'301'!$H$88:$H$89,'301'!$H$91</definedName>
    <definedName name="OSRRefH22x_0" localSheetId="51">'306'!$H$20:$H$28,'306'!$H$30:$H$35,'306'!$H$37,'306'!$H$39,'306'!$H$41</definedName>
    <definedName name="OSRRefH22x_0" localSheetId="53">'307'!$H$58:$H$65,'307'!$H$67:$H$70,'307'!$H$72,'307'!$H$74,'307'!$H$76:$H$77,'307'!$H$79,'307'!$H$81,'307'!$H$83,'307'!$H$85:$H$86,'307'!$H$88:$H$90,'307'!$H$92</definedName>
    <definedName name="OSRRefH22x_0" localSheetId="55">'308'!$H$57:$H$65,'308'!$H$67:$H$72,'308'!$H$74,'308'!$H$76:$H$77,'308'!$H$79,'308'!$H$81,'308'!$H$83,'308'!$H$85,'308'!$H$87,'308'!$H$89,'308'!$H$91,'308'!$H$93:$H$95,'308'!$H$97:$H$98,'308'!$H$100,'308'!$H$102</definedName>
    <definedName name="OSRRefH22x_0" localSheetId="68">'309'!$H$24:$H$31,'309'!$H$33:$H$36,'309'!$H$38,'309'!$H$40,'309'!$H$42,'309'!$H$44,'309'!$H$46,'309'!$H$48:$H$49,'309'!$H$51:$H$52,'309'!$H$54:$H$56,'309'!$H$58</definedName>
    <definedName name="OSRRefH22x_0" localSheetId="67">'310'!$H$30:$H$37,'310'!$H$39:$H$44,'310'!$H$46,'310'!$H$48,'310'!$H$50,'310'!$H$52:$H$53,'310'!$H$55,'310'!$H$57,'310'!$H$59,'310'!$H$61,'310'!$H$63,'310'!$H$65,'310'!$H$67,'310'!$H$69:$H$70,'310'!$H$72:$H$75,'310'!$H$77,'310'!$H$79:$H$84,'310'!$H$86,'310'!$H$88</definedName>
    <definedName name="OSRRefH22x_0" localSheetId="75">'310 &amp; 491'!$H$37:$H$45,'310 &amp; 491'!$H$47:$H$53,'310 &amp; 491'!$H$55,'310 &amp; 491'!$H$57,'310 &amp; 491'!$H$59,'310 &amp; 491'!$H$61:$H$63,'310 &amp; 491'!$H$65,'310 &amp; 491'!$H$67,'310 &amp; 491'!$H$69,'310 &amp; 491'!$H$71,'310 &amp; 491'!$H$73:$H$74,'310 &amp; 491'!$H$76,'310 &amp; 491'!$H$78,'310 &amp; 491'!$H$80,'310 &amp; 491'!$H$82,'310 &amp; 491'!$H$84:$H$85,'310 &amp; 491'!$H$87:$H$88,'310 &amp; 491'!$H$90:$H$94,'310 &amp; 491'!$H$96,'310 &amp; 491'!$H$98:$H$106,'310 &amp; 491'!$H$108,'310 &amp; 491'!$H$110,'310 &amp; 491'!$H$112:$H$114,'310 &amp; 491'!$H$116</definedName>
    <definedName name="OSRRefH22x_0" localSheetId="56">'311'!$H$56:$H$64,'311'!$H$66:$H$71,'311'!$H$73,'311'!$H$75:$H$76,'311'!$H$78,'311'!$H$80,'311'!$H$82,'311'!$H$84,'311'!$H$86,'311'!$H$88,'311'!$H$90,'311'!$H$92:$H$94,'311'!$H$96:$H$97,'311'!$H$99,'311'!$H$101</definedName>
    <definedName name="OSRRefH22x_0" localSheetId="69">'313'!$H$27:$H$34,'313'!$H$36:$H$40,'313'!$H$42,'313'!$H$44,'313'!$H$46,'313'!$H$48,'313'!$H$50,'313'!$H$52,'313'!$H$54,'313'!$H$56,'313'!$H$58:$H$61,'313'!$H$63</definedName>
    <definedName name="OSRRefH22x_0" localSheetId="54">'314'!$H$53:$H$59,'314'!$H$61:$H$62,'314'!$H$64:$H$65,'314'!$H$67,'314'!$H$69</definedName>
    <definedName name="OSRRefH22x_0" localSheetId="60">'315'!$H$71:$H$78,'315'!$H$80:$H$84,'315'!$H$86,'315'!$H$88,'315'!$H$90,'315'!$H$92,'315'!$H$94,'315'!$H$96:$H$97,'315'!$H$99:$H$102,'315'!$H$104,'315'!$H$106</definedName>
    <definedName name="OSRRefH22x_0" localSheetId="63">'316'!$H$32:$H$39,'316'!$H$41:$H$43,'316'!$H$45,'316'!$H$47,'316'!$H$49,'316'!$H$51:$H$52,'316'!$H$54,'316'!$H$56,'316'!$H$58:$H$62,'316'!$H$64,'316'!$H$66</definedName>
    <definedName name="OSRRefH22x_0" localSheetId="66">'317'!$H$55:$H$63,'317'!$H$65:$H$69,'317'!$H$71,'317'!$H$73,'317'!$H$75,'317'!$H$77:$H$78,'317'!$H$80,'317'!$H$82,'317'!$H$84,'317'!$H$86:$H$88,'317'!$H$90</definedName>
    <definedName name="OSRRefH22x_0" localSheetId="64">'320'!$H$28:$H$34,'320'!$H$36:$H$38,'320'!$H$40,'320'!$H$42:$H$43,'320'!$H$45,'320'!$H$47:$H$48,'320'!$H$50</definedName>
    <definedName name="OSRRefH22x_0" localSheetId="70">'321'!$H$24:$H$31,'321'!$H$33:$H$37,'321'!$H$39,'321'!$H$41,'321'!$H$43,'321'!$H$45,'321'!$H$47:$H$48,'321'!$H$50:$H$51,'321'!$H$53:$H$56,'321'!$H$58,'321'!$H$60</definedName>
    <definedName name="OSRRefH22x_0" localSheetId="71">'322'!$H$24:$H$31,'322'!$H$33:$H$35,'322'!$H$37,'322'!$H$39,'322'!$H$41,'322'!$H$43,'322'!$H$45,'322'!$H$47,'322'!$H$49:$H$50,'322'!$H$52:$H$54,'322'!$H$56:$H$60,'322'!$H$62,'322'!$H$64</definedName>
    <definedName name="OSRRefH22x_0" localSheetId="72">'325'!$H$24:$H$31,'325'!$H$33:$H$37,'325'!$H$39,'325'!$H$41,'325'!$H$43,'325'!$H$45:$H$46,'325'!$H$48,'325'!$H$50,'325'!$H$52,'325'!$H$54,'325'!$H$56:$H$57,'325'!$H$59:$H$61,'325'!$H$63,'325'!$H$65:$H$68,'325'!$H$70,'325'!$H$72</definedName>
    <definedName name="OSRRefH22x_0" localSheetId="61">'326'!$H$55:$H$62,'326'!$H$64:$H$68,'326'!$H$70,'326'!$H$72,'326'!$H$74,'326'!$H$76,'326'!$H$78,'326'!$H$80,'326'!$H$82,'326'!$H$84,'326'!$H$86,'326'!$H$88:$H$90,'326'!$H$92,'326'!$H$94:$H$95,'326'!$H$97,'326'!$H$99,'326'!$H$101</definedName>
    <definedName name="OSRRefH22x_0" localSheetId="73">'327'!$H$22</definedName>
    <definedName name="OSRRefH22x_0" localSheetId="52">'330'!$H$72:$H$79,'330'!$H$81:$H$84,'330'!$H$86,'330'!$H$88,'330'!$H$90:$H$91,'330'!$H$93,'330'!$H$95,'330'!$H$97,'330'!$H$99:$H$100,'330'!$H$102,'330'!$H$104:$H$106,'330'!$H$108</definedName>
    <definedName name="OSRRefH22x_0" localSheetId="59">'331'!$H$78:$H$85,'331'!$H$87:$H$91,'331'!$H$93,'331'!$H$95,'331'!$H$97,'331'!$H$99,'331'!$H$101,'331'!$H$103,'331'!$H$105,'331'!$H$107,'331'!$H$109,'331'!$H$111,'331'!$H$113:$H$114,'331'!$H$116:$H$118,'331'!$H$120,'331'!$H$122:$H$126,'331'!$H$128,'331'!$H$130,'331'!$H$132,'331'!$H$134</definedName>
    <definedName name="OSRRefH22x_0" localSheetId="62">'332'!$H$40:$H$47,'332'!$H$49:$H$52,'332'!$H$54,'332'!$H$56,'332'!$H$58,'332'!$H$60:$H$61,'332'!$H$63,'332'!$H$65,'332'!$H$67,'332'!$H$69:$H$74,'332'!$H$76,'332'!$H$78</definedName>
    <definedName name="OSRRefH22x_0" localSheetId="77">'405'!$H$24:$H$31,'405'!$H$33:$H$35,'405'!$H$37,'405'!$H$39,'405'!$H$41,'405'!$H$43:$H$44,'405'!$H$46,'405'!$H$48,'405'!$H$50,'405'!$H$52:$H$53,'405'!$H$55,'405'!$H$57:$H$59,'405'!$H$61,'405'!$H$63:$H$69,'405'!$H$71,'405'!$H$73,'405'!$H$75</definedName>
    <definedName name="OSRRefH22x_0" localSheetId="78">'406'!$H$24:$H$31,'406'!$H$33:$H$37,'406'!$H$39,'406'!$H$41,'406'!$H$43,'406'!$H$45,'406'!$H$47,'406'!$H$49,'406'!$H$51:$H$52,'406'!$H$54,'406'!$H$56:$H$60,'406'!$H$62,'406'!$H$64</definedName>
    <definedName name="OSRRefH22x_0" localSheetId="79">'411'!$H$20:$H$28,'411'!$H$30:$H$35,'411'!$H$37,'411'!$H$39,'411'!$H$41:$H$43,'411'!$H$45,'411'!$H$47,'411'!$H$49,'411'!$H$51,'411'!$H$53:$H$54,'411'!$H$56:$H$60,'411'!$H$62:$H$65,'411'!$H$67,'411'!$H$69,'411'!$H$71:$H$73,'411'!$H$75</definedName>
    <definedName name="OSRRefH22x_0" localSheetId="80">'412'!$H$23:$H$30,'412'!$H$32:$H$37,'412'!$H$39,'412'!$H$41,'412'!$H$43,'412'!$H$45,'412'!$H$47,'412'!$H$49,'412'!$H$51:$H$52,'412'!$H$54:$H$55,'412'!$H$57:$H$61,'412'!$H$63,'412'!$H$65</definedName>
    <definedName name="OSRRefH22x_0" localSheetId="82">'413'!$H$24:$H$31,'413'!$H$33:$H$35,'413'!$H$37,'413'!$H$39,'413'!$H$41,'413'!$H$43,'413'!$H$45,'413'!$H$47:$H$48,'413'!$H$50:$H$51,'413'!$H$53:$H$56,'413'!$H$58</definedName>
    <definedName name="OSRRefH22x_0" localSheetId="83">'414'!$H$24:$H$30,'414'!$H$32:$H$35,'414'!$H$37,'414'!$H$39,'414'!$H$41,'414'!$H$43,'414'!$H$45,'414'!$H$47,'414'!$H$49:$H$50,'414'!$H$52,'414'!$H$54,'414'!$H$56,'414'!$H$58:$H$64,'414'!$H$66</definedName>
    <definedName name="OSRRefH22x_0" localSheetId="84">'415'!$H$24:$H$31,'415'!$H$33:$H$37,'415'!$H$39,'415'!$H$41,'415'!$H$43,'415'!$H$45:$H$46,'415'!$H$48,'415'!$H$50,'415'!$H$52,'415'!$H$54,'415'!$H$56,'415'!$H$58:$H$59,'415'!$H$61:$H$65,'415'!$H$67,'415'!$H$69:$H$75,'415'!$H$77,'415'!$H$79</definedName>
    <definedName name="OSRRefH22x_0" localSheetId="85">'418'!$H$24:$H$31,'418'!$H$33:$H$37,'418'!$H$39,'418'!$H$41,'418'!$H$43,'418'!$H$45:$H$46,'418'!$H$48,'418'!$H$50,'418'!$H$52:$H$53,'418'!$H$55:$H$56,'418'!$H$58:$H$60,'418'!$H$62,'418'!$H$64:$H$67,'418'!$H$69,'418'!$H$71</definedName>
    <definedName name="OSRRefH22x_0" localSheetId="86">'423'!$H$21:$H$28,'423'!$H$30,'423'!$H$32,'423'!$H$34,'423'!$H$36,'423'!$H$38</definedName>
    <definedName name="OSRRefH22x_0" localSheetId="87">'424'!$H$23,'424'!$H$25:$H$28,'424'!$H$30,'424'!$H$32,'424'!$H$34,'424'!$H$36,'424'!$H$38,'424'!$H$40,'424'!$H$42:$H$43,'424'!$H$45,'424'!$H$47,'424'!$H$49</definedName>
    <definedName name="OSRRefH22x_0" localSheetId="88">'425'!$H$24:$H$31,'425'!$H$33:$H$37,'425'!$H$39,'425'!$H$41,'425'!$H$43,'425'!$H$45,'425'!$H$47,'425'!$H$49,'425'!$H$51,'425'!$H$53:$H$54,'425'!$H$56,'425'!$H$58:$H$59,'425'!$H$61:$H$63,'425'!$H$65,'425'!$H$67</definedName>
    <definedName name="OSRRefH22x_0" localSheetId="91">'430'!$H$20:$H$27,'430'!$H$29,'430'!$H$31,'430'!$H$33:$H$34,'430'!$H$36,'430'!$H$38,'430'!$H$40</definedName>
    <definedName name="OSRRefH22x_0" localSheetId="92">'433'!$H$25:$H$33,'433'!$H$35:$H$40,'433'!$H$42,'433'!$H$44,'433'!$H$46,'433'!$H$48,'433'!$H$50,'433'!$H$52,'433'!$H$54,'433'!$H$56,'433'!$H$58,'433'!$H$60:$H$62,'433'!$H$64:$H$70,'433'!$H$72,'433'!$H$74,'433'!$H$76</definedName>
    <definedName name="OSRRefH22x_0" localSheetId="93">'435'!$H$24:$H$26,'435'!$H$28:$H$29,'435'!$H$31,'435'!$H$33,'435'!$H$35,'435'!$H$37:$H$38,'435'!$H$40</definedName>
    <definedName name="OSRRefH22x_0" localSheetId="94">'444'!$H$25:$H$33,'444'!$H$35:$H$40,'444'!$H$42,'444'!$H$44,'444'!$H$46,'444'!$H$48,'444'!$H$50,'444'!$H$52,'444'!$H$54,'444'!$H$56,'444'!$H$58,'444'!$H$60,'444'!$H$62:$H$64,'444'!$H$66:$H$73,'444'!$H$75,'444'!$H$77,'444'!$H$79</definedName>
    <definedName name="OSRRefH22x_0" localSheetId="95">'450'!$H$24:$H$32,'450'!$H$34:$H$39,'450'!$H$41,'450'!$H$43,'450'!$H$45,'450'!$H$47,'450'!$H$49,'450'!$H$51,'450'!$H$53,'450'!$H$55,'450'!$H$57:$H$59,'450'!$H$61:$H$66,'450'!$H$68,'450'!$H$70,'450'!$H$72</definedName>
    <definedName name="OSRRefH22x_0" localSheetId="89">'455'!$H$20:$H$26,'455'!$H$28:$H$29</definedName>
    <definedName name="OSRRefH22x_0" localSheetId="76">'491'!$H$31:$H$39,'491'!$H$41:$H$47,'491'!$H$49,'491'!$H$51,'491'!$H$53,'491'!$H$55:$H$57,'491'!$H$59,'491'!$H$61,'491'!$H$63:$H$64,'491'!$H$66,'491'!$H$68,'491'!$H$70,'491'!$H$72,'491'!$H$74:$H$75,'491'!$H$77:$H$78,'491'!$H$80:$H$84,'491'!$H$86,'491'!$H$88:$H$96,'491'!$H$98,'491'!$H$100,'491'!$H$102:$H$104,'491'!$H$106</definedName>
    <definedName name="OSRRefH22x_0" localSheetId="90">'492'!$H$27:$H$35,'492'!$H$37:$H$43,'492'!$H$45,'492'!$H$47,'492'!$H$49,'492'!$H$51,'492'!$H$53,'492'!$H$55,'492'!$H$57,'492'!$H$59,'492'!$H$61,'492'!$H$63,'492'!$H$65,'492'!$H$67:$H$69,'492'!$H$71:$H$78,'492'!$H$80,'492'!$H$82,'492'!$H$84</definedName>
    <definedName name="OSRRefH22x_0" localSheetId="97">'501'!$H$21:$H$29,'501'!$H$31:$H$35,'501'!$H$37,'501'!$H$39,'501'!$H$41,'501'!$H$43,'501'!$H$45,'501'!$H$47:$H$48,'501'!$H$50</definedName>
    <definedName name="OSRRefH22x_0" localSheetId="39">'Div 2'!$H$20:$H$29,'Div 2'!$H$31:$H$37,'Div 2'!$H$39,'Div 2'!$H$41,'Div 2'!$H$43,'Div 2'!$H$45,'Div 2'!$H$47,'Div 2'!$H$49,'Div 2'!$H$51,'Div 2'!$H$53:$H$54,'Div 2'!$H$56,'Div 2'!$H$58,'Div 2'!$H$60:$H$63,'Div 2'!$H$65:$H$67,'Div 2'!$H$69:$H$70,'Div 2'!$H$72,'Div 2'!$H$74:$H$78,'Div 2'!$H$80:$H$81,'Div 2'!$H$83,'Div 2'!$H$85:$H$86</definedName>
    <definedName name="OSRRefH22x_0" localSheetId="47">'Div 3'!$H$156:$H$165,'Div 3'!$H$167:$H$173,'Div 3'!$H$175,'Div 3'!$H$177,'Div 3'!$H$179,'Div 3'!$H$181:$H$182,'Div 3'!$H$184:$H$185,'Div 3'!$H$187,'Div 3'!$H$189,'Div 3'!$H$191,'Div 3'!$H$193:$H$194,'Div 3'!$H$196,'Div 3'!$H$198,'Div 3'!$H$200,'Div 3'!$H$202,'Div 3'!$H$204,'Div 3'!$H$206,'Div 3'!$H$208:$H$211,'Div 3'!$H$213:$H$215,'Div 3'!$H$217:$H$221,'Div 3'!$H$223:$H$224,'Div 3'!$H$226:$H$232,'Div 3'!$H$234:$H$235,'Div 3'!$H$237,'Div 3'!$H$239:$H$241,'Div 3'!$H$243</definedName>
    <definedName name="OSRRefH22x_0" localSheetId="74">'Div 4'!$H$32:$H$40,'Div 4'!$H$42:$H$48,'Div 4'!$H$50,'Div 4'!$H$52,'Div 4'!$H$54,'Div 4'!$H$56:$H$58,'Div 4'!$H$60,'Div 4'!$H$62,'Div 4'!$H$64,'Div 4'!$H$66:$H$67,'Div 4'!$H$69,'Div 4'!$H$71,'Div 4'!$H$73,'Div 4'!$H$75,'Div 4'!$H$77,'Div 4'!$H$79:$H$80,'Div 4'!$H$82:$H$83,'Div 4'!$H$85:$H$89,'Div 4'!$H$91,'Div 4'!$H$93:$H$101,'Div 4'!$H$103,'Div 4'!$H$105,'Div 4'!$H$107:$H$109,'Div 4'!$H$111</definedName>
    <definedName name="OSRRefH22x_0" localSheetId="96">'Div 5'!$H$21:$H$29,'Div 5'!$H$31:$H$35,'Div 5'!$H$37,'Div 5'!$H$39,'Div 5'!$H$41,'Div 5'!$H$43,'Div 5'!$H$45,'Div 5'!$H$47:$H$48,'Div 5'!$H$50</definedName>
    <definedName name="OSRRefH22x_0" localSheetId="65">'Div 6'!$H$55:$H$63,'Div 6'!$H$65:$H$69,'Div 6'!$H$71,'Div 6'!$H$73,'Div 6'!$H$75,'Div 6'!$H$77:$H$78,'Div 6'!$H$80,'Div 6'!$H$82,'Div 6'!$H$84,'Div 6'!$H$86:$H$88,'Div 6'!$H$90</definedName>
    <definedName name="OSRRefH22x_0" localSheetId="2">Summary!$H$187:$H$196,Summary!$H$198:$H$204,Summary!$H$206,Summary!$H$208,Summary!$H$210,Summary!$H$212:$H$214,Summary!$H$216:$H$217,Summary!$H$219,Summary!$H$221,Summary!$H$223,Summary!$H$225:$H$226,Summary!$H$228:$H$229,Summary!$H$231,Summary!$H$233,Summary!$H$235,Summary!$H$237,Summary!$H$239,Summary!$H$241,Summary!$H$243:$H$246,Summary!$H$248:$H$250,Summary!$H$252:$H$256,Summary!$H$258:$H$259,Summary!$H$261:$H$269,Summary!$H$271:$H$272,Summary!$H$274,Summary!$H$276:$H$278,Summary!$H$280</definedName>
    <definedName name="OSRRefH25x_0" localSheetId="48">'300'!$H$238:$H$245</definedName>
    <definedName name="OSRRefH25x_0" localSheetId="49">'300 &amp; 317'!$H$262:$H$271</definedName>
    <definedName name="OSRRefH25x_0" localSheetId="50">'301'!$H$94:$H$95</definedName>
    <definedName name="OSRRefH25x_0" localSheetId="55">'308'!$H$105:$H$106</definedName>
    <definedName name="OSRRefH25x_0" localSheetId="75">'310 &amp; 491'!$H$119:$H$121</definedName>
    <definedName name="OSRRefH25x_0" localSheetId="56">'311'!$H$104:$H$105</definedName>
    <definedName name="OSRRefH25x_0" localSheetId="60">'315'!$H$109:$H$110</definedName>
    <definedName name="OSRRefH25x_0" localSheetId="63">'316'!$H$69</definedName>
    <definedName name="OSRRefH25x_0" localSheetId="66">'317'!$H$93:$H$95</definedName>
    <definedName name="OSRRefH25x_0" localSheetId="64">'320'!$H$53:$H$56</definedName>
    <definedName name="OSRRefH25x_0" localSheetId="59">'331'!$H$137:$H$138</definedName>
    <definedName name="OSRRefH25x_0" localSheetId="62">'332'!$H$81:$H$85</definedName>
    <definedName name="OSRRefH25x_0" localSheetId="79">'411'!$H$78:$H$79</definedName>
    <definedName name="OSRRefH25x_0" localSheetId="82">'413'!$H$61</definedName>
    <definedName name="OSRRefH25x_0" localSheetId="85">'418'!$H$74</definedName>
    <definedName name="OSRRefH25x_0" localSheetId="86">'423'!$H$41</definedName>
    <definedName name="OSRRefH25x_0" localSheetId="87">'424'!$H$52</definedName>
    <definedName name="OSRRefH25x_0" localSheetId="88">'425'!$H$70</definedName>
    <definedName name="OSRRefH25x_0" localSheetId="89">'455'!$H$32:$H$33</definedName>
    <definedName name="OSRRefH25x_0" localSheetId="76">'491'!$H$109:$H$111</definedName>
    <definedName name="OSRRefH25x_0" localSheetId="97">'501'!$H$53</definedName>
    <definedName name="OSRRefH25x_0" localSheetId="47">'Div 3'!$H$246:$H$253</definedName>
    <definedName name="OSRRefH25x_0" localSheetId="74">'Div 4'!$H$114:$H$116</definedName>
    <definedName name="OSRRefH25x_0" localSheetId="96">'Div 5'!$H$53</definedName>
    <definedName name="OSRRefH25x_0" localSheetId="65">'Div 6'!$H$93:$H$95</definedName>
    <definedName name="OSRRefH25x_0" localSheetId="2">Summary!$H$283:$H$293</definedName>
    <definedName name="OSRRefP13x_0" localSheetId="48">'300'!$P$13:$P$96</definedName>
    <definedName name="OSRRefP13x_0" localSheetId="49">'300 &amp; 317'!$P$13:$P$115</definedName>
    <definedName name="OSRRefP13x_0" localSheetId="53">'307'!$P$13:$P$34</definedName>
    <definedName name="OSRRefP13x_0" localSheetId="55">'308'!$P$13:$P$36</definedName>
    <definedName name="OSRRefP13x_0" localSheetId="68">'309'!$P$13:$P$14</definedName>
    <definedName name="OSRRefP13x_0" localSheetId="67">'310'!$P$13:$P$20</definedName>
    <definedName name="OSRRefP13x_0" localSheetId="75">'310 &amp; 491'!$P$13:$P$27</definedName>
    <definedName name="OSRRefP13x_0" localSheetId="56">'311'!$P$13:$P$35</definedName>
    <definedName name="OSRRefP13x_0" localSheetId="69">'313'!$P$13:$P$17</definedName>
    <definedName name="OSRRefP13x_0" localSheetId="54">'314'!$P$13:$P$31</definedName>
    <definedName name="OSRRefP13x_0" localSheetId="60">'315'!$P$13:$P$48</definedName>
    <definedName name="OSRRefP13x_0" localSheetId="63">'316'!$P$13:$P$24</definedName>
    <definedName name="OSRRefP13x_0" localSheetId="66">'317'!$P$13:$P$36</definedName>
    <definedName name="OSRRefP13x_0" localSheetId="64">'320'!$P$13:$P$15</definedName>
    <definedName name="OSRRefP13x_0" localSheetId="70">'321'!$P$13:$P$14</definedName>
    <definedName name="OSRRefP13x_0" localSheetId="71">'322'!$P$13:$P$14</definedName>
    <definedName name="OSRRefP13x_0" localSheetId="57">'324'!$P$13:$P$15</definedName>
    <definedName name="OSRRefP13x_0" localSheetId="72">'325'!$P$13:$P$14</definedName>
    <definedName name="OSRRefP13x_0" localSheetId="61">'326'!$P$13:$P$35</definedName>
    <definedName name="OSRRefP13x_0" localSheetId="73">'327'!$P$13</definedName>
    <definedName name="OSRRefP13x_0" localSheetId="52">'330'!$P$13:$P$43</definedName>
    <definedName name="OSRRefP13x_0" localSheetId="59">'331'!$P$13:$P$51</definedName>
    <definedName name="OSRRefP13x_0" localSheetId="62">'332'!$P$13:$P$27</definedName>
    <definedName name="OSRRefP13x_0" localSheetId="77">'405'!$P$13:$P$14</definedName>
    <definedName name="OSRRefP13x_0" localSheetId="78">'406'!$P$13:$P$14</definedName>
    <definedName name="OSRRefP13x_0" localSheetId="80">'412'!$P$13:$P$14</definedName>
    <definedName name="OSRRefP13x_0" localSheetId="82">'413'!$P$13:$P$14</definedName>
    <definedName name="OSRRefP13x_0" localSheetId="83">'414'!$P$13:$P$14</definedName>
    <definedName name="OSRRefP13x_0" localSheetId="84">'415'!$P$13:$P$14</definedName>
    <definedName name="OSRRefP13x_0" localSheetId="85">'418'!$P$13:$P$14</definedName>
    <definedName name="OSRRefP13x_0" localSheetId="87">'424'!$P$13</definedName>
    <definedName name="OSRRefP13x_0" localSheetId="88">'425'!$P$13:$P$14</definedName>
    <definedName name="OSRRefP13x_0" localSheetId="92">'433'!$P$13:$P$15</definedName>
    <definedName name="OSRRefP13x_0" localSheetId="93">'435'!$P$13:$P$14</definedName>
    <definedName name="OSRRefP13x_0" localSheetId="94">'444'!$P$13:$P$15</definedName>
    <definedName name="OSRRefP13x_0" localSheetId="95">'450'!$P$13:$P$14</definedName>
    <definedName name="OSRRefP13x_0" localSheetId="76">'491'!$P$13:$P$21</definedName>
    <definedName name="OSRRefP13x_0" localSheetId="90">'492'!$P$13:$P$17</definedName>
    <definedName name="OSRRefP13x_0" localSheetId="97">'501'!$P$13</definedName>
    <definedName name="OSRRefP13x_0" localSheetId="47">'Div 3'!$P$13:$P$99</definedName>
    <definedName name="OSRRefP13x_0" localSheetId="74">'Div 4'!$P$13:$P$22</definedName>
    <definedName name="OSRRefP13x_0" localSheetId="96">'Div 5'!$P$13</definedName>
    <definedName name="OSRRefP13x_0" localSheetId="65">'Div 6'!$P$13:$P$36</definedName>
    <definedName name="OSRRefP13x_0" localSheetId="2">Summary!$P$13:$P$125</definedName>
    <definedName name="OSRRefP16x_0" localSheetId="48">'300'!$P$99:$P$145</definedName>
    <definedName name="OSRRefP16x_0" localSheetId="49">'300 &amp; 317'!$P$118:$P$169</definedName>
    <definedName name="OSRRefP16x_0" localSheetId="53">'307'!$P$37:$P$52</definedName>
    <definedName name="OSRRefP16x_0" localSheetId="55">'308'!$P$39:$P$51</definedName>
    <definedName name="OSRRefP16x_0" localSheetId="68">'309'!$P$17:$P$18</definedName>
    <definedName name="OSRRefP16x_0" localSheetId="67">'310'!$P$23:$P$24</definedName>
    <definedName name="OSRRefP16x_0" localSheetId="75">'310 &amp; 491'!$P$30:$P$31</definedName>
    <definedName name="OSRRefP16x_0" localSheetId="56">'311'!$P$38:$P$50</definedName>
    <definedName name="OSRRefP16x_0" localSheetId="69">'313'!$P$20:$P$21</definedName>
    <definedName name="OSRRefP16x_0" localSheetId="54">'314'!$P$34:$P$47</definedName>
    <definedName name="OSRRefP16x_0" localSheetId="60">'315'!$P$51:$P$65</definedName>
    <definedName name="OSRRefP16x_0" localSheetId="66">'317'!$P$39:$P$49</definedName>
    <definedName name="OSRRefP16x_0" localSheetId="64">'320'!$P$18:$P$22</definedName>
    <definedName name="OSRRefP16x_0" localSheetId="70">'321'!$P$17:$P$18</definedName>
    <definedName name="OSRRefP16x_0" localSheetId="71">'322'!$P$17:$P$18</definedName>
    <definedName name="OSRRefP16x_0" localSheetId="57">'324'!$P$18:$P$19</definedName>
    <definedName name="OSRRefP16x_0" localSheetId="72">'325'!$P$17:$P$18</definedName>
    <definedName name="OSRRefP16x_0" localSheetId="61">'326'!$P$38:$P$49</definedName>
    <definedName name="OSRRefP16x_0" localSheetId="73">'327'!$P$16</definedName>
    <definedName name="OSRRefP16x_0" localSheetId="52">'330'!$P$46:$P$66</definedName>
    <definedName name="OSRRefP16x_0" localSheetId="59">'331'!$P$54:$P$72</definedName>
    <definedName name="OSRRefP16x_0" localSheetId="62">'332'!$P$30:$P$34</definedName>
    <definedName name="OSRRefP16x_0" localSheetId="77">'405'!$P$17:$P$18</definedName>
    <definedName name="OSRRefP16x_0" localSheetId="78">'406'!$P$17:$P$18</definedName>
    <definedName name="OSRRefP16x_0" localSheetId="80">'412'!$P$17</definedName>
    <definedName name="OSRRefP16x_0" localSheetId="82">'413'!$P$17:$P$18</definedName>
    <definedName name="OSRRefP16x_0" localSheetId="83">'414'!$P$17:$P$18</definedName>
    <definedName name="OSRRefP16x_0" localSheetId="84">'415'!$P$17:$P$18</definedName>
    <definedName name="OSRRefP16x_0" localSheetId="85">'418'!$P$17:$P$18</definedName>
    <definedName name="OSRRefP16x_0" localSheetId="86">'423'!$P$15</definedName>
    <definedName name="OSRRefP16x_0" localSheetId="87">'424'!$P$16:$P$17</definedName>
    <definedName name="OSRRefP16x_0" localSheetId="88">'425'!$P$17:$P$18</definedName>
    <definedName name="OSRRefP16x_0" localSheetId="92">'433'!$P$18:$P$19</definedName>
    <definedName name="OSRRefP16x_0" localSheetId="93">'435'!$P$17:$P$18</definedName>
    <definedName name="OSRRefP16x_0" localSheetId="94">'444'!$P$18:$P$19</definedName>
    <definedName name="OSRRefP16x_0" localSheetId="95">'450'!$P$17:$P$18</definedName>
    <definedName name="OSRRefP16x_0" localSheetId="76">'491'!$P$24:$P$25</definedName>
    <definedName name="OSRRefP16x_0" localSheetId="90">'492'!$P$20:$P$21</definedName>
    <definedName name="OSRRefP16x_0" localSheetId="47">'Div 3'!$P$102:$P$150</definedName>
    <definedName name="OSRRefP16x_0" localSheetId="74">'Div 4'!$P$25:$P$26</definedName>
    <definedName name="OSRRefP16x_0" localSheetId="65">'Div 6'!$P$39:$P$49</definedName>
    <definedName name="OSRRefP16x_0" localSheetId="2">Summary!$P$128:$P$181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'203'!$P$20:$P$28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'300'!$P$151:$P$160</definedName>
    <definedName name="OSRRefP22_0x_0" localSheetId="49">'300 &amp; 317'!$P$175:$P$184</definedName>
    <definedName name="OSRRefP22_0x_0" localSheetId="50">'301'!$P$20:$P$28</definedName>
    <definedName name="OSRRefP22_0x_0" localSheetId="51">'306'!$P$20:$P$28</definedName>
    <definedName name="OSRRefP22_0x_0" localSheetId="53">'307'!$P$58:$P$65</definedName>
    <definedName name="OSRRefP22_0x_0" localSheetId="55">'308'!$P$57:$P$65</definedName>
    <definedName name="OSRRefP22_0x_0" localSheetId="68">'309'!$P$24:$P$31</definedName>
    <definedName name="OSRRefP22_0x_0" localSheetId="67">'310'!$P$30:$P$37</definedName>
    <definedName name="OSRRefP22_0x_0" localSheetId="75">'310 &amp; 491'!$P$37:$P$45</definedName>
    <definedName name="OSRRefP22_0x_0" localSheetId="56">'311'!$P$56:$P$64</definedName>
    <definedName name="OSRRefP22_0x_0" localSheetId="69">'313'!$P$27:$P$34</definedName>
    <definedName name="OSRRefP22_0x_0" localSheetId="54">'314'!$P$53:$P$59</definedName>
    <definedName name="OSRRefP22_0x_0" localSheetId="60">'315'!$P$71:$P$78</definedName>
    <definedName name="OSRRefP22_0x_0" localSheetId="63">'316'!$P$32:$P$39</definedName>
    <definedName name="OSRRefP22_0x_0" localSheetId="66">'317'!$P$55:$P$63</definedName>
    <definedName name="OSRRefP22_0x_0" localSheetId="64">'320'!$P$28:$P$34</definedName>
    <definedName name="OSRRefP22_0x_0" localSheetId="70">'321'!$P$24:$P$31</definedName>
    <definedName name="OSRRefP22_0x_0" localSheetId="71">'322'!$P$24:$P$31</definedName>
    <definedName name="OSRRefP22_0x_0" localSheetId="72">'325'!$P$24:$P$31</definedName>
    <definedName name="OSRRefP22_0x_0" localSheetId="61">'326'!$P$55:$P$62</definedName>
    <definedName name="OSRRefP22_0x_0" localSheetId="73">'327'!$P$22</definedName>
    <definedName name="OSRRefP22_0x_0" localSheetId="52">'330'!$P$72:$P$79</definedName>
    <definedName name="OSRRefP22_0x_0" localSheetId="59">'331'!$P$78:$P$85</definedName>
    <definedName name="OSRRefP22_0x_0" localSheetId="62">'332'!$P$40:$P$47</definedName>
    <definedName name="OSRRefP22_0x_0" localSheetId="77">'405'!$P$24:$P$31</definedName>
    <definedName name="OSRRefP22_0x_0" localSheetId="78">'406'!$P$24:$P$31</definedName>
    <definedName name="OSRRefP22_0x_0" localSheetId="79">'411'!$P$20:$P$28</definedName>
    <definedName name="OSRRefP22_0x_0" localSheetId="80">'412'!$P$23:$P$30</definedName>
    <definedName name="OSRRefP22_0x_0" localSheetId="82">'413'!$P$24:$P$31</definedName>
    <definedName name="OSRRefP22_0x_0" localSheetId="83">'414'!$P$24:$P$30</definedName>
    <definedName name="OSRRefP22_0x_0" localSheetId="84">'415'!$P$24:$P$31</definedName>
    <definedName name="OSRRefP22_0x_0" localSheetId="85">'418'!$P$24:$P$31</definedName>
    <definedName name="OSRRefP22_0x_0" localSheetId="86">'423'!$P$21:$P$28</definedName>
    <definedName name="OSRRefP22_0x_0" localSheetId="87">'424'!$P$23</definedName>
    <definedName name="OSRRefP22_0x_0" localSheetId="88">'425'!$P$24:$P$31</definedName>
    <definedName name="OSRRefP22_0x_0" localSheetId="91">'430'!$P$20:$P$27</definedName>
    <definedName name="OSRRefP22_0x_0" localSheetId="92">'433'!$P$25:$P$33</definedName>
    <definedName name="OSRRefP22_0x_0" localSheetId="93">'435'!$P$24:$P$26</definedName>
    <definedName name="OSRRefP22_0x_0" localSheetId="94">'444'!$P$25:$P$33</definedName>
    <definedName name="OSRRefP22_0x_0" localSheetId="95">'450'!$P$24:$P$32</definedName>
    <definedName name="OSRRefP22_0x_0" localSheetId="89">'455'!$P$20:$P$26</definedName>
    <definedName name="OSRRefP22_0x_0" localSheetId="76">'491'!$P$31:$P$39</definedName>
    <definedName name="OSRRefP22_0x_0" localSheetId="90">'492'!$P$27:$P$35</definedName>
    <definedName name="OSRRefP22_0x_0" localSheetId="97">'501'!$P$21:$P$29</definedName>
    <definedName name="OSRRefP22_0x_0" localSheetId="39">'Div 2'!$P$20:$P$29</definedName>
    <definedName name="OSRRefP22_0x_0" localSheetId="47">'Div 3'!$P$156:$P$165</definedName>
    <definedName name="OSRRefP22_0x_0" localSheetId="74">'Div 4'!$P$32:$P$40</definedName>
    <definedName name="OSRRefP22_0x_0" localSheetId="96">'Div 5'!$P$21:$P$29</definedName>
    <definedName name="OSRRefP22_0x_0" localSheetId="65">'Div 6'!$P$55:$P$63</definedName>
    <definedName name="OSRRefP22_0x_0" localSheetId="2">Summary!$P$187:$P$196</definedName>
    <definedName name="OSRRefP22_10x_0" localSheetId="41">'201'!$P$51</definedName>
    <definedName name="OSRRefP22_10x_0" localSheetId="42">'202'!$P$54</definedName>
    <definedName name="OSRRefP22_10x_0" localSheetId="43">'203'!$P$52:$P$53</definedName>
    <definedName name="OSRRefP22_10x_0" localSheetId="48">'300'!$P$188:$P$189</definedName>
    <definedName name="OSRRefP22_10x_0" localSheetId="49">'300 &amp; 317'!$P$212:$P$213</definedName>
    <definedName name="OSRRefP22_10x_0" localSheetId="50">'301'!$P$56</definedName>
    <definedName name="OSRRefP22_10x_0" localSheetId="53">'307'!$P$92</definedName>
    <definedName name="OSRRefP22_10x_0" localSheetId="55">'308'!$P$91</definedName>
    <definedName name="OSRRefP22_10x_0" localSheetId="68">'309'!$P$58</definedName>
    <definedName name="OSRRefP22_10x_0" localSheetId="67">'310'!$P$63</definedName>
    <definedName name="OSRRefP22_10x_0" localSheetId="75">'310 &amp; 491'!$P$73:$P$74</definedName>
    <definedName name="OSRRefP22_10x_0" localSheetId="56">'311'!$P$90</definedName>
    <definedName name="OSRRefP22_10x_0" localSheetId="69">'313'!$P$58:$P$61</definedName>
    <definedName name="OSRRefP22_10x_0" localSheetId="60">'315'!$P$106</definedName>
    <definedName name="OSRRefP22_10x_0" localSheetId="63">'316'!$P$66</definedName>
    <definedName name="OSRRefP22_10x_0" localSheetId="66">'317'!$P$90</definedName>
    <definedName name="OSRRefP22_10x_0" localSheetId="70">'321'!$P$60</definedName>
    <definedName name="OSRRefP22_10x_0" localSheetId="71">'322'!$P$56:$P$60</definedName>
    <definedName name="OSRRefP22_10x_0" localSheetId="72">'325'!$P$56:$P$57</definedName>
    <definedName name="OSRRefP22_10x_0" localSheetId="61">'326'!$P$86</definedName>
    <definedName name="OSRRefP22_10x_0" localSheetId="52">'330'!$P$104:$P$106</definedName>
    <definedName name="OSRRefP22_10x_0" localSheetId="59">'331'!$P$109</definedName>
    <definedName name="OSRRefP22_10x_0" localSheetId="62">'332'!$P$76</definedName>
    <definedName name="OSRRefP22_10x_0" localSheetId="77">'405'!$P$55</definedName>
    <definedName name="OSRRefP22_10x_0" localSheetId="78">'406'!$P$56:$P$60</definedName>
    <definedName name="OSRRefP22_10x_0" localSheetId="79">'411'!$P$56:$P$60</definedName>
    <definedName name="OSRRefP22_10x_0" localSheetId="80">'412'!$P$57:$P$61</definedName>
    <definedName name="OSRRefP22_10x_0" localSheetId="82">'413'!$P$58</definedName>
    <definedName name="OSRRefP22_10x_0" localSheetId="83">'414'!$P$54</definedName>
    <definedName name="OSRRefP22_10x_0" localSheetId="84">'415'!$P$56</definedName>
    <definedName name="OSRRefP22_10x_0" localSheetId="85">'418'!$P$58:$P$60</definedName>
    <definedName name="OSRRefP22_10x_0" localSheetId="87">'424'!$P$47</definedName>
    <definedName name="OSRRefP22_10x_0" localSheetId="88">'425'!$P$56</definedName>
    <definedName name="OSRRefP22_10x_0" localSheetId="92">'433'!$P$58</definedName>
    <definedName name="OSRRefP22_10x_0" localSheetId="94">'444'!$P$58</definedName>
    <definedName name="OSRRefP22_10x_0" localSheetId="95">'450'!$P$57:$P$59</definedName>
    <definedName name="OSRRefP22_10x_0" localSheetId="76">'491'!$P$68</definedName>
    <definedName name="OSRRefP22_10x_0" localSheetId="90">'492'!$P$61</definedName>
    <definedName name="OSRRefP22_10x_0" localSheetId="39">'Div 2'!$P$56</definedName>
    <definedName name="OSRRefP22_10x_0" localSheetId="47">'Div 3'!$P$193:$P$194</definedName>
    <definedName name="OSRRefP22_10x_0" localSheetId="74">'Div 4'!$P$69</definedName>
    <definedName name="OSRRefP22_10x_0" localSheetId="65">'Div 6'!$P$90</definedName>
    <definedName name="OSRRefP22_10x_0" localSheetId="2">Summary!$P$225:$P$226</definedName>
    <definedName name="OSRRefP22_11x_0" localSheetId="41">'201'!$P$53:$P$55</definedName>
    <definedName name="OSRRefP22_11x_0" localSheetId="42">'202'!$P$56</definedName>
    <definedName name="OSRRefP22_11x_0" localSheetId="43">'203'!$P$55</definedName>
    <definedName name="OSRRefP22_11x_0" localSheetId="48">'300'!$P$191</definedName>
    <definedName name="OSRRefP22_11x_0" localSheetId="49">'300 &amp; 317'!$P$215</definedName>
    <definedName name="OSRRefP22_11x_0" localSheetId="50">'301'!$P$58</definedName>
    <definedName name="OSRRefP22_11x_0" localSheetId="55">'308'!$P$93:$P$95</definedName>
    <definedName name="OSRRefP22_11x_0" localSheetId="67">'310'!$P$65</definedName>
    <definedName name="OSRRefP22_11x_0" localSheetId="75">'310 &amp; 491'!$P$76</definedName>
    <definedName name="OSRRefP22_11x_0" localSheetId="56">'311'!$P$92:$P$94</definedName>
    <definedName name="OSRRefP22_11x_0" localSheetId="69">'313'!$P$63</definedName>
    <definedName name="OSRRefP22_11x_0" localSheetId="71">'322'!$P$62</definedName>
    <definedName name="OSRRefP22_11x_0" localSheetId="72">'325'!$P$59:$P$61</definedName>
    <definedName name="OSRRefP22_11x_0" localSheetId="61">'326'!$P$88:$P$90</definedName>
    <definedName name="OSRRefP22_11x_0" localSheetId="52">'330'!$P$108</definedName>
    <definedName name="OSRRefP22_11x_0" localSheetId="59">'331'!$P$111</definedName>
    <definedName name="OSRRefP22_11x_0" localSheetId="62">'332'!$P$78</definedName>
    <definedName name="OSRRefP22_11x_0" localSheetId="77">'405'!$P$57:$P$59</definedName>
    <definedName name="OSRRefP22_11x_0" localSheetId="78">'406'!$P$62</definedName>
    <definedName name="OSRRefP22_11x_0" localSheetId="79">'411'!$P$62:$P$65</definedName>
    <definedName name="OSRRefP22_11x_0" localSheetId="80">'412'!$P$63</definedName>
    <definedName name="OSRRefP22_11x_0" localSheetId="83">'414'!$P$56</definedName>
    <definedName name="OSRRefP22_11x_0" localSheetId="84">'415'!$P$58:$P$59</definedName>
    <definedName name="OSRRefP22_11x_0" localSheetId="85">'418'!$P$62</definedName>
    <definedName name="OSRRefP22_11x_0" localSheetId="87">'424'!$P$49</definedName>
    <definedName name="OSRRefP22_11x_0" localSheetId="88">'425'!$P$58:$P$59</definedName>
    <definedName name="OSRRefP22_11x_0" localSheetId="92">'433'!$P$60:$P$62</definedName>
    <definedName name="OSRRefP22_11x_0" localSheetId="94">'444'!$P$60</definedName>
    <definedName name="OSRRefP22_11x_0" localSheetId="95">'450'!$P$61:$P$66</definedName>
    <definedName name="OSRRefP22_11x_0" localSheetId="76">'491'!$P$70</definedName>
    <definedName name="OSRRefP22_11x_0" localSheetId="90">'492'!$P$63</definedName>
    <definedName name="OSRRefP22_11x_0" localSheetId="39">'Div 2'!$P$58</definedName>
    <definedName name="OSRRefP22_11x_0" localSheetId="47">'Div 3'!$P$196</definedName>
    <definedName name="OSRRefP22_11x_0" localSheetId="74">'Div 4'!$P$71</definedName>
    <definedName name="OSRRefP22_11x_0" localSheetId="2">Summary!$P$228:$P$229</definedName>
    <definedName name="OSRRefP22_12x_0" localSheetId="41">'201'!$P$57</definedName>
    <definedName name="OSRRefP22_12x_0" localSheetId="43">'203'!$P$57:$P$60</definedName>
    <definedName name="OSRRefP22_12x_0" localSheetId="48">'300'!$P$193</definedName>
    <definedName name="OSRRefP22_12x_0" localSheetId="49">'300 &amp; 317'!$P$217</definedName>
    <definedName name="OSRRefP22_12x_0" localSheetId="50">'301'!$P$60</definedName>
    <definedName name="OSRRefP22_12x_0" localSheetId="55">'308'!$P$97:$P$98</definedName>
    <definedName name="OSRRefP22_12x_0" localSheetId="67">'310'!$P$67</definedName>
    <definedName name="OSRRefP22_12x_0" localSheetId="75">'310 &amp; 491'!$P$78</definedName>
    <definedName name="OSRRefP22_12x_0" localSheetId="56">'311'!$P$96:$P$97</definedName>
    <definedName name="OSRRefP22_12x_0" localSheetId="71">'322'!$P$64</definedName>
    <definedName name="OSRRefP22_12x_0" localSheetId="72">'325'!$P$63</definedName>
    <definedName name="OSRRefP22_12x_0" localSheetId="61">'326'!$P$92</definedName>
    <definedName name="OSRRefP22_12x_0" localSheetId="59">'331'!$P$113:$P$114</definedName>
    <definedName name="OSRRefP22_12x_0" localSheetId="77">'405'!$P$61</definedName>
    <definedName name="OSRRefP22_12x_0" localSheetId="78">'406'!$P$64</definedName>
    <definedName name="OSRRefP22_12x_0" localSheetId="79">'411'!$P$67</definedName>
    <definedName name="OSRRefP22_12x_0" localSheetId="80">'412'!$P$65</definedName>
    <definedName name="OSRRefP22_12x_0" localSheetId="83">'414'!$P$58:$P$64</definedName>
    <definedName name="OSRRefP22_12x_0" localSheetId="84">'415'!$P$61:$P$65</definedName>
    <definedName name="OSRRefP22_12x_0" localSheetId="85">'418'!$P$64:$P$67</definedName>
    <definedName name="OSRRefP22_12x_0" localSheetId="88">'425'!$P$61:$P$63</definedName>
    <definedName name="OSRRefP22_12x_0" localSheetId="92">'433'!$P$64:$P$70</definedName>
    <definedName name="OSRRefP22_12x_0" localSheetId="94">'444'!$P$62:$P$64</definedName>
    <definedName name="OSRRefP22_12x_0" localSheetId="95">'450'!$P$68</definedName>
    <definedName name="OSRRefP22_12x_0" localSheetId="76">'491'!$P$72</definedName>
    <definedName name="OSRRefP22_12x_0" localSheetId="90">'492'!$P$65</definedName>
    <definedName name="OSRRefP22_12x_0" localSheetId="39">'Div 2'!$P$60:$P$63</definedName>
    <definedName name="OSRRefP22_12x_0" localSheetId="47">'Div 3'!$P$198</definedName>
    <definedName name="OSRRefP22_12x_0" localSheetId="74">'Div 4'!$P$73</definedName>
    <definedName name="OSRRefP22_12x_0" localSheetId="2">Summary!$P$231</definedName>
    <definedName name="OSRRefP22_13x_0" localSheetId="41">'201'!$P$59</definedName>
    <definedName name="OSRRefP22_13x_0" localSheetId="43">'203'!$P$62</definedName>
    <definedName name="OSRRefP22_13x_0" localSheetId="48">'300'!$P$195</definedName>
    <definedName name="OSRRefP22_13x_0" localSheetId="49">'300 &amp; 317'!$P$219</definedName>
    <definedName name="OSRRefP22_13x_0" localSheetId="50">'301'!$P$62</definedName>
    <definedName name="OSRRefP22_13x_0" localSheetId="55">'308'!$P$100</definedName>
    <definedName name="OSRRefP22_13x_0" localSheetId="67">'310'!$P$69:$P$70</definedName>
    <definedName name="OSRRefP22_13x_0" localSheetId="75">'310 &amp; 491'!$P$80</definedName>
    <definedName name="OSRRefP22_13x_0" localSheetId="56">'311'!$P$99</definedName>
    <definedName name="OSRRefP22_13x_0" localSheetId="72">'325'!$P$65:$P$68</definedName>
    <definedName name="OSRRefP22_13x_0" localSheetId="61">'326'!$P$94:$P$95</definedName>
    <definedName name="OSRRefP22_13x_0" localSheetId="59">'331'!$P$116:$P$118</definedName>
    <definedName name="OSRRefP22_13x_0" localSheetId="77">'405'!$P$63:$P$69</definedName>
    <definedName name="OSRRefP22_13x_0" localSheetId="79">'411'!$P$69</definedName>
    <definedName name="OSRRefP22_13x_0" localSheetId="83">'414'!$P$66</definedName>
    <definedName name="OSRRefP22_13x_0" localSheetId="84">'415'!$P$67</definedName>
    <definedName name="OSRRefP22_13x_0" localSheetId="85">'418'!$P$69</definedName>
    <definedName name="OSRRefP22_13x_0" localSheetId="88">'425'!$P$65</definedName>
    <definedName name="OSRRefP22_13x_0" localSheetId="92">'433'!$P$72</definedName>
    <definedName name="OSRRefP22_13x_0" localSheetId="94">'444'!$P$66:$P$73</definedName>
    <definedName name="OSRRefP22_13x_0" localSheetId="95">'450'!$P$70</definedName>
    <definedName name="OSRRefP22_13x_0" localSheetId="76">'491'!$P$74:$P$75</definedName>
    <definedName name="OSRRefP22_13x_0" localSheetId="90">'492'!$P$67:$P$69</definedName>
    <definedName name="OSRRefP22_13x_0" localSheetId="39">'Div 2'!$P$65:$P$67</definedName>
    <definedName name="OSRRefP22_13x_0" localSheetId="47">'Div 3'!$P$200</definedName>
    <definedName name="OSRRefP22_13x_0" localSheetId="74">'Div 4'!$P$75</definedName>
    <definedName name="OSRRefP22_13x_0" localSheetId="2">Summary!$P$233</definedName>
    <definedName name="OSRRefP22_14x_0" localSheetId="43">'203'!$P$64</definedName>
    <definedName name="OSRRefP22_14x_0" localSheetId="48">'300'!$P$197</definedName>
    <definedName name="OSRRefP22_14x_0" localSheetId="49">'300 &amp; 317'!$P$221</definedName>
    <definedName name="OSRRefP22_14x_0" localSheetId="50">'301'!$P$64</definedName>
    <definedName name="OSRRefP22_14x_0" localSheetId="55">'308'!$P$102</definedName>
    <definedName name="OSRRefP22_14x_0" localSheetId="67">'310'!$P$72:$P$75</definedName>
    <definedName name="OSRRefP22_14x_0" localSheetId="75">'310 &amp; 491'!$P$82</definedName>
    <definedName name="OSRRefP22_14x_0" localSheetId="56">'311'!$P$101</definedName>
    <definedName name="OSRRefP22_14x_0" localSheetId="72">'325'!$P$70</definedName>
    <definedName name="OSRRefP22_14x_0" localSheetId="61">'326'!$P$97</definedName>
    <definedName name="OSRRefP22_14x_0" localSheetId="59">'331'!$P$120</definedName>
    <definedName name="OSRRefP22_14x_0" localSheetId="77">'405'!$P$71</definedName>
    <definedName name="OSRRefP22_14x_0" localSheetId="79">'411'!$P$71:$P$73</definedName>
    <definedName name="OSRRefP22_14x_0" localSheetId="84">'415'!$P$69:$P$75</definedName>
    <definedName name="OSRRefP22_14x_0" localSheetId="85">'418'!$P$71</definedName>
    <definedName name="OSRRefP22_14x_0" localSheetId="88">'425'!$P$67</definedName>
    <definedName name="OSRRefP22_14x_0" localSheetId="92">'433'!$P$74</definedName>
    <definedName name="OSRRefP22_14x_0" localSheetId="94">'444'!$P$75</definedName>
    <definedName name="OSRRefP22_14x_0" localSheetId="95">'450'!$P$72</definedName>
    <definedName name="OSRRefP22_14x_0" localSheetId="76">'491'!$P$77:$P$78</definedName>
    <definedName name="OSRRefP22_14x_0" localSheetId="90">'492'!$P$71:$P$78</definedName>
    <definedName name="OSRRefP22_14x_0" localSheetId="39">'Div 2'!$P$69:$P$70</definedName>
    <definedName name="OSRRefP22_14x_0" localSheetId="47">'Div 3'!$P$202</definedName>
    <definedName name="OSRRefP22_14x_0" localSheetId="74">'Div 4'!$P$77</definedName>
    <definedName name="OSRRefP22_14x_0" localSheetId="2">Summary!$P$235</definedName>
    <definedName name="OSRRefP22_15x_0" localSheetId="43">'203'!$P$66</definedName>
    <definedName name="OSRRefP22_15x_0" localSheetId="48">'300'!$P$199</definedName>
    <definedName name="OSRRefP22_15x_0" localSheetId="49">'300 &amp; 317'!$P$223</definedName>
    <definedName name="OSRRefP22_15x_0" localSheetId="50">'301'!$P$66:$P$69</definedName>
    <definedName name="OSRRefP22_15x_0" localSheetId="67">'310'!$P$77</definedName>
    <definedName name="OSRRefP22_15x_0" localSheetId="75">'310 &amp; 491'!$P$84:$P$85</definedName>
    <definedName name="OSRRefP22_15x_0" localSheetId="72">'325'!$P$72</definedName>
    <definedName name="OSRRefP22_15x_0" localSheetId="61">'326'!$P$99</definedName>
    <definedName name="OSRRefP22_15x_0" localSheetId="59">'331'!$P$122:$P$126</definedName>
    <definedName name="OSRRefP22_15x_0" localSheetId="77">'405'!$P$73</definedName>
    <definedName name="OSRRefP22_15x_0" localSheetId="79">'411'!$P$75</definedName>
    <definedName name="OSRRefP22_15x_0" localSheetId="84">'415'!$P$77</definedName>
    <definedName name="OSRRefP22_15x_0" localSheetId="92">'433'!$P$76</definedName>
    <definedName name="OSRRefP22_15x_0" localSheetId="94">'444'!$P$77</definedName>
    <definedName name="OSRRefP22_15x_0" localSheetId="76">'491'!$P$80:$P$84</definedName>
    <definedName name="OSRRefP22_15x_0" localSheetId="90">'492'!$P$80</definedName>
    <definedName name="OSRRefP22_15x_0" localSheetId="39">'Div 2'!$P$72</definedName>
    <definedName name="OSRRefP22_15x_0" localSheetId="47">'Div 3'!$P$204</definedName>
    <definedName name="OSRRefP22_15x_0" localSheetId="74">'Div 4'!$P$79:$P$80</definedName>
    <definedName name="OSRRefP22_15x_0" localSheetId="2">Summary!$P$237</definedName>
    <definedName name="OSRRefP22_16x_0" localSheetId="48">'300'!$P$201:$P$204</definedName>
    <definedName name="OSRRefP22_16x_0" localSheetId="49">'300 &amp; 317'!$P$225:$P$228</definedName>
    <definedName name="OSRRefP22_16x_0" localSheetId="50">'301'!$P$71:$P$73</definedName>
    <definedName name="OSRRefP22_16x_0" localSheetId="67">'310'!$P$79:$P$84</definedName>
    <definedName name="OSRRefP22_16x_0" localSheetId="75">'310 &amp; 491'!$P$87:$P$88</definedName>
    <definedName name="OSRRefP22_16x_0" localSheetId="61">'326'!$P$101</definedName>
    <definedName name="OSRRefP22_16x_0" localSheetId="59">'331'!$P$128</definedName>
    <definedName name="OSRRefP22_16x_0" localSheetId="77">'405'!$P$75</definedName>
    <definedName name="OSRRefP22_16x_0" localSheetId="84">'415'!$P$79</definedName>
    <definedName name="OSRRefP22_16x_0" localSheetId="94">'444'!$P$79</definedName>
    <definedName name="OSRRefP22_16x_0" localSheetId="76">'491'!$P$86</definedName>
    <definedName name="OSRRefP22_16x_0" localSheetId="90">'492'!$P$82</definedName>
    <definedName name="OSRRefP22_16x_0" localSheetId="39">'Div 2'!$P$74:$P$78</definedName>
    <definedName name="OSRRefP22_16x_0" localSheetId="47">'Div 3'!$P$206</definedName>
    <definedName name="OSRRefP22_16x_0" localSheetId="74">'Div 4'!$P$82:$P$83</definedName>
    <definedName name="OSRRefP22_16x_0" localSheetId="2">Summary!$P$239</definedName>
    <definedName name="OSRRefP22_17x_0" localSheetId="48">'300'!$P$206:$P$208</definedName>
    <definedName name="OSRRefP22_17x_0" localSheetId="49">'300 &amp; 317'!$P$230:$P$232</definedName>
    <definedName name="OSRRefP22_17x_0" localSheetId="50">'301'!$P$75</definedName>
    <definedName name="OSRRefP22_17x_0" localSheetId="67">'310'!$P$86</definedName>
    <definedName name="OSRRefP22_17x_0" localSheetId="75">'310 &amp; 491'!$P$90:$P$94</definedName>
    <definedName name="OSRRefP22_17x_0" localSheetId="59">'331'!$P$130</definedName>
    <definedName name="OSRRefP22_17x_0" localSheetId="76">'491'!$P$88:$P$96</definedName>
    <definedName name="OSRRefP22_17x_0" localSheetId="90">'492'!$P$84</definedName>
    <definedName name="OSRRefP22_17x_0" localSheetId="39">'Div 2'!$P$80:$P$81</definedName>
    <definedName name="OSRRefP22_17x_0" localSheetId="47">'Div 3'!$P$208:$P$211</definedName>
    <definedName name="OSRRefP22_17x_0" localSheetId="74">'Div 4'!$P$85:$P$89</definedName>
    <definedName name="OSRRefP22_17x_0" localSheetId="2">Summary!$P$241</definedName>
    <definedName name="OSRRefP22_18x_0" localSheetId="48">'300'!$P$210:$P$213</definedName>
    <definedName name="OSRRefP22_18x_0" localSheetId="49">'300 &amp; 317'!$P$234:$P$237</definedName>
    <definedName name="OSRRefP22_18x_0" localSheetId="50">'301'!$P$77:$P$82</definedName>
    <definedName name="OSRRefP22_18x_0" localSheetId="67">'310'!$P$88</definedName>
    <definedName name="OSRRefP22_18x_0" localSheetId="75">'310 &amp; 491'!$P$96</definedName>
    <definedName name="OSRRefP22_18x_0" localSheetId="59">'331'!$P$132</definedName>
    <definedName name="OSRRefP22_18x_0" localSheetId="76">'491'!$P$98</definedName>
    <definedName name="OSRRefP22_18x_0" localSheetId="39">'Div 2'!$P$83</definedName>
    <definedName name="OSRRefP22_18x_0" localSheetId="47">'Div 3'!$P$213:$P$215</definedName>
    <definedName name="OSRRefP22_18x_0" localSheetId="74">'Div 4'!$P$91</definedName>
    <definedName name="OSRRefP22_18x_0" localSheetId="2">Summary!$P$243:$P$246</definedName>
    <definedName name="OSRRefP22_19x_0" localSheetId="48">'300'!$P$215:$P$216</definedName>
    <definedName name="OSRRefP22_19x_0" localSheetId="49">'300 &amp; 317'!$P$239:$P$240</definedName>
    <definedName name="OSRRefP22_19x_0" localSheetId="50">'301'!$P$84</definedName>
    <definedName name="OSRRefP22_19x_0" localSheetId="75">'310 &amp; 491'!$P$98:$P$106</definedName>
    <definedName name="OSRRefP22_19x_0" localSheetId="59">'331'!$P$134</definedName>
    <definedName name="OSRRefP22_19x_0" localSheetId="76">'491'!$P$100</definedName>
    <definedName name="OSRRefP22_19x_0" localSheetId="39">'Div 2'!$P$85:$P$86</definedName>
    <definedName name="OSRRefP22_19x_0" localSheetId="47">'Div 3'!$P$217:$P$221</definedName>
    <definedName name="OSRRefP22_19x_0" localSheetId="74">'Div 4'!$P$93:$P$101</definedName>
    <definedName name="OSRRefP22_19x_0" localSheetId="2">Summary!$P$248:$P$250</definedName>
    <definedName name="OSRRefP22_1x_0" localSheetId="40">'200'!$P$22</definedName>
    <definedName name="OSRRefP22_1x_0" localSheetId="41">'201'!$P$29:$P$31</definedName>
    <definedName name="OSRRefP22_1x_0" localSheetId="42">'202'!$P$29:$P$32</definedName>
    <definedName name="OSRRefP22_1x_0" localSheetId="43">'203'!$P$30:$P$33</definedName>
    <definedName name="OSRRefP22_1x_0" localSheetId="44">'204'!$P$30:$P$34</definedName>
    <definedName name="OSRRefP22_1x_0" localSheetId="45">'205'!$P$29</definedName>
    <definedName name="OSRRefP22_1x_0" localSheetId="46">'206'!$P$28:$P$31</definedName>
    <definedName name="OSRRefP22_1x_0" localSheetId="48">'300'!$P$162:$P$168</definedName>
    <definedName name="OSRRefP22_1x_0" localSheetId="49">'300 &amp; 317'!$P$186:$P$192</definedName>
    <definedName name="OSRRefP22_1x_0" localSheetId="50">'301'!$P$30:$P$36</definedName>
    <definedName name="OSRRefP22_1x_0" localSheetId="51">'306'!$P$30:$P$35</definedName>
    <definedName name="OSRRefP22_1x_0" localSheetId="53">'307'!$P$67:$P$70</definedName>
    <definedName name="OSRRefP22_1x_0" localSheetId="55">'308'!$P$67:$P$72</definedName>
    <definedName name="OSRRefP22_1x_0" localSheetId="68">'309'!$P$33:$P$36</definedName>
    <definedName name="OSRRefP22_1x_0" localSheetId="67">'310'!$P$39:$P$44</definedName>
    <definedName name="OSRRefP22_1x_0" localSheetId="75">'310 &amp; 491'!$P$47:$P$53</definedName>
    <definedName name="OSRRefP22_1x_0" localSheetId="56">'311'!$P$66:$P$71</definedName>
    <definedName name="OSRRefP22_1x_0" localSheetId="69">'313'!$P$36:$P$40</definedName>
    <definedName name="OSRRefP22_1x_0" localSheetId="54">'314'!$P$61:$P$62</definedName>
    <definedName name="OSRRefP22_1x_0" localSheetId="60">'315'!$P$80:$P$84</definedName>
    <definedName name="OSRRefP22_1x_0" localSheetId="63">'316'!$P$41:$P$43</definedName>
    <definedName name="OSRRefP22_1x_0" localSheetId="66">'317'!$P$65:$P$69</definedName>
    <definedName name="OSRRefP22_1x_0" localSheetId="64">'320'!$P$36:$P$38</definedName>
    <definedName name="OSRRefP22_1x_0" localSheetId="70">'321'!$P$33:$P$37</definedName>
    <definedName name="OSRRefP22_1x_0" localSheetId="71">'322'!$P$33:$P$35</definedName>
    <definedName name="OSRRefP22_1x_0" localSheetId="72">'325'!$P$33:$P$37</definedName>
    <definedName name="OSRRefP22_1x_0" localSheetId="61">'326'!$P$64:$P$68</definedName>
    <definedName name="OSRRefP22_1x_0" localSheetId="52">'330'!$P$81:$P$84</definedName>
    <definedName name="OSRRefP22_1x_0" localSheetId="59">'331'!$P$87:$P$91</definedName>
    <definedName name="OSRRefP22_1x_0" localSheetId="62">'332'!$P$49:$P$52</definedName>
    <definedName name="OSRRefP22_1x_0" localSheetId="77">'405'!$P$33:$P$35</definedName>
    <definedName name="OSRRefP22_1x_0" localSheetId="78">'406'!$P$33:$P$37</definedName>
    <definedName name="OSRRefP22_1x_0" localSheetId="79">'411'!$P$30:$P$35</definedName>
    <definedName name="OSRRefP22_1x_0" localSheetId="80">'412'!$P$32:$P$37</definedName>
    <definedName name="OSRRefP22_1x_0" localSheetId="82">'413'!$P$33:$P$35</definedName>
    <definedName name="OSRRefP22_1x_0" localSheetId="83">'414'!$P$32:$P$35</definedName>
    <definedName name="OSRRefP22_1x_0" localSheetId="84">'415'!$P$33:$P$37</definedName>
    <definedName name="OSRRefP22_1x_0" localSheetId="85">'418'!$P$33:$P$37</definedName>
    <definedName name="OSRRefP22_1x_0" localSheetId="86">'423'!$P$30</definedName>
    <definedName name="OSRRefP22_1x_0" localSheetId="87">'424'!$P$25:$P$28</definedName>
    <definedName name="OSRRefP22_1x_0" localSheetId="88">'425'!$P$33:$P$37</definedName>
    <definedName name="OSRRefP22_1x_0" localSheetId="91">'430'!$P$29</definedName>
    <definedName name="OSRRefP22_1x_0" localSheetId="92">'433'!$P$35:$P$40</definedName>
    <definedName name="OSRRefP22_1x_0" localSheetId="93">'435'!$P$28:$P$29</definedName>
    <definedName name="OSRRefP22_1x_0" localSheetId="94">'444'!$P$35:$P$40</definedName>
    <definedName name="OSRRefP22_1x_0" localSheetId="95">'450'!$P$34:$P$39</definedName>
    <definedName name="OSRRefP22_1x_0" localSheetId="89">'455'!$P$28:$P$29</definedName>
    <definedName name="OSRRefP22_1x_0" localSheetId="76">'491'!$P$41:$P$47</definedName>
    <definedName name="OSRRefP22_1x_0" localSheetId="90">'492'!$P$37:$P$43</definedName>
    <definedName name="OSRRefP22_1x_0" localSheetId="97">'501'!$P$31:$P$35</definedName>
    <definedName name="OSRRefP22_1x_0" localSheetId="39">'Div 2'!$P$31:$P$37</definedName>
    <definedName name="OSRRefP22_1x_0" localSheetId="47">'Div 3'!$P$167:$P$173</definedName>
    <definedName name="OSRRefP22_1x_0" localSheetId="74">'Div 4'!$P$42:$P$48</definedName>
    <definedName name="OSRRefP22_1x_0" localSheetId="96">'Div 5'!$P$31:$P$35</definedName>
    <definedName name="OSRRefP22_1x_0" localSheetId="65">'Div 6'!$P$65:$P$69</definedName>
    <definedName name="OSRRefP22_1x_0" localSheetId="2">Summary!$P$198:$P$204</definedName>
    <definedName name="OSRRefP22_20x_0" localSheetId="48">'300'!$P$218:$P$224</definedName>
    <definedName name="OSRRefP22_20x_0" localSheetId="49">'300 &amp; 317'!$P$242:$P$248</definedName>
    <definedName name="OSRRefP22_20x_0" localSheetId="50">'301'!$P$86</definedName>
    <definedName name="OSRRefP22_20x_0" localSheetId="75">'310 &amp; 491'!$P$108</definedName>
    <definedName name="OSRRefP22_20x_0" localSheetId="76">'491'!$P$102:$P$104</definedName>
    <definedName name="OSRRefP22_20x_0" localSheetId="47">'Div 3'!$P$223:$P$224</definedName>
    <definedName name="OSRRefP22_20x_0" localSheetId="74">'Div 4'!$P$103</definedName>
    <definedName name="OSRRefP22_20x_0" localSheetId="2">Summary!$P$252:$P$256</definedName>
    <definedName name="OSRRefP22_21x_0" localSheetId="48">'300'!$P$226:$P$227</definedName>
    <definedName name="OSRRefP22_21x_0" localSheetId="49">'300 &amp; 317'!$P$250:$P$251</definedName>
    <definedName name="OSRRefP22_21x_0" localSheetId="50">'301'!$P$88:$P$89</definedName>
    <definedName name="OSRRefP22_21x_0" localSheetId="75">'310 &amp; 491'!$P$110</definedName>
    <definedName name="OSRRefP22_21x_0" localSheetId="76">'491'!$P$106</definedName>
    <definedName name="OSRRefP22_21x_0" localSheetId="47">'Div 3'!$P$226:$P$232</definedName>
    <definedName name="OSRRefP22_21x_0" localSheetId="74">'Div 4'!$P$105</definedName>
    <definedName name="OSRRefP22_21x_0" localSheetId="2">Summary!$P$258:$P$259</definedName>
    <definedName name="OSRRefP22_22x_0" localSheetId="48">'300'!$P$229</definedName>
    <definedName name="OSRRefP22_22x_0" localSheetId="49">'300 &amp; 317'!$P$253</definedName>
    <definedName name="OSRRefP22_22x_0" localSheetId="50">'301'!$P$91</definedName>
    <definedName name="OSRRefP22_22x_0" localSheetId="75">'310 &amp; 491'!$P$112:$P$114</definedName>
    <definedName name="OSRRefP22_22x_0" localSheetId="47">'Div 3'!$P$234:$P$235</definedName>
    <definedName name="OSRRefP22_22x_0" localSheetId="74">'Div 4'!$P$107:$P$109</definedName>
    <definedName name="OSRRefP22_22x_0" localSheetId="2">Summary!$P$261:$P$269</definedName>
    <definedName name="OSRRefP22_23x_0" localSheetId="48">'300'!$P$231:$P$233</definedName>
    <definedName name="OSRRefP22_23x_0" localSheetId="49">'300 &amp; 317'!$P$255:$P$257</definedName>
    <definedName name="OSRRefP22_23x_0" localSheetId="75">'310 &amp; 491'!$P$116</definedName>
    <definedName name="OSRRefP22_23x_0" localSheetId="47">'Div 3'!$P$237</definedName>
    <definedName name="OSRRefP22_23x_0" localSheetId="74">'Div 4'!$P$111</definedName>
    <definedName name="OSRRefP22_23x_0" localSheetId="2">Summary!$P$271:$P$272</definedName>
    <definedName name="OSRRefP22_24x_0" localSheetId="48">'300'!$P$235</definedName>
    <definedName name="OSRRefP22_24x_0" localSheetId="49">'300 &amp; 317'!$P$259</definedName>
    <definedName name="OSRRefP22_24x_0" localSheetId="47">'Div 3'!$P$239:$P$241</definedName>
    <definedName name="OSRRefP22_24x_0" localSheetId="2">Summary!$P$274</definedName>
    <definedName name="OSRRefP22_25x_0" localSheetId="47">'Div 3'!$P$243</definedName>
    <definedName name="OSRRefP22_25x_0" localSheetId="2">Summary!$P$276:$P$278</definedName>
    <definedName name="OSRRefP22_26x_0" localSheetId="2">Summary!$P$280</definedName>
    <definedName name="OSRRefP22_2x_0" localSheetId="40">'200'!$P$24</definedName>
    <definedName name="OSRRefP22_2x_0" localSheetId="41">'201'!$P$33</definedName>
    <definedName name="OSRRefP22_2x_0" localSheetId="42">'202'!$P$34</definedName>
    <definedName name="OSRRefP22_2x_0" localSheetId="43">'203'!$P$35</definedName>
    <definedName name="OSRRefP22_2x_0" localSheetId="44">'204'!$P$36</definedName>
    <definedName name="OSRRefP22_2x_0" localSheetId="45">'205'!$P$31</definedName>
    <definedName name="OSRRefP22_2x_0" localSheetId="46">'206'!$P$33</definedName>
    <definedName name="OSRRefP22_2x_0" localSheetId="48">'300'!$P$170</definedName>
    <definedName name="OSRRefP22_2x_0" localSheetId="49">'300 &amp; 317'!$P$194</definedName>
    <definedName name="OSRRefP22_2x_0" localSheetId="50">'301'!$P$38</definedName>
    <definedName name="OSRRefP22_2x_0" localSheetId="51">'306'!$P$37</definedName>
    <definedName name="OSRRefP22_2x_0" localSheetId="53">'307'!$P$72</definedName>
    <definedName name="OSRRefP22_2x_0" localSheetId="55">'308'!$P$74</definedName>
    <definedName name="OSRRefP22_2x_0" localSheetId="68">'309'!$P$38</definedName>
    <definedName name="OSRRefP22_2x_0" localSheetId="67">'310'!$P$46</definedName>
    <definedName name="OSRRefP22_2x_0" localSheetId="75">'310 &amp; 491'!$P$55</definedName>
    <definedName name="OSRRefP22_2x_0" localSheetId="56">'311'!$P$73</definedName>
    <definedName name="OSRRefP22_2x_0" localSheetId="69">'313'!$P$42</definedName>
    <definedName name="OSRRefP22_2x_0" localSheetId="54">'314'!$P$64:$P$65</definedName>
    <definedName name="OSRRefP22_2x_0" localSheetId="60">'315'!$P$86</definedName>
    <definedName name="OSRRefP22_2x_0" localSheetId="63">'316'!$P$45</definedName>
    <definedName name="OSRRefP22_2x_0" localSheetId="66">'317'!$P$71</definedName>
    <definedName name="OSRRefP22_2x_0" localSheetId="64">'320'!$P$40</definedName>
    <definedName name="OSRRefP22_2x_0" localSheetId="70">'321'!$P$39</definedName>
    <definedName name="OSRRefP22_2x_0" localSheetId="71">'322'!$P$37</definedName>
    <definedName name="OSRRefP22_2x_0" localSheetId="72">'325'!$P$39</definedName>
    <definedName name="OSRRefP22_2x_0" localSheetId="61">'326'!$P$70</definedName>
    <definedName name="OSRRefP22_2x_0" localSheetId="52">'330'!$P$86</definedName>
    <definedName name="OSRRefP22_2x_0" localSheetId="59">'331'!$P$93</definedName>
    <definedName name="OSRRefP22_2x_0" localSheetId="62">'332'!$P$54</definedName>
    <definedName name="OSRRefP22_2x_0" localSheetId="77">'405'!$P$37</definedName>
    <definedName name="OSRRefP22_2x_0" localSheetId="78">'406'!$P$39</definedName>
    <definedName name="OSRRefP22_2x_0" localSheetId="79">'411'!$P$37</definedName>
    <definedName name="OSRRefP22_2x_0" localSheetId="80">'412'!$P$39</definedName>
    <definedName name="OSRRefP22_2x_0" localSheetId="82">'413'!$P$37</definedName>
    <definedName name="OSRRefP22_2x_0" localSheetId="83">'414'!$P$37</definedName>
    <definedName name="OSRRefP22_2x_0" localSheetId="84">'415'!$P$39</definedName>
    <definedName name="OSRRefP22_2x_0" localSheetId="85">'418'!$P$39</definedName>
    <definedName name="OSRRefP22_2x_0" localSheetId="86">'423'!$P$32</definedName>
    <definedName name="OSRRefP22_2x_0" localSheetId="87">'424'!$P$30</definedName>
    <definedName name="OSRRefP22_2x_0" localSheetId="88">'425'!$P$39</definedName>
    <definedName name="OSRRefP22_2x_0" localSheetId="91">'430'!$P$31</definedName>
    <definedName name="OSRRefP22_2x_0" localSheetId="92">'433'!$P$42</definedName>
    <definedName name="OSRRefP22_2x_0" localSheetId="93">'435'!$P$31</definedName>
    <definedName name="OSRRefP22_2x_0" localSheetId="94">'444'!$P$42</definedName>
    <definedName name="OSRRefP22_2x_0" localSheetId="95">'450'!$P$41</definedName>
    <definedName name="OSRRefP22_2x_0" localSheetId="76">'491'!$P$49</definedName>
    <definedName name="OSRRefP22_2x_0" localSheetId="90">'492'!$P$45</definedName>
    <definedName name="OSRRefP22_2x_0" localSheetId="97">'501'!$P$37</definedName>
    <definedName name="OSRRefP22_2x_0" localSheetId="39">'Div 2'!$P$39</definedName>
    <definedName name="OSRRefP22_2x_0" localSheetId="47">'Div 3'!$P$175</definedName>
    <definedName name="OSRRefP22_2x_0" localSheetId="74">'Div 4'!$P$50</definedName>
    <definedName name="OSRRefP22_2x_0" localSheetId="96">'Div 5'!$P$37</definedName>
    <definedName name="OSRRefP22_2x_0" localSheetId="65">'Div 6'!$P$71</definedName>
    <definedName name="OSRRefP22_2x_0" localSheetId="2">Summary!$P$206</definedName>
    <definedName name="OSRRefP22_3x_0" localSheetId="40">'200'!$P$26</definedName>
    <definedName name="OSRRefP22_3x_0" localSheetId="41">'201'!$P$35</definedName>
    <definedName name="OSRRefP22_3x_0" localSheetId="42">'202'!$P$36</definedName>
    <definedName name="OSRRefP22_3x_0" localSheetId="43">'203'!$P$37</definedName>
    <definedName name="OSRRefP22_3x_0" localSheetId="44">'204'!$P$38</definedName>
    <definedName name="OSRRefP22_3x_0" localSheetId="45">'205'!$P$33:$P$34</definedName>
    <definedName name="OSRRefP22_3x_0" localSheetId="46">'206'!$P$35</definedName>
    <definedName name="OSRRefP22_3x_0" localSheetId="48">'300'!$P$172</definedName>
    <definedName name="OSRRefP22_3x_0" localSheetId="49">'300 &amp; 317'!$P$196</definedName>
    <definedName name="OSRRefP22_3x_0" localSheetId="50">'301'!$P$40</definedName>
    <definedName name="OSRRefP22_3x_0" localSheetId="51">'306'!$P$39</definedName>
    <definedName name="OSRRefP22_3x_0" localSheetId="53">'307'!$P$74</definedName>
    <definedName name="OSRRefP22_3x_0" localSheetId="55">'308'!$P$76:$P$77</definedName>
    <definedName name="OSRRefP22_3x_0" localSheetId="68">'309'!$P$40</definedName>
    <definedName name="OSRRefP22_3x_0" localSheetId="67">'310'!$P$48</definedName>
    <definedName name="OSRRefP22_3x_0" localSheetId="75">'310 &amp; 491'!$P$57</definedName>
    <definedName name="OSRRefP22_3x_0" localSheetId="56">'311'!$P$75:$P$76</definedName>
    <definedName name="OSRRefP22_3x_0" localSheetId="69">'313'!$P$44</definedName>
    <definedName name="OSRRefP22_3x_0" localSheetId="54">'314'!$P$67</definedName>
    <definedName name="OSRRefP22_3x_0" localSheetId="60">'315'!$P$88</definedName>
    <definedName name="OSRRefP22_3x_0" localSheetId="63">'316'!$P$47</definedName>
    <definedName name="OSRRefP22_3x_0" localSheetId="66">'317'!$P$73</definedName>
    <definedName name="OSRRefP22_3x_0" localSheetId="64">'320'!$P$42:$P$43</definedName>
    <definedName name="OSRRefP22_3x_0" localSheetId="70">'321'!$P$41</definedName>
    <definedName name="OSRRefP22_3x_0" localSheetId="71">'322'!$P$39</definedName>
    <definedName name="OSRRefP22_3x_0" localSheetId="72">'325'!$P$41</definedName>
    <definedName name="OSRRefP22_3x_0" localSheetId="61">'326'!$P$72</definedName>
    <definedName name="OSRRefP22_3x_0" localSheetId="52">'330'!$P$88</definedName>
    <definedName name="OSRRefP22_3x_0" localSheetId="59">'331'!$P$95</definedName>
    <definedName name="OSRRefP22_3x_0" localSheetId="62">'332'!$P$56</definedName>
    <definedName name="OSRRefP22_3x_0" localSheetId="77">'405'!$P$39</definedName>
    <definedName name="OSRRefP22_3x_0" localSheetId="78">'406'!$P$41</definedName>
    <definedName name="OSRRefP22_3x_0" localSheetId="79">'411'!$P$39</definedName>
    <definedName name="OSRRefP22_3x_0" localSheetId="80">'412'!$P$41</definedName>
    <definedName name="OSRRefP22_3x_0" localSheetId="82">'413'!$P$39</definedName>
    <definedName name="OSRRefP22_3x_0" localSheetId="83">'414'!$P$39</definedName>
    <definedName name="OSRRefP22_3x_0" localSheetId="84">'415'!$P$41</definedName>
    <definedName name="OSRRefP22_3x_0" localSheetId="85">'418'!$P$41</definedName>
    <definedName name="OSRRefP22_3x_0" localSheetId="86">'423'!$P$34</definedName>
    <definedName name="OSRRefP22_3x_0" localSheetId="87">'424'!$P$32</definedName>
    <definedName name="OSRRefP22_3x_0" localSheetId="88">'425'!$P$41</definedName>
    <definedName name="OSRRefP22_3x_0" localSheetId="91">'430'!$P$33:$P$34</definedName>
    <definedName name="OSRRefP22_3x_0" localSheetId="92">'433'!$P$44</definedName>
    <definedName name="OSRRefP22_3x_0" localSheetId="93">'435'!$P$33</definedName>
    <definedName name="OSRRefP22_3x_0" localSheetId="94">'444'!$P$44</definedName>
    <definedName name="OSRRefP22_3x_0" localSheetId="95">'450'!$P$43</definedName>
    <definedName name="OSRRefP22_3x_0" localSheetId="76">'491'!$P$51</definedName>
    <definedName name="OSRRefP22_3x_0" localSheetId="90">'492'!$P$47</definedName>
    <definedName name="OSRRefP22_3x_0" localSheetId="97">'501'!$P$39</definedName>
    <definedName name="OSRRefP22_3x_0" localSheetId="39">'Div 2'!$P$41</definedName>
    <definedName name="OSRRefP22_3x_0" localSheetId="47">'Div 3'!$P$177</definedName>
    <definedName name="OSRRefP22_3x_0" localSheetId="74">'Div 4'!$P$52</definedName>
    <definedName name="OSRRefP22_3x_0" localSheetId="96">'Div 5'!$P$39</definedName>
    <definedName name="OSRRefP22_3x_0" localSheetId="65">'Div 6'!$P$73</definedName>
    <definedName name="OSRRefP22_3x_0" localSheetId="2">Summary!$P$208</definedName>
    <definedName name="OSRRefP22_4x_0" localSheetId="41">'201'!$P$37</definedName>
    <definedName name="OSRRefP22_4x_0" localSheetId="42">'202'!$P$38:$P$39</definedName>
    <definedName name="OSRRefP22_4x_0" localSheetId="43">'203'!$P$39</definedName>
    <definedName name="OSRRefP22_4x_0" localSheetId="44">'204'!$P$40:$P$42</definedName>
    <definedName name="OSRRefP22_4x_0" localSheetId="45">'205'!$P$36</definedName>
    <definedName name="OSRRefP22_4x_0" localSheetId="46">'206'!$P$37:$P$38</definedName>
    <definedName name="OSRRefP22_4x_0" localSheetId="48">'300'!$P$174</definedName>
    <definedName name="OSRRefP22_4x_0" localSheetId="49">'300 &amp; 317'!$P$198</definedName>
    <definedName name="OSRRefP22_4x_0" localSheetId="50">'301'!$P$42</definedName>
    <definedName name="OSRRefP22_4x_0" localSheetId="51">'306'!$P$41</definedName>
    <definedName name="OSRRefP22_4x_0" localSheetId="53">'307'!$P$76:$P$77</definedName>
    <definedName name="OSRRefP22_4x_0" localSheetId="55">'308'!$P$79</definedName>
    <definedName name="OSRRefP22_4x_0" localSheetId="68">'309'!$P$42</definedName>
    <definedName name="OSRRefP22_4x_0" localSheetId="67">'310'!$P$50</definedName>
    <definedName name="OSRRefP22_4x_0" localSheetId="75">'310 &amp; 491'!$P$59</definedName>
    <definedName name="OSRRefP22_4x_0" localSheetId="56">'311'!$P$78</definedName>
    <definedName name="OSRRefP22_4x_0" localSheetId="69">'313'!$P$46</definedName>
    <definedName name="OSRRefP22_4x_0" localSheetId="54">'314'!$P$69</definedName>
    <definedName name="OSRRefP22_4x_0" localSheetId="60">'315'!$P$90</definedName>
    <definedName name="OSRRefP22_4x_0" localSheetId="63">'316'!$P$49</definedName>
    <definedName name="OSRRefP22_4x_0" localSheetId="66">'317'!$P$75</definedName>
    <definedName name="OSRRefP22_4x_0" localSheetId="64">'320'!$P$45</definedName>
    <definedName name="OSRRefP22_4x_0" localSheetId="70">'321'!$P$43</definedName>
    <definedName name="OSRRefP22_4x_0" localSheetId="71">'322'!$P$41</definedName>
    <definedName name="OSRRefP22_4x_0" localSheetId="72">'325'!$P$43</definedName>
    <definedName name="OSRRefP22_4x_0" localSheetId="61">'326'!$P$74</definedName>
    <definedName name="OSRRefP22_4x_0" localSheetId="52">'330'!$P$90:$P$91</definedName>
    <definedName name="OSRRefP22_4x_0" localSheetId="59">'331'!$P$97</definedName>
    <definedName name="OSRRefP22_4x_0" localSheetId="62">'332'!$P$58</definedName>
    <definedName name="OSRRefP22_4x_0" localSheetId="77">'405'!$P$41</definedName>
    <definedName name="OSRRefP22_4x_0" localSheetId="78">'406'!$P$43</definedName>
    <definedName name="OSRRefP22_4x_0" localSheetId="79">'411'!$P$41:$P$43</definedName>
    <definedName name="OSRRefP22_4x_0" localSheetId="80">'412'!$P$43</definedName>
    <definedName name="OSRRefP22_4x_0" localSheetId="82">'413'!$P$41</definedName>
    <definedName name="OSRRefP22_4x_0" localSheetId="83">'414'!$P$41</definedName>
    <definedName name="OSRRefP22_4x_0" localSheetId="84">'415'!$P$43</definedName>
    <definedName name="OSRRefP22_4x_0" localSheetId="85">'418'!$P$43</definedName>
    <definedName name="OSRRefP22_4x_0" localSheetId="86">'423'!$P$36</definedName>
    <definedName name="OSRRefP22_4x_0" localSheetId="87">'424'!$P$34</definedName>
    <definedName name="OSRRefP22_4x_0" localSheetId="88">'425'!$P$43</definedName>
    <definedName name="OSRRefP22_4x_0" localSheetId="91">'430'!$P$36</definedName>
    <definedName name="OSRRefP22_4x_0" localSheetId="92">'433'!$P$46</definedName>
    <definedName name="OSRRefP22_4x_0" localSheetId="93">'435'!$P$35</definedName>
    <definedName name="OSRRefP22_4x_0" localSheetId="94">'444'!$P$46</definedName>
    <definedName name="OSRRefP22_4x_0" localSheetId="95">'450'!$P$45</definedName>
    <definedName name="OSRRefP22_4x_0" localSheetId="76">'491'!$P$53</definedName>
    <definedName name="OSRRefP22_4x_0" localSheetId="90">'492'!$P$49</definedName>
    <definedName name="OSRRefP22_4x_0" localSheetId="97">'501'!$P$41</definedName>
    <definedName name="OSRRefP22_4x_0" localSheetId="39">'Div 2'!$P$43</definedName>
    <definedName name="OSRRefP22_4x_0" localSheetId="47">'Div 3'!$P$179</definedName>
    <definedName name="OSRRefP22_4x_0" localSheetId="74">'Div 4'!$P$54</definedName>
    <definedName name="OSRRefP22_4x_0" localSheetId="96">'Div 5'!$P$41</definedName>
    <definedName name="OSRRefP22_4x_0" localSheetId="65">'Div 6'!$P$75</definedName>
    <definedName name="OSRRefP22_4x_0" localSheetId="2">Summary!$P$210</definedName>
    <definedName name="OSRRefP22_5x_0" localSheetId="41">'201'!$P$39</definedName>
    <definedName name="OSRRefP22_5x_0" localSheetId="42">'202'!$P$41</definedName>
    <definedName name="OSRRefP22_5x_0" localSheetId="43">'203'!$P$41</definedName>
    <definedName name="OSRRefP22_5x_0" localSheetId="44">'204'!$P$44</definedName>
    <definedName name="OSRRefP22_5x_0" localSheetId="45">'205'!$P$38</definedName>
    <definedName name="OSRRefP22_5x_0" localSheetId="46">'206'!$P$40</definedName>
    <definedName name="OSRRefP22_5x_0" localSheetId="48">'300'!$P$176:$P$177</definedName>
    <definedName name="OSRRefP22_5x_0" localSheetId="49">'300 &amp; 317'!$P$200:$P$201</definedName>
    <definedName name="OSRRefP22_5x_0" localSheetId="50">'301'!$P$44:$P$45</definedName>
    <definedName name="OSRRefP22_5x_0" localSheetId="53">'307'!$P$79</definedName>
    <definedName name="OSRRefP22_5x_0" localSheetId="55">'308'!$P$81</definedName>
    <definedName name="OSRRefP22_5x_0" localSheetId="68">'309'!$P$44</definedName>
    <definedName name="OSRRefP22_5x_0" localSheetId="67">'310'!$P$52:$P$53</definedName>
    <definedName name="OSRRefP22_5x_0" localSheetId="75">'310 &amp; 491'!$P$61:$P$63</definedName>
    <definedName name="OSRRefP22_5x_0" localSheetId="56">'311'!$P$80</definedName>
    <definedName name="OSRRefP22_5x_0" localSheetId="69">'313'!$P$48</definedName>
    <definedName name="OSRRefP22_5x_0" localSheetId="60">'315'!$P$92</definedName>
    <definedName name="OSRRefP22_5x_0" localSheetId="63">'316'!$P$51:$P$52</definedName>
    <definedName name="OSRRefP22_5x_0" localSheetId="66">'317'!$P$77:$P$78</definedName>
    <definedName name="OSRRefP22_5x_0" localSheetId="64">'320'!$P$47:$P$48</definedName>
    <definedName name="OSRRefP22_5x_0" localSheetId="70">'321'!$P$45</definedName>
    <definedName name="OSRRefP22_5x_0" localSheetId="71">'322'!$P$43</definedName>
    <definedName name="OSRRefP22_5x_0" localSheetId="72">'325'!$P$45:$P$46</definedName>
    <definedName name="OSRRefP22_5x_0" localSheetId="61">'326'!$P$76</definedName>
    <definedName name="OSRRefP22_5x_0" localSheetId="52">'330'!$P$93</definedName>
    <definedName name="OSRRefP22_5x_0" localSheetId="59">'331'!$P$99</definedName>
    <definedName name="OSRRefP22_5x_0" localSheetId="62">'332'!$P$60:$P$61</definedName>
    <definedName name="OSRRefP22_5x_0" localSheetId="77">'405'!$P$43:$P$44</definedName>
    <definedName name="OSRRefP22_5x_0" localSheetId="78">'406'!$P$45</definedName>
    <definedName name="OSRRefP22_5x_0" localSheetId="79">'411'!$P$45</definedName>
    <definedName name="OSRRefP22_5x_0" localSheetId="80">'412'!$P$45</definedName>
    <definedName name="OSRRefP22_5x_0" localSheetId="82">'413'!$P$43</definedName>
    <definedName name="OSRRefP22_5x_0" localSheetId="83">'414'!$P$43</definedName>
    <definedName name="OSRRefP22_5x_0" localSheetId="84">'415'!$P$45:$P$46</definedName>
    <definedName name="OSRRefP22_5x_0" localSheetId="85">'418'!$P$45:$P$46</definedName>
    <definedName name="OSRRefP22_5x_0" localSheetId="86">'423'!$P$38</definedName>
    <definedName name="OSRRefP22_5x_0" localSheetId="87">'424'!$P$36</definedName>
    <definedName name="OSRRefP22_5x_0" localSheetId="88">'425'!$P$45</definedName>
    <definedName name="OSRRefP22_5x_0" localSheetId="91">'430'!$P$38</definedName>
    <definedName name="OSRRefP22_5x_0" localSheetId="92">'433'!$P$48</definedName>
    <definedName name="OSRRefP22_5x_0" localSheetId="93">'435'!$P$37:$P$38</definedName>
    <definedName name="OSRRefP22_5x_0" localSheetId="94">'444'!$P$48</definedName>
    <definedName name="OSRRefP22_5x_0" localSheetId="95">'450'!$P$47</definedName>
    <definedName name="OSRRefP22_5x_0" localSheetId="76">'491'!$P$55:$P$57</definedName>
    <definedName name="OSRRefP22_5x_0" localSheetId="90">'492'!$P$51</definedName>
    <definedName name="OSRRefP22_5x_0" localSheetId="97">'501'!$P$43</definedName>
    <definedName name="OSRRefP22_5x_0" localSheetId="39">'Div 2'!$P$45</definedName>
    <definedName name="OSRRefP22_5x_0" localSheetId="47">'Div 3'!$P$181:$P$182</definedName>
    <definedName name="OSRRefP22_5x_0" localSheetId="74">'Div 4'!$P$56:$P$58</definedName>
    <definedName name="OSRRefP22_5x_0" localSheetId="96">'Div 5'!$P$43</definedName>
    <definedName name="OSRRefP22_5x_0" localSheetId="65">'Div 6'!$P$77:$P$78</definedName>
    <definedName name="OSRRefP22_5x_0" localSheetId="2">Summary!$P$212:$P$214</definedName>
    <definedName name="OSRRefP22_6x_0" localSheetId="41">'201'!$P$41</definedName>
    <definedName name="OSRRefP22_6x_0" localSheetId="42">'202'!$P$43</definedName>
    <definedName name="OSRRefP22_6x_0" localSheetId="43">'203'!$P$43</definedName>
    <definedName name="OSRRefP22_6x_0" localSheetId="44">'204'!$P$46:$P$47</definedName>
    <definedName name="OSRRefP22_6x_0" localSheetId="45">'205'!$P$40</definedName>
    <definedName name="OSRRefP22_6x_0" localSheetId="46">'206'!$P$42</definedName>
    <definedName name="OSRRefP22_6x_0" localSheetId="48">'300'!$P$179:$P$180</definedName>
    <definedName name="OSRRefP22_6x_0" localSheetId="49">'300 &amp; 317'!$P$203:$P$204</definedName>
    <definedName name="OSRRefP22_6x_0" localSheetId="50">'301'!$P$47:$P$48</definedName>
    <definedName name="OSRRefP22_6x_0" localSheetId="53">'307'!$P$81</definedName>
    <definedName name="OSRRefP22_6x_0" localSheetId="55">'308'!$P$83</definedName>
    <definedName name="OSRRefP22_6x_0" localSheetId="68">'309'!$P$46</definedName>
    <definedName name="OSRRefP22_6x_0" localSheetId="67">'310'!$P$55</definedName>
    <definedName name="OSRRefP22_6x_0" localSheetId="75">'310 &amp; 491'!$P$65</definedName>
    <definedName name="OSRRefP22_6x_0" localSheetId="56">'311'!$P$82</definedName>
    <definedName name="OSRRefP22_6x_0" localSheetId="69">'313'!$P$50</definedName>
    <definedName name="OSRRefP22_6x_0" localSheetId="60">'315'!$P$94</definedName>
    <definedName name="OSRRefP22_6x_0" localSheetId="63">'316'!$P$54</definedName>
    <definedName name="OSRRefP22_6x_0" localSheetId="66">'317'!$P$80</definedName>
    <definedName name="OSRRefP22_6x_0" localSheetId="64">'320'!$P$50</definedName>
    <definedName name="OSRRefP22_6x_0" localSheetId="70">'321'!$P$47:$P$48</definedName>
    <definedName name="OSRRefP22_6x_0" localSheetId="71">'322'!$P$45</definedName>
    <definedName name="OSRRefP22_6x_0" localSheetId="72">'325'!$P$48</definedName>
    <definedName name="OSRRefP22_6x_0" localSheetId="61">'326'!$P$78</definedName>
    <definedName name="OSRRefP22_6x_0" localSheetId="52">'330'!$P$95</definedName>
    <definedName name="OSRRefP22_6x_0" localSheetId="59">'331'!$P$101</definedName>
    <definedName name="OSRRefP22_6x_0" localSheetId="62">'332'!$P$63</definedName>
    <definedName name="OSRRefP22_6x_0" localSheetId="77">'405'!$P$46</definedName>
    <definedName name="OSRRefP22_6x_0" localSheetId="78">'406'!$P$47</definedName>
    <definedName name="OSRRefP22_6x_0" localSheetId="79">'411'!$P$47</definedName>
    <definedName name="OSRRefP22_6x_0" localSheetId="80">'412'!$P$47</definedName>
    <definedName name="OSRRefP22_6x_0" localSheetId="82">'413'!$P$45</definedName>
    <definedName name="OSRRefP22_6x_0" localSheetId="83">'414'!$P$45</definedName>
    <definedName name="OSRRefP22_6x_0" localSheetId="84">'415'!$P$48</definedName>
    <definedName name="OSRRefP22_6x_0" localSheetId="85">'418'!$P$48</definedName>
    <definedName name="OSRRefP22_6x_0" localSheetId="87">'424'!$P$38</definedName>
    <definedName name="OSRRefP22_6x_0" localSheetId="88">'425'!$P$47</definedName>
    <definedName name="OSRRefP22_6x_0" localSheetId="91">'430'!$P$40</definedName>
    <definedName name="OSRRefP22_6x_0" localSheetId="92">'433'!$P$50</definedName>
    <definedName name="OSRRefP22_6x_0" localSheetId="93">'435'!$P$40</definedName>
    <definedName name="OSRRefP22_6x_0" localSheetId="94">'444'!$P$50</definedName>
    <definedName name="OSRRefP22_6x_0" localSheetId="95">'450'!$P$49</definedName>
    <definedName name="OSRRefP22_6x_0" localSheetId="76">'491'!$P$59</definedName>
    <definedName name="OSRRefP22_6x_0" localSheetId="90">'492'!$P$53</definedName>
    <definedName name="OSRRefP22_6x_0" localSheetId="97">'501'!$P$45</definedName>
    <definedName name="OSRRefP22_6x_0" localSheetId="39">'Div 2'!$P$47</definedName>
    <definedName name="OSRRefP22_6x_0" localSheetId="47">'Div 3'!$P$184:$P$185</definedName>
    <definedName name="OSRRefP22_6x_0" localSheetId="74">'Div 4'!$P$60</definedName>
    <definedName name="OSRRefP22_6x_0" localSheetId="96">'Div 5'!$P$45</definedName>
    <definedName name="OSRRefP22_6x_0" localSheetId="65">'Div 6'!$P$80</definedName>
    <definedName name="OSRRefP22_6x_0" localSheetId="2">Summary!$P$216:$P$217</definedName>
    <definedName name="OSRRefP22_7x_0" localSheetId="41">'201'!$P$43</definedName>
    <definedName name="OSRRefP22_7x_0" localSheetId="42">'202'!$P$45:$P$46</definedName>
    <definedName name="OSRRefP22_7x_0" localSheetId="43">'203'!$P$45</definedName>
    <definedName name="OSRRefP22_7x_0" localSheetId="44">'204'!$P$49</definedName>
    <definedName name="OSRRefP22_7x_0" localSheetId="48">'300'!$P$182</definedName>
    <definedName name="OSRRefP22_7x_0" localSheetId="49">'300 &amp; 317'!$P$206</definedName>
    <definedName name="OSRRefP22_7x_0" localSheetId="50">'301'!$P$50</definedName>
    <definedName name="OSRRefP22_7x_0" localSheetId="53">'307'!$P$83</definedName>
    <definedName name="OSRRefP22_7x_0" localSheetId="55">'308'!$P$85</definedName>
    <definedName name="OSRRefP22_7x_0" localSheetId="68">'309'!$P$48:$P$49</definedName>
    <definedName name="OSRRefP22_7x_0" localSheetId="67">'310'!$P$57</definedName>
    <definedName name="OSRRefP22_7x_0" localSheetId="75">'310 &amp; 491'!$P$67</definedName>
    <definedName name="OSRRefP22_7x_0" localSheetId="56">'311'!$P$84</definedName>
    <definedName name="OSRRefP22_7x_0" localSheetId="69">'313'!$P$52</definedName>
    <definedName name="OSRRefP22_7x_0" localSheetId="60">'315'!$P$96:$P$97</definedName>
    <definedName name="OSRRefP22_7x_0" localSheetId="63">'316'!$P$56</definedName>
    <definedName name="OSRRefP22_7x_0" localSheetId="66">'317'!$P$82</definedName>
    <definedName name="OSRRefP22_7x_0" localSheetId="70">'321'!$P$50:$P$51</definedName>
    <definedName name="OSRRefP22_7x_0" localSheetId="71">'322'!$P$47</definedName>
    <definedName name="OSRRefP22_7x_0" localSheetId="72">'325'!$P$50</definedName>
    <definedName name="OSRRefP22_7x_0" localSheetId="61">'326'!$P$80</definedName>
    <definedName name="OSRRefP22_7x_0" localSheetId="52">'330'!$P$97</definedName>
    <definedName name="OSRRefP22_7x_0" localSheetId="59">'331'!$P$103</definedName>
    <definedName name="OSRRefP22_7x_0" localSheetId="62">'332'!$P$65</definedName>
    <definedName name="OSRRefP22_7x_0" localSheetId="77">'405'!$P$48</definedName>
    <definedName name="OSRRefP22_7x_0" localSheetId="78">'406'!$P$49</definedName>
    <definedName name="OSRRefP22_7x_0" localSheetId="79">'411'!$P$49</definedName>
    <definedName name="OSRRefP22_7x_0" localSheetId="80">'412'!$P$49</definedName>
    <definedName name="OSRRefP22_7x_0" localSheetId="82">'413'!$P$47:$P$48</definedName>
    <definedName name="OSRRefP22_7x_0" localSheetId="83">'414'!$P$47</definedName>
    <definedName name="OSRRefP22_7x_0" localSheetId="84">'415'!$P$50</definedName>
    <definedName name="OSRRefP22_7x_0" localSheetId="85">'418'!$P$50</definedName>
    <definedName name="OSRRefP22_7x_0" localSheetId="87">'424'!$P$40</definedName>
    <definedName name="OSRRefP22_7x_0" localSheetId="88">'425'!$P$49</definedName>
    <definedName name="OSRRefP22_7x_0" localSheetId="92">'433'!$P$52</definedName>
    <definedName name="OSRRefP22_7x_0" localSheetId="94">'444'!$P$52</definedName>
    <definedName name="OSRRefP22_7x_0" localSheetId="95">'450'!$P$51</definedName>
    <definedName name="OSRRefP22_7x_0" localSheetId="76">'491'!$P$61</definedName>
    <definedName name="OSRRefP22_7x_0" localSheetId="90">'492'!$P$55</definedName>
    <definedName name="OSRRefP22_7x_0" localSheetId="97">'501'!$P$47:$P$48</definedName>
    <definedName name="OSRRefP22_7x_0" localSheetId="39">'Div 2'!$P$49</definedName>
    <definedName name="OSRRefP22_7x_0" localSheetId="47">'Div 3'!$P$187</definedName>
    <definedName name="OSRRefP22_7x_0" localSheetId="74">'Div 4'!$P$62</definedName>
    <definedName name="OSRRefP22_7x_0" localSheetId="96">'Div 5'!$P$47:$P$48</definedName>
    <definedName name="OSRRefP22_7x_0" localSheetId="65">'Div 6'!$P$82</definedName>
    <definedName name="OSRRefP22_7x_0" localSheetId="2">Summary!$P$219</definedName>
    <definedName name="OSRRefP22_8x_0" localSheetId="41">'201'!$P$45:$P$46</definedName>
    <definedName name="OSRRefP22_8x_0" localSheetId="42">'202'!$P$48</definedName>
    <definedName name="OSRRefP22_8x_0" localSheetId="43">'203'!$P$47</definedName>
    <definedName name="OSRRefP22_8x_0" localSheetId="44">'204'!$P$51</definedName>
    <definedName name="OSRRefP22_8x_0" localSheetId="48">'300'!$P$184</definedName>
    <definedName name="OSRRefP22_8x_0" localSheetId="49">'300 &amp; 317'!$P$208</definedName>
    <definedName name="OSRRefP22_8x_0" localSheetId="50">'301'!$P$52</definedName>
    <definedName name="OSRRefP22_8x_0" localSheetId="53">'307'!$P$85:$P$86</definedName>
    <definedName name="OSRRefP22_8x_0" localSheetId="55">'308'!$P$87</definedName>
    <definedName name="OSRRefP22_8x_0" localSheetId="68">'309'!$P$51:$P$52</definedName>
    <definedName name="OSRRefP22_8x_0" localSheetId="67">'310'!$P$59</definedName>
    <definedName name="OSRRefP22_8x_0" localSheetId="75">'310 &amp; 491'!$P$69</definedName>
    <definedName name="OSRRefP22_8x_0" localSheetId="56">'311'!$P$86</definedName>
    <definedName name="OSRRefP22_8x_0" localSheetId="69">'313'!$P$54</definedName>
    <definedName name="OSRRefP22_8x_0" localSheetId="60">'315'!$P$99:$P$102</definedName>
    <definedName name="OSRRefP22_8x_0" localSheetId="63">'316'!$P$58:$P$62</definedName>
    <definedName name="OSRRefP22_8x_0" localSheetId="66">'317'!$P$84</definedName>
    <definedName name="OSRRefP22_8x_0" localSheetId="70">'321'!$P$53:$P$56</definedName>
    <definedName name="OSRRefP22_8x_0" localSheetId="71">'322'!$P$49:$P$50</definedName>
    <definedName name="OSRRefP22_8x_0" localSheetId="72">'325'!$P$52</definedName>
    <definedName name="OSRRefP22_8x_0" localSheetId="61">'326'!$P$82</definedName>
    <definedName name="OSRRefP22_8x_0" localSheetId="52">'330'!$P$99:$P$100</definedName>
    <definedName name="OSRRefP22_8x_0" localSheetId="59">'331'!$P$105</definedName>
    <definedName name="OSRRefP22_8x_0" localSheetId="62">'332'!$P$67</definedName>
    <definedName name="OSRRefP22_8x_0" localSheetId="77">'405'!$P$50</definedName>
    <definedName name="OSRRefP22_8x_0" localSheetId="78">'406'!$P$51:$P$52</definedName>
    <definedName name="OSRRefP22_8x_0" localSheetId="79">'411'!$P$51</definedName>
    <definedName name="OSRRefP22_8x_0" localSheetId="80">'412'!$P$51:$P$52</definedName>
    <definedName name="OSRRefP22_8x_0" localSheetId="82">'413'!$P$50:$P$51</definedName>
    <definedName name="OSRRefP22_8x_0" localSheetId="83">'414'!$P$49:$P$50</definedName>
    <definedName name="OSRRefP22_8x_0" localSheetId="84">'415'!$P$52</definedName>
    <definedName name="OSRRefP22_8x_0" localSheetId="85">'418'!$P$52:$P$53</definedName>
    <definedName name="OSRRefP22_8x_0" localSheetId="87">'424'!$P$42:$P$43</definedName>
    <definedName name="OSRRefP22_8x_0" localSheetId="88">'425'!$P$51</definedName>
    <definedName name="OSRRefP22_8x_0" localSheetId="92">'433'!$P$54</definedName>
    <definedName name="OSRRefP22_8x_0" localSheetId="94">'444'!$P$54</definedName>
    <definedName name="OSRRefP22_8x_0" localSheetId="95">'450'!$P$53</definedName>
    <definedName name="OSRRefP22_8x_0" localSheetId="76">'491'!$P$63:$P$64</definedName>
    <definedName name="OSRRefP22_8x_0" localSheetId="90">'492'!$P$57</definedName>
    <definedName name="OSRRefP22_8x_0" localSheetId="97">'501'!$P$50</definedName>
    <definedName name="OSRRefP22_8x_0" localSheetId="39">'Div 2'!$P$51</definedName>
    <definedName name="OSRRefP22_8x_0" localSheetId="47">'Div 3'!$P$189</definedName>
    <definedName name="OSRRefP22_8x_0" localSheetId="74">'Div 4'!$P$64</definedName>
    <definedName name="OSRRefP22_8x_0" localSheetId="96">'Div 5'!$P$50</definedName>
    <definedName name="OSRRefP22_8x_0" localSheetId="65">'Div 6'!$P$84</definedName>
    <definedName name="OSRRefP22_8x_0" localSheetId="2">Summary!$P$221</definedName>
    <definedName name="OSRRefP22_9x_0" localSheetId="41">'201'!$P$48:$P$49</definedName>
    <definedName name="OSRRefP22_9x_0" localSheetId="42">'202'!$P$50:$P$52</definedName>
    <definedName name="OSRRefP22_9x_0" localSheetId="43">'203'!$P$49:$P$50</definedName>
    <definedName name="OSRRefP22_9x_0" localSheetId="48">'300'!$P$186</definedName>
    <definedName name="OSRRefP22_9x_0" localSheetId="49">'300 &amp; 317'!$P$210</definedName>
    <definedName name="OSRRefP22_9x_0" localSheetId="50">'301'!$P$54</definedName>
    <definedName name="OSRRefP22_9x_0" localSheetId="53">'307'!$P$88:$P$90</definedName>
    <definedName name="OSRRefP22_9x_0" localSheetId="55">'308'!$P$89</definedName>
    <definedName name="OSRRefP22_9x_0" localSheetId="68">'309'!$P$54:$P$56</definedName>
    <definedName name="OSRRefP22_9x_0" localSheetId="67">'310'!$P$61</definedName>
    <definedName name="OSRRefP22_9x_0" localSheetId="75">'310 &amp; 491'!$P$71</definedName>
    <definedName name="OSRRefP22_9x_0" localSheetId="56">'311'!$P$88</definedName>
    <definedName name="OSRRefP22_9x_0" localSheetId="69">'313'!$P$56</definedName>
    <definedName name="OSRRefP22_9x_0" localSheetId="60">'315'!$P$104</definedName>
    <definedName name="OSRRefP22_9x_0" localSheetId="63">'316'!$P$64</definedName>
    <definedName name="OSRRefP22_9x_0" localSheetId="66">'317'!$P$86:$P$88</definedName>
    <definedName name="OSRRefP22_9x_0" localSheetId="70">'321'!$P$58</definedName>
    <definedName name="OSRRefP22_9x_0" localSheetId="71">'322'!$P$52:$P$54</definedName>
    <definedName name="OSRRefP22_9x_0" localSheetId="72">'325'!$P$54</definedName>
    <definedName name="OSRRefP22_9x_0" localSheetId="61">'326'!$P$84</definedName>
    <definedName name="OSRRefP22_9x_0" localSheetId="52">'330'!$P$102</definedName>
    <definedName name="OSRRefP22_9x_0" localSheetId="59">'331'!$P$107</definedName>
    <definedName name="OSRRefP22_9x_0" localSheetId="62">'332'!$P$69:$P$74</definedName>
    <definedName name="OSRRefP22_9x_0" localSheetId="77">'405'!$P$52:$P$53</definedName>
    <definedName name="OSRRefP22_9x_0" localSheetId="78">'406'!$P$54</definedName>
    <definedName name="OSRRefP22_9x_0" localSheetId="79">'411'!$P$53:$P$54</definedName>
    <definedName name="OSRRefP22_9x_0" localSheetId="80">'412'!$P$54:$P$55</definedName>
    <definedName name="OSRRefP22_9x_0" localSheetId="82">'413'!$P$53:$P$56</definedName>
    <definedName name="OSRRefP22_9x_0" localSheetId="83">'414'!$P$52</definedName>
    <definedName name="OSRRefP22_9x_0" localSheetId="84">'415'!$P$54</definedName>
    <definedName name="OSRRefP22_9x_0" localSheetId="85">'418'!$P$55:$P$56</definedName>
    <definedName name="OSRRefP22_9x_0" localSheetId="87">'424'!$P$45</definedName>
    <definedName name="OSRRefP22_9x_0" localSheetId="88">'425'!$P$53:$P$54</definedName>
    <definedName name="OSRRefP22_9x_0" localSheetId="92">'433'!$P$56</definedName>
    <definedName name="OSRRefP22_9x_0" localSheetId="94">'444'!$P$56</definedName>
    <definedName name="OSRRefP22_9x_0" localSheetId="95">'450'!$P$55</definedName>
    <definedName name="OSRRefP22_9x_0" localSheetId="76">'491'!$P$66</definedName>
    <definedName name="OSRRefP22_9x_0" localSheetId="90">'492'!$P$59</definedName>
    <definedName name="OSRRefP22_9x_0" localSheetId="39">'Div 2'!$P$53:$P$54</definedName>
    <definedName name="OSRRefP22_9x_0" localSheetId="47">'Div 3'!$P$191</definedName>
    <definedName name="OSRRefP22_9x_0" localSheetId="74">'Div 4'!$P$66:$P$67</definedName>
    <definedName name="OSRRefP22_9x_0" localSheetId="65">'Div 6'!$P$86:$P$88</definedName>
    <definedName name="OSRRefP22_9x_0" localSheetId="2">Summary!$P$223</definedName>
    <definedName name="OSRRefP22x_0" localSheetId="40">'200'!$P$20,'200'!$P$22,'200'!$P$24,'200'!$P$26</definedName>
    <definedName name="OSRRefP22x_0" localSheetId="41">'201'!$P$20:$P$27,'201'!$P$29:$P$31,'201'!$P$33,'201'!$P$35,'201'!$P$37,'201'!$P$39,'201'!$P$41,'201'!$P$43,'201'!$P$45:$P$46,'201'!$P$48:$P$49,'201'!$P$51,'201'!$P$53:$P$55,'201'!$P$57,'201'!$P$59</definedName>
    <definedName name="OSRRefP22x_0" localSheetId="42">'202'!$P$20:$P$27,'202'!$P$29:$P$32,'202'!$P$34,'202'!$P$36,'202'!$P$38:$P$39,'202'!$P$41,'202'!$P$43,'202'!$P$45:$P$46,'202'!$P$48,'202'!$P$50:$P$52,'202'!$P$54,'202'!$P$56</definedName>
    <definedName name="OSRRefP22x_0" localSheetId="43">'203'!$P$20:$P$28,'203'!$P$30:$P$33,'203'!$P$35,'203'!$P$37,'203'!$P$39,'203'!$P$41,'203'!$P$43,'203'!$P$45,'203'!$P$47,'203'!$P$49:$P$50,'203'!$P$52:$P$53,'203'!$P$55,'203'!$P$57:$P$60,'203'!$P$62,'203'!$P$64,'203'!$P$66</definedName>
    <definedName name="OSRRefP22x_0" localSheetId="44">'204'!$P$20:$P$28,'204'!$P$30:$P$34,'204'!$P$36,'204'!$P$38,'204'!$P$40:$P$42,'204'!$P$44,'204'!$P$46:$P$47,'204'!$P$49,'204'!$P$51</definedName>
    <definedName name="OSRRefP22x_0" localSheetId="45">'205'!$P$20:$P$27,'205'!$P$29,'205'!$P$31,'205'!$P$33:$P$34,'205'!$P$36,'205'!$P$38,'205'!$P$40</definedName>
    <definedName name="OSRRefP22x_0" localSheetId="46">'206'!$P$20:$P$26,'206'!$P$28:$P$31,'206'!$P$33,'206'!$P$35,'206'!$P$37:$P$38,'206'!$P$40,'206'!$P$42</definedName>
    <definedName name="OSRRefP22x_0" localSheetId="48">'300'!$P$151:$P$160,'300'!$P$162:$P$168,'300'!$P$170,'300'!$P$172,'300'!$P$174,'300'!$P$176:$P$177,'300'!$P$179:$P$180,'300'!$P$182,'300'!$P$184,'300'!$P$186,'300'!$P$188:$P$189,'300'!$P$191,'300'!$P$193,'300'!$P$195,'300'!$P$197,'300'!$P$199,'300'!$P$201:$P$204,'300'!$P$206:$P$208,'300'!$P$210:$P$213,'300'!$P$215:$P$216,'300'!$P$218:$P$224,'300'!$P$226:$P$227,'300'!$P$229,'300'!$P$231:$P$233,'300'!$P$235</definedName>
    <definedName name="OSRRefP22x_0" localSheetId="49">'300 &amp; 317'!$P$175:$P$184,'300 &amp; 317'!$P$186:$P$192,'300 &amp; 317'!$P$194,'300 &amp; 317'!$P$196,'300 &amp; 317'!$P$198,'300 &amp; 317'!$P$200:$P$201,'300 &amp; 317'!$P$203:$P$204,'300 &amp; 317'!$P$206,'300 &amp; 317'!$P$208,'300 &amp; 317'!$P$210,'300 &amp; 317'!$P$212:$P$213,'300 &amp; 317'!$P$215,'300 &amp; 317'!$P$217,'300 &amp; 317'!$P$219,'300 &amp; 317'!$P$221,'300 &amp; 317'!$P$223,'300 &amp; 317'!$P$225:$P$228,'300 &amp; 317'!$P$230:$P$232,'300 &amp; 317'!$P$234:$P$237,'300 &amp; 317'!$P$239:$P$240,'300 &amp; 317'!$P$242:$P$248,'300 &amp; 317'!$P$250:$P$251,'300 &amp; 317'!$P$253,'300 &amp; 317'!$P$255:$P$257,'300 &amp; 317'!$P$259</definedName>
    <definedName name="OSRRefP22x_0" localSheetId="50">'301'!$P$20:$P$28,'301'!$P$30:$P$36,'301'!$P$38,'301'!$P$40,'301'!$P$42,'301'!$P$44:$P$45,'301'!$P$47:$P$48,'301'!$P$50,'301'!$P$52,'301'!$P$54,'301'!$P$56,'301'!$P$58,'301'!$P$60,'301'!$P$62,'301'!$P$64,'301'!$P$66:$P$69,'301'!$P$71:$P$73,'301'!$P$75,'301'!$P$77:$P$82,'301'!$P$84,'301'!$P$86,'301'!$P$88:$P$89,'301'!$P$91</definedName>
    <definedName name="OSRRefP22x_0" localSheetId="51">'306'!$P$20:$P$28,'306'!$P$30:$P$35,'306'!$P$37,'306'!$P$39,'306'!$P$41</definedName>
    <definedName name="OSRRefP22x_0" localSheetId="53">'307'!$P$58:$P$65,'307'!$P$67:$P$70,'307'!$P$72,'307'!$P$74,'307'!$P$76:$P$77,'307'!$P$79,'307'!$P$81,'307'!$P$83,'307'!$P$85:$P$86,'307'!$P$88:$P$90,'307'!$P$92</definedName>
    <definedName name="OSRRefP22x_0" localSheetId="55">'308'!$P$57:$P$65,'308'!$P$67:$P$72,'308'!$P$74,'308'!$P$76:$P$77,'308'!$P$79,'308'!$P$81,'308'!$P$83,'308'!$P$85,'308'!$P$87,'308'!$P$89,'308'!$P$91,'308'!$P$93:$P$95,'308'!$P$97:$P$98,'308'!$P$100,'308'!$P$102</definedName>
    <definedName name="OSRRefP22x_0" localSheetId="68">'309'!$P$24:$P$31,'309'!$P$33:$P$36,'309'!$P$38,'309'!$P$40,'309'!$P$42,'309'!$P$44,'309'!$P$46,'309'!$P$48:$P$49,'309'!$P$51:$P$52,'309'!$P$54:$P$56,'309'!$P$58</definedName>
    <definedName name="OSRRefP22x_0" localSheetId="67">'310'!$P$30:$P$37,'310'!$P$39:$P$44,'310'!$P$46,'310'!$P$48,'310'!$P$50,'310'!$P$52:$P$53,'310'!$P$55,'310'!$P$57,'310'!$P$59,'310'!$P$61,'310'!$P$63,'310'!$P$65,'310'!$P$67,'310'!$P$69:$P$70,'310'!$P$72:$P$75,'310'!$P$77,'310'!$P$79:$P$84,'310'!$P$86,'310'!$P$88</definedName>
    <definedName name="OSRRefP22x_0" localSheetId="75">'310 &amp; 491'!$P$37:$P$45,'310 &amp; 491'!$P$47:$P$53,'310 &amp; 491'!$P$55,'310 &amp; 491'!$P$57,'310 &amp; 491'!$P$59,'310 &amp; 491'!$P$61:$P$63,'310 &amp; 491'!$P$65,'310 &amp; 491'!$P$67,'310 &amp; 491'!$P$69,'310 &amp; 491'!$P$71,'310 &amp; 491'!$P$73:$P$74,'310 &amp; 491'!$P$76,'310 &amp; 491'!$P$78,'310 &amp; 491'!$P$80,'310 &amp; 491'!$P$82,'310 &amp; 491'!$P$84:$P$85,'310 &amp; 491'!$P$87:$P$88,'310 &amp; 491'!$P$90:$P$94,'310 &amp; 491'!$P$96,'310 &amp; 491'!$P$98:$P$106,'310 &amp; 491'!$P$108,'310 &amp; 491'!$P$110,'310 &amp; 491'!$P$112:$P$114,'310 &amp; 491'!$P$116</definedName>
    <definedName name="OSRRefP22x_0" localSheetId="56">'311'!$P$56:$P$64,'311'!$P$66:$P$71,'311'!$P$73,'311'!$P$75:$P$76,'311'!$P$78,'311'!$P$80,'311'!$P$82,'311'!$P$84,'311'!$P$86,'311'!$P$88,'311'!$P$90,'311'!$P$92:$P$94,'311'!$P$96:$P$97,'311'!$P$99,'311'!$P$101</definedName>
    <definedName name="OSRRefP22x_0" localSheetId="69">'313'!$P$27:$P$34,'313'!$P$36:$P$40,'313'!$P$42,'313'!$P$44,'313'!$P$46,'313'!$P$48,'313'!$P$50,'313'!$P$52,'313'!$P$54,'313'!$P$56,'313'!$P$58:$P$61,'313'!$P$63</definedName>
    <definedName name="OSRRefP22x_0" localSheetId="54">'314'!$P$53:$P$59,'314'!$P$61:$P$62,'314'!$P$64:$P$65,'314'!$P$67,'314'!$P$69</definedName>
    <definedName name="OSRRefP22x_0" localSheetId="60">'315'!$P$71:$P$78,'315'!$P$80:$P$84,'315'!$P$86,'315'!$P$88,'315'!$P$90,'315'!$P$92,'315'!$P$94,'315'!$P$96:$P$97,'315'!$P$99:$P$102,'315'!$P$104,'315'!$P$106</definedName>
    <definedName name="OSRRefP22x_0" localSheetId="63">'316'!$P$32:$P$39,'316'!$P$41:$P$43,'316'!$P$45,'316'!$P$47,'316'!$P$49,'316'!$P$51:$P$52,'316'!$P$54,'316'!$P$56,'316'!$P$58:$P$62,'316'!$P$64,'316'!$P$66</definedName>
    <definedName name="OSRRefP22x_0" localSheetId="66">'317'!$P$55:$P$63,'317'!$P$65:$P$69,'317'!$P$71,'317'!$P$73,'317'!$P$75,'317'!$P$77:$P$78,'317'!$P$80,'317'!$P$82,'317'!$P$84,'317'!$P$86:$P$88,'317'!$P$90</definedName>
    <definedName name="OSRRefP22x_0" localSheetId="64">'320'!$P$28:$P$34,'320'!$P$36:$P$38,'320'!$P$40,'320'!$P$42:$P$43,'320'!$P$45,'320'!$P$47:$P$48,'320'!$P$50</definedName>
    <definedName name="OSRRefP22x_0" localSheetId="70">'321'!$P$24:$P$31,'321'!$P$33:$P$37,'321'!$P$39,'321'!$P$41,'321'!$P$43,'321'!$P$45,'321'!$P$47:$P$48,'321'!$P$50:$P$51,'321'!$P$53:$P$56,'321'!$P$58,'321'!$P$60</definedName>
    <definedName name="OSRRefP22x_0" localSheetId="71">'322'!$P$24:$P$31,'322'!$P$33:$P$35,'322'!$P$37,'322'!$P$39,'322'!$P$41,'322'!$P$43,'322'!$P$45,'322'!$P$47,'322'!$P$49:$P$50,'322'!$P$52:$P$54,'322'!$P$56:$P$60,'322'!$P$62,'322'!$P$64</definedName>
    <definedName name="OSRRefP22x_0" localSheetId="72">'325'!$P$24:$P$31,'325'!$P$33:$P$37,'325'!$P$39,'325'!$P$41,'325'!$P$43,'325'!$P$45:$P$46,'325'!$P$48,'325'!$P$50,'325'!$P$52,'325'!$P$54,'325'!$P$56:$P$57,'325'!$P$59:$P$61,'325'!$P$63,'325'!$P$65:$P$68,'325'!$P$70,'325'!$P$72</definedName>
    <definedName name="OSRRefP22x_0" localSheetId="61">'326'!$P$55:$P$62,'326'!$P$64:$P$68,'326'!$P$70,'326'!$P$72,'326'!$P$74,'326'!$P$76,'326'!$P$78,'326'!$P$80,'326'!$P$82,'326'!$P$84,'326'!$P$86,'326'!$P$88:$P$90,'326'!$P$92,'326'!$P$94:$P$95,'326'!$P$97,'326'!$P$99,'326'!$P$101</definedName>
    <definedName name="OSRRefP22x_0" localSheetId="73">'327'!$P$22</definedName>
    <definedName name="OSRRefP22x_0" localSheetId="52">'330'!$P$72:$P$79,'330'!$P$81:$P$84,'330'!$P$86,'330'!$P$88,'330'!$P$90:$P$91,'330'!$P$93,'330'!$P$95,'330'!$P$97,'330'!$P$99:$P$100,'330'!$P$102,'330'!$P$104:$P$106,'330'!$P$108</definedName>
    <definedName name="OSRRefP22x_0" localSheetId="59">'331'!$P$78:$P$85,'331'!$P$87:$P$91,'331'!$P$93,'331'!$P$95,'331'!$P$97,'331'!$P$99,'331'!$P$101,'331'!$P$103,'331'!$P$105,'331'!$P$107,'331'!$P$109,'331'!$P$111,'331'!$P$113:$P$114,'331'!$P$116:$P$118,'331'!$P$120,'331'!$P$122:$P$126,'331'!$P$128,'331'!$P$130,'331'!$P$132,'331'!$P$134</definedName>
    <definedName name="OSRRefP22x_0" localSheetId="62">'332'!$P$40:$P$47,'332'!$P$49:$P$52,'332'!$P$54,'332'!$P$56,'332'!$P$58,'332'!$P$60:$P$61,'332'!$P$63,'332'!$P$65,'332'!$P$67,'332'!$P$69:$P$74,'332'!$P$76,'332'!$P$78</definedName>
    <definedName name="OSRRefP22x_0" localSheetId="77">'405'!$P$24:$P$31,'405'!$P$33:$P$35,'405'!$P$37,'405'!$P$39,'405'!$P$41,'405'!$P$43:$P$44,'405'!$P$46,'405'!$P$48,'405'!$P$50,'405'!$P$52:$P$53,'405'!$P$55,'405'!$P$57:$P$59,'405'!$P$61,'405'!$P$63:$P$69,'405'!$P$71,'405'!$P$73,'405'!$P$75</definedName>
    <definedName name="OSRRefP22x_0" localSheetId="78">'406'!$P$24:$P$31,'406'!$P$33:$P$37,'406'!$P$39,'406'!$P$41,'406'!$P$43,'406'!$P$45,'406'!$P$47,'406'!$P$49,'406'!$P$51:$P$52,'406'!$P$54,'406'!$P$56:$P$60,'406'!$P$62,'406'!$P$64</definedName>
    <definedName name="OSRRefP22x_0" localSheetId="79">'411'!$P$20:$P$28,'411'!$P$30:$P$35,'411'!$P$37,'411'!$P$39,'411'!$P$41:$P$43,'411'!$P$45,'411'!$P$47,'411'!$P$49,'411'!$P$51,'411'!$P$53:$P$54,'411'!$P$56:$P$60,'411'!$P$62:$P$65,'411'!$P$67,'411'!$P$69,'411'!$P$71:$P$73,'411'!$P$75</definedName>
    <definedName name="OSRRefP22x_0" localSheetId="80">'412'!$P$23:$P$30,'412'!$P$32:$P$37,'412'!$P$39,'412'!$P$41,'412'!$P$43,'412'!$P$45,'412'!$P$47,'412'!$P$49,'412'!$P$51:$P$52,'412'!$P$54:$P$55,'412'!$P$57:$P$61,'412'!$P$63,'412'!$P$65</definedName>
    <definedName name="OSRRefP22x_0" localSheetId="82">'413'!$P$24:$P$31,'413'!$P$33:$P$35,'413'!$P$37,'413'!$P$39,'413'!$P$41,'413'!$P$43,'413'!$P$45,'413'!$P$47:$P$48,'413'!$P$50:$P$51,'413'!$P$53:$P$56,'413'!$P$58</definedName>
    <definedName name="OSRRefP22x_0" localSheetId="83">'414'!$P$24:$P$30,'414'!$P$32:$P$35,'414'!$P$37,'414'!$P$39,'414'!$P$41,'414'!$P$43,'414'!$P$45,'414'!$P$47,'414'!$P$49:$P$50,'414'!$P$52,'414'!$P$54,'414'!$P$56,'414'!$P$58:$P$64,'414'!$P$66</definedName>
    <definedName name="OSRRefP22x_0" localSheetId="84">'415'!$P$24:$P$31,'415'!$P$33:$P$37,'415'!$P$39,'415'!$P$41,'415'!$P$43,'415'!$P$45:$P$46,'415'!$P$48,'415'!$P$50,'415'!$P$52,'415'!$P$54,'415'!$P$56,'415'!$P$58:$P$59,'415'!$P$61:$P$65,'415'!$P$67,'415'!$P$69:$P$75,'415'!$P$77,'415'!$P$79</definedName>
    <definedName name="OSRRefP22x_0" localSheetId="85">'418'!$P$24:$P$31,'418'!$P$33:$P$37,'418'!$P$39,'418'!$P$41,'418'!$P$43,'418'!$P$45:$P$46,'418'!$P$48,'418'!$P$50,'418'!$P$52:$P$53,'418'!$P$55:$P$56,'418'!$P$58:$P$60,'418'!$P$62,'418'!$P$64:$P$67,'418'!$P$69,'418'!$P$71</definedName>
    <definedName name="OSRRefP22x_0" localSheetId="86">'423'!$P$21:$P$28,'423'!$P$30,'423'!$P$32,'423'!$P$34,'423'!$P$36,'423'!$P$38</definedName>
    <definedName name="OSRRefP22x_0" localSheetId="87">'424'!$P$23,'424'!$P$25:$P$28,'424'!$P$30,'424'!$P$32,'424'!$P$34,'424'!$P$36,'424'!$P$38,'424'!$P$40,'424'!$P$42:$P$43,'424'!$P$45,'424'!$P$47,'424'!$P$49</definedName>
    <definedName name="OSRRefP22x_0" localSheetId="88">'425'!$P$24:$P$31,'425'!$P$33:$P$37,'425'!$P$39,'425'!$P$41,'425'!$P$43,'425'!$P$45,'425'!$P$47,'425'!$P$49,'425'!$P$51,'425'!$P$53:$P$54,'425'!$P$56,'425'!$P$58:$P$59,'425'!$P$61:$P$63,'425'!$P$65,'425'!$P$67</definedName>
    <definedName name="OSRRefP22x_0" localSheetId="91">'430'!$P$20:$P$27,'430'!$P$29,'430'!$P$31,'430'!$P$33:$P$34,'430'!$P$36,'430'!$P$38,'430'!$P$40</definedName>
    <definedName name="OSRRefP22x_0" localSheetId="92">'433'!$P$25:$P$33,'433'!$P$35:$P$40,'433'!$P$42,'433'!$P$44,'433'!$P$46,'433'!$P$48,'433'!$P$50,'433'!$P$52,'433'!$P$54,'433'!$P$56,'433'!$P$58,'433'!$P$60:$P$62,'433'!$P$64:$P$70,'433'!$P$72,'433'!$P$74,'433'!$P$76</definedName>
    <definedName name="OSRRefP22x_0" localSheetId="93">'435'!$P$24:$P$26,'435'!$P$28:$P$29,'435'!$P$31,'435'!$P$33,'435'!$P$35,'435'!$P$37:$P$38,'435'!$P$40</definedName>
    <definedName name="OSRRefP22x_0" localSheetId="94">'444'!$P$25:$P$33,'444'!$P$35:$P$40,'444'!$P$42,'444'!$P$44,'444'!$P$46,'444'!$P$48,'444'!$P$50,'444'!$P$52,'444'!$P$54,'444'!$P$56,'444'!$P$58,'444'!$P$60,'444'!$P$62:$P$64,'444'!$P$66:$P$73,'444'!$P$75,'444'!$P$77,'444'!$P$79</definedName>
    <definedName name="OSRRefP22x_0" localSheetId="95">'450'!$P$24:$P$32,'450'!$P$34:$P$39,'450'!$P$41,'450'!$P$43,'450'!$P$45,'450'!$P$47,'450'!$P$49,'450'!$P$51,'450'!$P$53,'450'!$P$55,'450'!$P$57:$P$59,'450'!$P$61:$P$66,'450'!$P$68,'450'!$P$70,'450'!$P$72</definedName>
    <definedName name="OSRRefP22x_0" localSheetId="89">'455'!$P$20:$P$26,'455'!$P$28:$P$29</definedName>
    <definedName name="OSRRefP22x_0" localSheetId="76">'491'!$P$31:$P$39,'491'!$P$41:$P$47,'491'!$P$49,'491'!$P$51,'491'!$P$53,'491'!$P$55:$P$57,'491'!$P$59,'491'!$P$61,'491'!$P$63:$P$64,'491'!$P$66,'491'!$P$68,'491'!$P$70,'491'!$P$72,'491'!$P$74:$P$75,'491'!$P$77:$P$78,'491'!$P$80:$P$84,'491'!$P$86,'491'!$P$88:$P$96,'491'!$P$98,'491'!$P$100,'491'!$P$102:$P$104,'491'!$P$106</definedName>
    <definedName name="OSRRefP22x_0" localSheetId="90">'492'!$P$27:$P$35,'492'!$P$37:$P$43,'492'!$P$45,'492'!$P$47,'492'!$P$49,'492'!$P$51,'492'!$P$53,'492'!$P$55,'492'!$P$57,'492'!$P$59,'492'!$P$61,'492'!$P$63,'492'!$P$65,'492'!$P$67:$P$69,'492'!$P$71:$P$78,'492'!$P$80,'492'!$P$82,'492'!$P$84</definedName>
    <definedName name="OSRRefP22x_0" localSheetId="97">'501'!$P$21:$P$29,'501'!$P$31:$P$35,'501'!$P$37,'501'!$P$39,'501'!$P$41,'501'!$P$43,'501'!$P$45,'501'!$P$47:$P$48,'501'!$P$50</definedName>
    <definedName name="OSRRefP22x_0" localSheetId="39">'Div 2'!$P$20:$P$29,'Div 2'!$P$31:$P$37,'Div 2'!$P$39,'Div 2'!$P$41,'Div 2'!$P$43,'Div 2'!$P$45,'Div 2'!$P$47,'Div 2'!$P$49,'Div 2'!$P$51,'Div 2'!$P$53:$P$54,'Div 2'!$P$56,'Div 2'!$P$58,'Div 2'!$P$60:$P$63,'Div 2'!$P$65:$P$67,'Div 2'!$P$69:$P$70,'Div 2'!$P$72,'Div 2'!$P$74:$P$78,'Div 2'!$P$80:$P$81,'Div 2'!$P$83,'Div 2'!$P$85:$P$86</definedName>
    <definedName name="OSRRefP22x_0" localSheetId="47">'Div 3'!$P$156:$P$165,'Div 3'!$P$167:$P$173,'Div 3'!$P$175,'Div 3'!$P$177,'Div 3'!$P$179,'Div 3'!$P$181:$P$182,'Div 3'!$P$184:$P$185,'Div 3'!$P$187,'Div 3'!$P$189,'Div 3'!$P$191,'Div 3'!$P$193:$P$194,'Div 3'!$P$196,'Div 3'!$P$198,'Div 3'!$P$200,'Div 3'!$P$202,'Div 3'!$P$204,'Div 3'!$P$206,'Div 3'!$P$208:$P$211,'Div 3'!$P$213:$P$215,'Div 3'!$P$217:$P$221,'Div 3'!$P$223:$P$224,'Div 3'!$P$226:$P$232,'Div 3'!$P$234:$P$235,'Div 3'!$P$237,'Div 3'!$P$239:$P$241,'Div 3'!$P$243</definedName>
    <definedName name="OSRRefP22x_0" localSheetId="74">'Div 4'!$P$32:$P$40,'Div 4'!$P$42:$P$48,'Div 4'!$P$50,'Div 4'!$P$52,'Div 4'!$P$54,'Div 4'!$P$56:$P$58,'Div 4'!$P$60,'Div 4'!$P$62,'Div 4'!$P$64,'Div 4'!$P$66:$P$67,'Div 4'!$P$69,'Div 4'!$P$71,'Div 4'!$P$73,'Div 4'!$P$75,'Div 4'!$P$77,'Div 4'!$P$79:$P$80,'Div 4'!$P$82:$P$83,'Div 4'!$P$85:$P$89,'Div 4'!$P$91,'Div 4'!$P$93:$P$101,'Div 4'!$P$103,'Div 4'!$P$105,'Div 4'!$P$107:$P$109,'Div 4'!$P$111</definedName>
    <definedName name="OSRRefP22x_0" localSheetId="96">'Div 5'!$P$21:$P$29,'Div 5'!$P$31:$P$35,'Div 5'!$P$37,'Div 5'!$P$39,'Div 5'!$P$41,'Div 5'!$P$43,'Div 5'!$P$45,'Div 5'!$P$47:$P$48,'Div 5'!$P$50</definedName>
    <definedName name="OSRRefP22x_0" localSheetId="65">'Div 6'!$P$55:$P$63,'Div 6'!$P$65:$P$69,'Div 6'!$P$71,'Div 6'!$P$73,'Div 6'!$P$75,'Div 6'!$P$77:$P$78,'Div 6'!$P$80,'Div 6'!$P$82,'Div 6'!$P$84,'Div 6'!$P$86:$P$88,'Div 6'!$P$90</definedName>
    <definedName name="OSRRefP22x_0" localSheetId="2">Summary!$P$187:$P$196,Summary!$P$198:$P$204,Summary!$P$206,Summary!$P$208,Summary!$P$210,Summary!$P$212:$P$214,Summary!$P$216:$P$217,Summary!$P$219,Summary!$P$221,Summary!$P$223,Summary!$P$225:$P$226,Summary!$P$228:$P$229,Summary!$P$231,Summary!$P$233,Summary!$P$235,Summary!$P$237,Summary!$P$239,Summary!$P$241,Summary!$P$243:$P$246,Summary!$P$248:$P$250,Summary!$P$252:$P$256,Summary!$P$258:$P$259,Summary!$P$261:$P$269,Summary!$P$271:$P$272,Summary!$P$274,Summary!$P$276:$P$278,Summary!$P$280</definedName>
    <definedName name="OSRRefP25x_0" localSheetId="48">'300'!$P$238:$P$245</definedName>
    <definedName name="OSRRefP25x_0" localSheetId="49">'300 &amp; 317'!$P$262:$P$271</definedName>
    <definedName name="OSRRefP25x_0" localSheetId="50">'301'!$P$94:$P$95</definedName>
    <definedName name="OSRRefP25x_0" localSheetId="55">'308'!$P$105:$P$106</definedName>
    <definedName name="OSRRefP25x_0" localSheetId="75">'310 &amp; 491'!$P$119:$P$121</definedName>
    <definedName name="OSRRefP25x_0" localSheetId="56">'311'!$P$104:$P$105</definedName>
    <definedName name="OSRRefP25x_0" localSheetId="60">'315'!$P$109:$P$110</definedName>
    <definedName name="OSRRefP25x_0" localSheetId="63">'316'!$P$69</definedName>
    <definedName name="OSRRefP25x_0" localSheetId="66">'317'!$P$93:$P$95</definedName>
    <definedName name="OSRRefP25x_0" localSheetId="64">'320'!$P$53:$P$56</definedName>
    <definedName name="OSRRefP25x_0" localSheetId="59">'331'!$P$137:$P$138</definedName>
    <definedName name="OSRRefP25x_0" localSheetId="62">'332'!$P$81:$P$85</definedName>
    <definedName name="OSRRefP25x_0" localSheetId="79">'411'!$P$78:$P$79</definedName>
    <definedName name="OSRRefP25x_0" localSheetId="82">'413'!$P$61</definedName>
    <definedName name="OSRRefP25x_0" localSheetId="85">'418'!$P$74</definedName>
    <definedName name="OSRRefP25x_0" localSheetId="86">'423'!$P$41</definedName>
    <definedName name="OSRRefP25x_0" localSheetId="87">'424'!$P$52</definedName>
    <definedName name="OSRRefP25x_0" localSheetId="88">'425'!$P$70</definedName>
    <definedName name="OSRRefP25x_0" localSheetId="89">'455'!$P$32:$P$33</definedName>
    <definedName name="OSRRefP25x_0" localSheetId="76">'491'!$P$109:$P$111</definedName>
    <definedName name="OSRRefP25x_0" localSheetId="97">'501'!$P$53</definedName>
    <definedName name="OSRRefP25x_0" localSheetId="47">'Div 3'!$P$246:$P$253</definedName>
    <definedName name="OSRRefP25x_0" localSheetId="74">'Div 4'!$P$114:$P$116</definedName>
    <definedName name="OSRRefP25x_0" localSheetId="96">'Div 5'!$P$53</definedName>
    <definedName name="OSRRefP25x_0" localSheetId="65">'Div 6'!$P$93:$P$95</definedName>
    <definedName name="OSRRefP25x_0" localSheetId="2">Summary!$P$283:$P$293</definedName>
    <definedName name="OSRRefT13x_0" localSheetId="48">'300'!$T$13:$T$96</definedName>
    <definedName name="OSRRefT13x_0" localSheetId="49">'300 &amp; 317'!$T$13:$T$115</definedName>
    <definedName name="OSRRefT13x_0" localSheetId="53">'307'!$T$13:$T$34</definedName>
    <definedName name="OSRRefT13x_0" localSheetId="55">'308'!$T$13:$T$36</definedName>
    <definedName name="OSRRefT13x_0" localSheetId="68">'309'!$T$13:$T$14</definedName>
    <definedName name="OSRRefT13x_0" localSheetId="67">'310'!$T$13:$T$20</definedName>
    <definedName name="OSRRefT13x_0" localSheetId="75">'310 &amp; 491'!$T$13:$T$27</definedName>
    <definedName name="OSRRefT13x_0" localSheetId="56">'311'!$T$13:$T$35</definedName>
    <definedName name="OSRRefT13x_0" localSheetId="69">'313'!$T$13:$T$17</definedName>
    <definedName name="OSRRefT13x_0" localSheetId="54">'314'!$T$13:$T$31</definedName>
    <definedName name="OSRRefT13x_0" localSheetId="60">'315'!$T$13:$T$48</definedName>
    <definedName name="OSRRefT13x_0" localSheetId="63">'316'!$T$13:$T$24</definedName>
    <definedName name="OSRRefT13x_0" localSheetId="66">'317'!$T$13:$T$36</definedName>
    <definedName name="OSRRefT13x_0" localSheetId="64">'320'!$T$13:$T$15</definedName>
    <definedName name="OSRRefT13x_0" localSheetId="70">'321'!$T$13:$T$14</definedName>
    <definedName name="OSRRefT13x_0" localSheetId="71">'322'!$T$13:$T$14</definedName>
    <definedName name="OSRRefT13x_0" localSheetId="57">'324'!$T$13:$T$15</definedName>
    <definedName name="OSRRefT13x_0" localSheetId="72">'325'!$T$13:$T$14</definedName>
    <definedName name="OSRRefT13x_0" localSheetId="61">'326'!$T$13:$T$35</definedName>
    <definedName name="OSRRefT13x_0" localSheetId="73">'327'!$T$13</definedName>
    <definedName name="OSRRefT13x_0" localSheetId="52">'330'!$T$13:$T$43</definedName>
    <definedName name="OSRRefT13x_0" localSheetId="59">'331'!$T$13:$T$51</definedName>
    <definedName name="OSRRefT13x_0" localSheetId="62">'332'!$T$13:$T$27</definedName>
    <definedName name="OSRRefT13x_0" localSheetId="77">'405'!$T$13:$T$14</definedName>
    <definedName name="OSRRefT13x_0" localSheetId="78">'406'!$T$13:$T$14</definedName>
    <definedName name="OSRRefT13x_0" localSheetId="80">'412'!$T$13:$T$14</definedName>
    <definedName name="OSRRefT13x_0" localSheetId="82">'413'!$T$13:$T$14</definedName>
    <definedName name="OSRRefT13x_0" localSheetId="83">'414'!$T$13:$T$14</definedName>
    <definedName name="OSRRefT13x_0" localSheetId="84">'415'!$T$13:$T$14</definedName>
    <definedName name="OSRRefT13x_0" localSheetId="85">'418'!$T$13:$T$14</definedName>
    <definedName name="OSRRefT13x_0" localSheetId="87">'424'!$T$13</definedName>
    <definedName name="OSRRefT13x_0" localSheetId="88">'425'!$T$13:$T$14</definedName>
    <definedName name="OSRRefT13x_0" localSheetId="92">'433'!$T$13:$T$15</definedName>
    <definedName name="OSRRefT13x_0" localSheetId="93">'435'!$T$13:$T$14</definedName>
    <definedName name="OSRRefT13x_0" localSheetId="94">'444'!$T$13:$T$15</definedName>
    <definedName name="OSRRefT13x_0" localSheetId="95">'450'!$T$13:$T$14</definedName>
    <definedName name="OSRRefT13x_0" localSheetId="76">'491'!$T$13:$T$21</definedName>
    <definedName name="OSRRefT13x_0" localSheetId="90">'492'!$T$13:$T$17</definedName>
    <definedName name="OSRRefT13x_0" localSheetId="97">'501'!$T$13</definedName>
    <definedName name="OSRRefT13x_0" localSheetId="47">'Div 3'!$T$13:$T$99</definedName>
    <definedName name="OSRRefT13x_0" localSheetId="74">'Div 4'!$T$13:$T$22</definedName>
    <definedName name="OSRRefT13x_0" localSheetId="96">'Div 5'!$T$13</definedName>
    <definedName name="OSRRefT13x_0" localSheetId="65">'Div 6'!$T$13:$T$36</definedName>
    <definedName name="OSRRefT13x_0" localSheetId="2">Summary!$T$13:$T$125</definedName>
    <definedName name="OSRRefT16x_0" localSheetId="48">'300'!$T$99:$T$145</definedName>
    <definedName name="OSRRefT16x_0" localSheetId="49">'300 &amp; 317'!$T$118:$T$169</definedName>
    <definedName name="OSRRefT16x_0" localSheetId="53">'307'!$T$37:$T$52</definedName>
    <definedName name="OSRRefT16x_0" localSheetId="55">'308'!$T$39:$T$51</definedName>
    <definedName name="OSRRefT16x_0" localSheetId="68">'309'!$T$17:$T$18</definedName>
    <definedName name="OSRRefT16x_0" localSheetId="67">'310'!$T$23:$T$24</definedName>
    <definedName name="OSRRefT16x_0" localSheetId="75">'310 &amp; 491'!$T$30:$T$31</definedName>
    <definedName name="OSRRefT16x_0" localSheetId="56">'311'!$T$38:$T$50</definedName>
    <definedName name="OSRRefT16x_0" localSheetId="69">'313'!$T$20:$T$21</definedName>
    <definedName name="OSRRefT16x_0" localSheetId="54">'314'!$T$34:$T$47</definedName>
    <definedName name="OSRRefT16x_0" localSheetId="60">'315'!$T$51:$T$65</definedName>
    <definedName name="OSRRefT16x_0" localSheetId="66">'317'!$T$39:$T$49</definedName>
    <definedName name="OSRRefT16x_0" localSheetId="64">'320'!$T$18:$T$22</definedName>
    <definedName name="OSRRefT16x_0" localSheetId="70">'321'!$T$17:$T$18</definedName>
    <definedName name="OSRRefT16x_0" localSheetId="71">'322'!$T$17:$T$18</definedName>
    <definedName name="OSRRefT16x_0" localSheetId="57">'324'!$T$18:$T$19</definedName>
    <definedName name="OSRRefT16x_0" localSheetId="72">'325'!$T$17:$T$18</definedName>
    <definedName name="OSRRefT16x_0" localSheetId="61">'326'!$T$38:$T$49</definedName>
    <definedName name="OSRRefT16x_0" localSheetId="73">'327'!$T$16</definedName>
    <definedName name="OSRRefT16x_0" localSheetId="52">'330'!$T$46:$T$66</definedName>
    <definedName name="OSRRefT16x_0" localSheetId="59">'331'!$T$54:$T$72</definedName>
    <definedName name="OSRRefT16x_0" localSheetId="62">'332'!$T$30:$T$34</definedName>
    <definedName name="OSRRefT16x_0" localSheetId="77">'405'!$T$17:$T$18</definedName>
    <definedName name="OSRRefT16x_0" localSheetId="78">'406'!$T$17:$T$18</definedName>
    <definedName name="OSRRefT16x_0" localSheetId="80">'412'!$T$17</definedName>
    <definedName name="OSRRefT16x_0" localSheetId="82">'413'!$T$17:$T$18</definedName>
    <definedName name="OSRRefT16x_0" localSheetId="83">'414'!$T$17:$T$18</definedName>
    <definedName name="OSRRefT16x_0" localSheetId="84">'415'!$T$17:$T$18</definedName>
    <definedName name="OSRRefT16x_0" localSheetId="85">'418'!$T$17:$T$18</definedName>
    <definedName name="OSRRefT16x_0" localSheetId="86">'423'!$T$15</definedName>
    <definedName name="OSRRefT16x_0" localSheetId="87">'424'!$T$16:$T$17</definedName>
    <definedName name="OSRRefT16x_0" localSheetId="88">'425'!$T$17:$T$18</definedName>
    <definedName name="OSRRefT16x_0" localSheetId="92">'433'!$T$18:$T$19</definedName>
    <definedName name="OSRRefT16x_0" localSheetId="93">'435'!$T$17:$T$18</definedName>
    <definedName name="OSRRefT16x_0" localSheetId="94">'444'!$T$18:$T$19</definedName>
    <definedName name="OSRRefT16x_0" localSheetId="95">'450'!$T$17:$T$18</definedName>
    <definedName name="OSRRefT16x_0" localSheetId="76">'491'!$T$24:$T$25</definedName>
    <definedName name="OSRRefT16x_0" localSheetId="90">'492'!$T$20:$T$21</definedName>
    <definedName name="OSRRefT16x_0" localSheetId="47">'Div 3'!$T$102:$T$150</definedName>
    <definedName name="OSRRefT16x_0" localSheetId="74">'Div 4'!$T$25:$T$26</definedName>
    <definedName name="OSRRefT16x_0" localSheetId="65">'Div 6'!$T$39:$T$49</definedName>
    <definedName name="OSRRefT16x_0" localSheetId="2">Summary!$T$128:$T$181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'203'!$T$20:$T$28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'300'!$T$151:$T$160</definedName>
    <definedName name="OSRRefT22_0x_0" localSheetId="49">'300 &amp; 317'!$T$175:$T$184</definedName>
    <definedName name="OSRRefT22_0x_0" localSheetId="50">'301'!$T$20:$T$28</definedName>
    <definedName name="OSRRefT22_0x_0" localSheetId="51">'306'!$T$20:$T$28</definedName>
    <definedName name="OSRRefT22_0x_0" localSheetId="53">'307'!$T$58:$T$65</definedName>
    <definedName name="OSRRefT22_0x_0" localSheetId="55">'308'!$T$57:$T$65</definedName>
    <definedName name="OSRRefT22_0x_0" localSheetId="68">'309'!$T$24:$T$31</definedName>
    <definedName name="OSRRefT22_0x_0" localSheetId="67">'310'!$T$30:$T$37</definedName>
    <definedName name="OSRRefT22_0x_0" localSheetId="75">'310 &amp; 491'!$T$37:$T$45</definedName>
    <definedName name="OSRRefT22_0x_0" localSheetId="56">'311'!$T$56:$T$64</definedName>
    <definedName name="OSRRefT22_0x_0" localSheetId="69">'313'!$T$27:$T$34</definedName>
    <definedName name="OSRRefT22_0x_0" localSheetId="54">'314'!$T$53:$T$59</definedName>
    <definedName name="OSRRefT22_0x_0" localSheetId="60">'315'!$T$71:$T$78</definedName>
    <definedName name="OSRRefT22_0x_0" localSheetId="63">'316'!$T$32:$T$39</definedName>
    <definedName name="OSRRefT22_0x_0" localSheetId="66">'317'!$T$55:$T$63</definedName>
    <definedName name="OSRRefT22_0x_0" localSheetId="64">'320'!$T$28:$T$34</definedName>
    <definedName name="OSRRefT22_0x_0" localSheetId="70">'321'!$T$24:$T$31</definedName>
    <definedName name="OSRRefT22_0x_0" localSheetId="71">'322'!$T$24:$T$31</definedName>
    <definedName name="OSRRefT22_0x_0" localSheetId="72">'325'!$T$24:$T$31</definedName>
    <definedName name="OSRRefT22_0x_0" localSheetId="61">'326'!$T$55:$T$62</definedName>
    <definedName name="OSRRefT22_0x_0" localSheetId="73">'327'!$T$22</definedName>
    <definedName name="OSRRefT22_0x_0" localSheetId="52">'330'!$T$72:$T$79</definedName>
    <definedName name="OSRRefT22_0x_0" localSheetId="59">'331'!$T$78:$T$85</definedName>
    <definedName name="OSRRefT22_0x_0" localSheetId="62">'332'!$T$40:$T$47</definedName>
    <definedName name="OSRRefT22_0x_0" localSheetId="77">'405'!$T$24:$T$31</definedName>
    <definedName name="OSRRefT22_0x_0" localSheetId="78">'406'!$T$24:$T$31</definedName>
    <definedName name="OSRRefT22_0x_0" localSheetId="79">'411'!$T$20:$T$28</definedName>
    <definedName name="OSRRefT22_0x_0" localSheetId="80">'412'!$T$23:$T$30</definedName>
    <definedName name="OSRRefT22_0x_0" localSheetId="82">'413'!$T$24:$T$31</definedName>
    <definedName name="OSRRefT22_0x_0" localSheetId="83">'414'!$T$24:$T$30</definedName>
    <definedName name="OSRRefT22_0x_0" localSheetId="84">'415'!$T$24:$T$31</definedName>
    <definedName name="OSRRefT22_0x_0" localSheetId="85">'418'!$T$24:$T$31</definedName>
    <definedName name="OSRRefT22_0x_0" localSheetId="86">'423'!$T$21:$T$28</definedName>
    <definedName name="OSRRefT22_0x_0" localSheetId="87">'424'!$T$23</definedName>
    <definedName name="OSRRefT22_0x_0" localSheetId="88">'425'!$T$24:$T$31</definedName>
    <definedName name="OSRRefT22_0x_0" localSheetId="91">'430'!$T$20:$T$27</definedName>
    <definedName name="OSRRefT22_0x_0" localSheetId="92">'433'!$T$25:$T$33</definedName>
    <definedName name="OSRRefT22_0x_0" localSheetId="93">'435'!$T$24:$T$26</definedName>
    <definedName name="OSRRefT22_0x_0" localSheetId="94">'444'!$T$25:$T$33</definedName>
    <definedName name="OSRRefT22_0x_0" localSheetId="95">'450'!$T$24:$T$32</definedName>
    <definedName name="OSRRefT22_0x_0" localSheetId="89">'455'!$T$20:$T$26</definedName>
    <definedName name="OSRRefT22_0x_0" localSheetId="76">'491'!$T$31:$T$39</definedName>
    <definedName name="OSRRefT22_0x_0" localSheetId="90">'492'!$T$27:$T$35</definedName>
    <definedName name="OSRRefT22_0x_0" localSheetId="97">'501'!$T$21:$T$29</definedName>
    <definedName name="OSRRefT22_0x_0" localSheetId="39">'Div 2'!$T$20:$T$29</definedName>
    <definedName name="OSRRefT22_0x_0" localSheetId="47">'Div 3'!$T$156:$T$165</definedName>
    <definedName name="OSRRefT22_0x_0" localSheetId="74">'Div 4'!$T$32:$T$40</definedName>
    <definedName name="OSRRefT22_0x_0" localSheetId="96">'Div 5'!$T$21:$T$29</definedName>
    <definedName name="OSRRefT22_0x_0" localSheetId="65">'Div 6'!$T$55:$T$63</definedName>
    <definedName name="OSRRefT22_0x_0" localSheetId="2">Summary!$T$187:$T$196</definedName>
    <definedName name="OSRRefT22_10x_0" localSheetId="41">'201'!$T$51</definedName>
    <definedName name="OSRRefT22_10x_0" localSheetId="42">'202'!$T$54</definedName>
    <definedName name="OSRRefT22_10x_0" localSheetId="43">'203'!$T$52:$T$53</definedName>
    <definedName name="OSRRefT22_10x_0" localSheetId="48">'300'!$T$188:$T$189</definedName>
    <definedName name="OSRRefT22_10x_0" localSheetId="49">'300 &amp; 317'!$T$212:$T$213</definedName>
    <definedName name="OSRRefT22_10x_0" localSheetId="50">'301'!$T$56</definedName>
    <definedName name="OSRRefT22_10x_0" localSheetId="53">'307'!$T$92</definedName>
    <definedName name="OSRRefT22_10x_0" localSheetId="55">'308'!$T$91</definedName>
    <definedName name="OSRRefT22_10x_0" localSheetId="68">'309'!$T$58</definedName>
    <definedName name="OSRRefT22_10x_0" localSheetId="67">'310'!$T$63</definedName>
    <definedName name="OSRRefT22_10x_0" localSheetId="75">'310 &amp; 491'!$T$73:$T$74</definedName>
    <definedName name="OSRRefT22_10x_0" localSheetId="56">'311'!$T$90</definedName>
    <definedName name="OSRRefT22_10x_0" localSheetId="69">'313'!$T$58:$T$61</definedName>
    <definedName name="OSRRefT22_10x_0" localSheetId="60">'315'!$T$106</definedName>
    <definedName name="OSRRefT22_10x_0" localSheetId="63">'316'!$T$66</definedName>
    <definedName name="OSRRefT22_10x_0" localSheetId="66">'317'!$T$90</definedName>
    <definedName name="OSRRefT22_10x_0" localSheetId="70">'321'!$T$60</definedName>
    <definedName name="OSRRefT22_10x_0" localSheetId="71">'322'!$T$56:$T$60</definedName>
    <definedName name="OSRRefT22_10x_0" localSheetId="72">'325'!$T$56:$T$57</definedName>
    <definedName name="OSRRefT22_10x_0" localSheetId="61">'326'!$T$86</definedName>
    <definedName name="OSRRefT22_10x_0" localSheetId="52">'330'!$T$104:$T$106</definedName>
    <definedName name="OSRRefT22_10x_0" localSheetId="59">'331'!$T$109</definedName>
    <definedName name="OSRRefT22_10x_0" localSheetId="62">'332'!$T$76</definedName>
    <definedName name="OSRRefT22_10x_0" localSheetId="77">'405'!$T$55</definedName>
    <definedName name="OSRRefT22_10x_0" localSheetId="78">'406'!$T$56:$T$60</definedName>
    <definedName name="OSRRefT22_10x_0" localSheetId="79">'411'!$T$56:$T$60</definedName>
    <definedName name="OSRRefT22_10x_0" localSheetId="80">'412'!$T$57:$T$61</definedName>
    <definedName name="OSRRefT22_10x_0" localSheetId="82">'413'!$T$58</definedName>
    <definedName name="OSRRefT22_10x_0" localSheetId="83">'414'!$T$54</definedName>
    <definedName name="OSRRefT22_10x_0" localSheetId="84">'415'!$T$56</definedName>
    <definedName name="OSRRefT22_10x_0" localSheetId="85">'418'!$T$58:$T$60</definedName>
    <definedName name="OSRRefT22_10x_0" localSheetId="87">'424'!$T$47</definedName>
    <definedName name="OSRRefT22_10x_0" localSheetId="88">'425'!$T$56</definedName>
    <definedName name="OSRRefT22_10x_0" localSheetId="92">'433'!$T$58</definedName>
    <definedName name="OSRRefT22_10x_0" localSheetId="94">'444'!$T$58</definedName>
    <definedName name="OSRRefT22_10x_0" localSheetId="95">'450'!$T$57:$T$59</definedName>
    <definedName name="OSRRefT22_10x_0" localSheetId="76">'491'!$T$68</definedName>
    <definedName name="OSRRefT22_10x_0" localSheetId="90">'492'!$T$61</definedName>
    <definedName name="OSRRefT22_10x_0" localSheetId="39">'Div 2'!$T$56</definedName>
    <definedName name="OSRRefT22_10x_0" localSheetId="47">'Div 3'!$T$193:$T$194</definedName>
    <definedName name="OSRRefT22_10x_0" localSheetId="74">'Div 4'!$T$69</definedName>
    <definedName name="OSRRefT22_10x_0" localSheetId="65">'Div 6'!$T$90</definedName>
    <definedName name="OSRRefT22_10x_0" localSheetId="2">Summary!$T$225:$T$226</definedName>
    <definedName name="OSRRefT22_11x_0" localSheetId="41">'201'!$T$53:$T$55</definedName>
    <definedName name="OSRRefT22_11x_0" localSheetId="42">'202'!$T$56</definedName>
    <definedName name="OSRRefT22_11x_0" localSheetId="43">'203'!$T$55</definedName>
    <definedName name="OSRRefT22_11x_0" localSheetId="48">'300'!$T$191</definedName>
    <definedName name="OSRRefT22_11x_0" localSheetId="49">'300 &amp; 317'!$T$215</definedName>
    <definedName name="OSRRefT22_11x_0" localSheetId="50">'301'!$T$58</definedName>
    <definedName name="OSRRefT22_11x_0" localSheetId="55">'308'!$T$93:$T$95</definedName>
    <definedName name="OSRRefT22_11x_0" localSheetId="67">'310'!$T$65</definedName>
    <definedName name="OSRRefT22_11x_0" localSheetId="75">'310 &amp; 491'!$T$76</definedName>
    <definedName name="OSRRefT22_11x_0" localSheetId="56">'311'!$T$92:$T$94</definedName>
    <definedName name="OSRRefT22_11x_0" localSheetId="69">'313'!$T$63</definedName>
    <definedName name="OSRRefT22_11x_0" localSheetId="71">'322'!$T$62</definedName>
    <definedName name="OSRRefT22_11x_0" localSheetId="72">'325'!$T$59:$T$61</definedName>
    <definedName name="OSRRefT22_11x_0" localSheetId="61">'326'!$T$88:$T$90</definedName>
    <definedName name="OSRRefT22_11x_0" localSheetId="52">'330'!$T$108</definedName>
    <definedName name="OSRRefT22_11x_0" localSheetId="59">'331'!$T$111</definedName>
    <definedName name="OSRRefT22_11x_0" localSheetId="62">'332'!$T$78</definedName>
    <definedName name="OSRRefT22_11x_0" localSheetId="77">'405'!$T$57:$T$59</definedName>
    <definedName name="OSRRefT22_11x_0" localSheetId="78">'406'!$T$62</definedName>
    <definedName name="OSRRefT22_11x_0" localSheetId="79">'411'!$T$62:$T$65</definedName>
    <definedName name="OSRRefT22_11x_0" localSheetId="80">'412'!$T$63</definedName>
    <definedName name="OSRRefT22_11x_0" localSheetId="83">'414'!$T$56</definedName>
    <definedName name="OSRRefT22_11x_0" localSheetId="84">'415'!$T$58:$T$59</definedName>
    <definedName name="OSRRefT22_11x_0" localSheetId="85">'418'!$T$62</definedName>
    <definedName name="OSRRefT22_11x_0" localSheetId="87">'424'!$T$49</definedName>
    <definedName name="OSRRefT22_11x_0" localSheetId="88">'425'!$T$58:$T$59</definedName>
    <definedName name="OSRRefT22_11x_0" localSheetId="92">'433'!$T$60:$T$62</definedName>
    <definedName name="OSRRefT22_11x_0" localSheetId="94">'444'!$T$60</definedName>
    <definedName name="OSRRefT22_11x_0" localSheetId="95">'450'!$T$61:$T$66</definedName>
    <definedName name="OSRRefT22_11x_0" localSheetId="76">'491'!$T$70</definedName>
    <definedName name="OSRRefT22_11x_0" localSheetId="90">'492'!$T$63</definedName>
    <definedName name="OSRRefT22_11x_0" localSheetId="39">'Div 2'!$T$58</definedName>
    <definedName name="OSRRefT22_11x_0" localSheetId="47">'Div 3'!$T$196</definedName>
    <definedName name="OSRRefT22_11x_0" localSheetId="74">'Div 4'!$T$71</definedName>
    <definedName name="OSRRefT22_11x_0" localSheetId="2">Summary!$T$228:$T$229</definedName>
    <definedName name="OSRRefT22_12x_0" localSheetId="41">'201'!$T$57</definedName>
    <definedName name="OSRRefT22_12x_0" localSheetId="43">'203'!$T$57:$T$60</definedName>
    <definedName name="OSRRefT22_12x_0" localSheetId="48">'300'!$T$193</definedName>
    <definedName name="OSRRefT22_12x_0" localSheetId="49">'300 &amp; 317'!$T$217</definedName>
    <definedName name="OSRRefT22_12x_0" localSheetId="50">'301'!$T$60</definedName>
    <definedName name="OSRRefT22_12x_0" localSheetId="55">'308'!$T$97:$T$98</definedName>
    <definedName name="OSRRefT22_12x_0" localSheetId="67">'310'!$T$67</definedName>
    <definedName name="OSRRefT22_12x_0" localSheetId="75">'310 &amp; 491'!$T$78</definedName>
    <definedName name="OSRRefT22_12x_0" localSheetId="56">'311'!$T$96:$T$97</definedName>
    <definedName name="OSRRefT22_12x_0" localSheetId="71">'322'!$T$64</definedName>
    <definedName name="OSRRefT22_12x_0" localSheetId="72">'325'!$T$63</definedName>
    <definedName name="OSRRefT22_12x_0" localSheetId="61">'326'!$T$92</definedName>
    <definedName name="OSRRefT22_12x_0" localSheetId="59">'331'!$T$113:$T$114</definedName>
    <definedName name="OSRRefT22_12x_0" localSheetId="77">'405'!$T$61</definedName>
    <definedName name="OSRRefT22_12x_0" localSheetId="78">'406'!$T$64</definedName>
    <definedName name="OSRRefT22_12x_0" localSheetId="79">'411'!$T$67</definedName>
    <definedName name="OSRRefT22_12x_0" localSheetId="80">'412'!$T$65</definedName>
    <definedName name="OSRRefT22_12x_0" localSheetId="83">'414'!$T$58:$T$64</definedName>
    <definedName name="OSRRefT22_12x_0" localSheetId="84">'415'!$T$61:$T$65</definedName>
    <definedName name="OSRRefT22_12x_0" localSheetId="85">'418'!$T$64:$T$67</definedName>
    <definedName name="OSRRefT22_12x_0" localSheetId="88">'425'!$T$61:$T$63</definedName>
    <definedName name="OSRRefT22_12x_0" localSheetId="92">'433'!$T$64:$T$70</definedName>
    <definedName name="OSRRefT22_12x_0" localSheetId="94">'444'!$T$62:$T$64</definedName>
    <definedName name="OSRRefT22_12x_0" localSheetId="95">'450'!$T$68</definedName>
    <definedName name="OSRRefT22_12x_0" localSheetId="76">'491'!$T$72</definedName>
    <definedName name="OSRRefT22_12x_0" localSheetId="90">'492'!$T$65</definedName>
    <definedName name="OSRRefT22_12x_0" localSheetId="39">'Div 2'!$T$60:$T$63</definedName>
    <definedName name="OSRRefT22_12x_0" localSheetId="47">'Div 3'!$T$198</definedName>
    <definedName name="OSRRefT22_12x_0" localSheetId="74">'Div 4'!$T$73</definedName>
    <definedName name="OSRRefT22_12x_0" localSheetId="2">Summary!$T$231</definedName>
    <definedName name="OSRRefT22_13x_0" localSheetId="41">'201'!$T$59</definedName>
    <definedName name="OSRRefT22_13x_0" localSheetId="43">'203'!$T$62</definedName>
    <definedName name="OSRRefT22_13x_0" localSheetId="48">'300'!$T$195</definedName>
    <definedName name="OSRRefT22_13x_0" localSheetId="49">'300 &amp; 317'!$T$219</definedName>
    <definedName name="OSRRefT22_13x_0" localSheetId="50">'301'!$T$62</definedName>
    <definedName name="OSRRefT22_13x_0" localSheetId="55">'308'!$T$100</definedName>
    <definedName name="OSRRefT22_13x_0" localSheetId="67">'310'!$T$69:$T$70</definedName>
    <definedName name="OSRRefT22_13x_0" localSheetId="75">'310 &amp; 491'!$T$80</definedName>
    <definedName name="OSRRefT22_13x_0" localSheetId="56">'311'!$T$99</definedName>
    <definedName name="OSRRefT22_13x_0" localSheetId="72">'325'!$T$65:$T$68</definedName>
    <definedName name="OSRRefT22_13x_0" localSheetId="61">'326'!$T$94:$T$95</definedName>
    <definedName name="OSRRefT22_13x_0" localSheetId="59">'331'!$T$116:$T$118</definedName>
    <definedName name="OSRRefT22_13x_0" localSheetId="77">'405'!$T$63:$T$69</definedName>
    <definedName name="OSRRefT22_13x_0" localSheetId="79">'411'!$T$69</definedName>
    <definedName name="OSRRefT22_13x_0" localSheetId="83">'414'!$T$66</definedName>
    <definedName name="OSRRefT22_13x_0" localSheetId="84">'415'!$T$67</definedName>
    <definedName name="OSRRefT22_13x_0" localSheetId="85">'418'!$T$69</definedName>
    <definedName name="OSRRefT22_13x_0" localSheetId="88">'425'!$T$65</definedName>
    <definedName name="OSRRefT22_13x_0" localSheetId="92">'433'!$T$72</definedName>
    <definedName name="OSRRefT22_13x_0" localSheetId="94">'444'!$T$66:$T$73</definedName>
    <definedName name="OSRRefT22_13x_0" localSheetId="95">'450'!$T$70</definedName>
    <definedName name="OSRRefT22_13x_0" localSheetId="76">'491'!$T$74:$T$75</definedName>
    <definedName name="OSRRefT22_13x_0" localSheetId="90">'492'!$T$67:$T$69</definedName>
    <definedName name="OSRRefT22_13x_0" localSheetId="39">'Div 2'!$T$65:$T$67</definedName>
    <definedName name="OSRRefT22_13x_0" localSheetId="47">'Div 3'!$T$200</definedName>
    <definedName name="OSRRefT22_13x_0" localSheetId="74">'Div 4'!$T$75</definedName>
    <definedName name="OSRRefT22_13x_0" localSheetId="2">Summary!$T$233</definedName>
    <definedName name="OSRRefT22_14x_0" localSheetId="43">'203'!$T$64</definedName>
    <definedName name="OSRRefT22_14x_0" localSheetId="48">'300'!$T$197</definedName>
    <definedName name="OSRRefT22_14x_0" localSheetId="49">'300 &amp; 317'!$T$221</definedName>
    <definedName name="OSRRefT22_14x_0" localSheetId="50">'301'!$T$64</definedName>
    <definedName name="OSRRefT22_14x_0" localSheetId="55">'308'!$T$102</definedName>
    <definedName name="OSRRefT22_14x_0" localSheetId="67">'310'!$T$72:$T$75</definedName>
    <definedName name="OSRRefT22_14x_0" localSheetId="75">'310 &amp; 491'!$T$82</definedName>
    <definedName name="OSRRefT22_14x_0" localSheetId="56">'311'!$T$101</definedName>
    <definedName name="OSRRefT22_14x_0" localSheetId="72">'325'!$T$70</definedName>
    <definedName name="OSRRefT22_14x_0" localSheetId="61">'326'!$T$97</definedName>
    <definedName name="OSRRefT22_14x_0" localSheetId="59">'331'!$T$120</definedName>
    <definedName name="OSRRefT22_14x_0" localSheetId="77">'405'!$T$71</definedName>
    <definedName name="OSRRefT22_14x_0" localSheetId="79">'411'!$T$71:$T$73</definedName>
    <definedName name="OSRRefT22_14x_0" localSheetId="84">'415'!$T$69:$T$75</definedName>
    <definedName name="OSRRefT22_14x_0" localSheetId="85">'418'!$T$71</definedName>
    <definedName name="OSRRefT22_14x_0" localSheetId="88">'425'!$T$67</definedName>
    <definedName name="OSRRefT22_14x_0" localSheetId="92">'433'!$T$74</definedName>
    <definedName name="OSRRefT22_14x_0" localSheetId="94">'444'!$T$75</definedName>
    <definedName name="OSRRefT22_14x_0" localSheetId="95">'450'!$T$72</definedName>
    <definedName name="OSRRefT22_14x_0" localSheetId="76">'491'!$T$77:$T$78</definedName>
    <definedName name="OSRRefT22_14x_0" localSheetId="90">'492'!$T$71:$T$78</definedName>
    <definedName name="OSRRefT22_14x_0" localSheetId="39">'Div 2'!$T$69:$T$70</definedName>
    <definedName name="OSRRefT22_14x_0" localSheetId="47">'Div 3'!$T$202</definedName>
    <definedName name="OSRRefT22_14x_0" localSheetId="74">'Div 4'!$T$77</definedName>
    <definedName name="OSRRefT22_14x_0" localSheetId="2">Summary!$T$235</definedName>
    <definedName name="OSRRefT22_15x_0" localSheetId="43">'203'!$T$66</definedName>
    <definedName name="OSRRefT22_15x_0" localSheetId="48">'300'!$T$199</definedName>
    <definedName name="OSRRefT22_15x_0" localSheetId="49">'300 &amp; 317'!$T$223</definedName>
    <definedName name="OSRRefT22_15x_0" localSheetId="50">'301'!$T$66:$T$69</definedName>
    <definedName name="OSRRefT22_15x_0" localSheetId="67">'310'!$T$77</definedName>
    <definedName name="OSRRefT22_15x_0" localSheetId="75">'310 &amp; 491'!$T$84:$T$85</definedName>
    <definedName name="OSRRefT22_15x_0" localSheetId="72">'325'!$T$72</definedName>
    <definedName name="OSRRefT22_15x_0" localSheetId="61">'326'!$T$99</definedName>
    <definedName name="OSRRefT22_15x_0" localSheetId="59">'331'!$T$122:$T$126</definedName>
    <definedName name="OSRRefT22_15x_0" localSheetId="77">'405'!$T$73</definedName>
    <definedName name="OSRRefT22_15x_0" localSheetId="79">'411'!$T$75</definedName>
    <definedName name="OSRRefT22_15x_0" localSheetId="84">'415'!$T$77</definedName>
    <definedName name="OSRRefT22_15x_0" localSheetId="92">'433'!$T$76</definedName>
    <definedName name="OSRRefT22_15x_0" localSheetId="94">'444'!$T$77</definedName>
    <definedName name="OSRRefT22_15x_0" localSheetId="76">'491'!$T$80:$T$84</definedName>
    <definedName name="OSRRefT22_15x_0" localSheetId="90">'492'!$T$80</definedName>
    <definedName name="OSRRefT22_15x_0" localSheetId="39">'Div 2'!$T$72</definedName>
    <definedName name="OSRRefT22_15x_0" localSheetId="47">'Div 3'!$T$204</definedName>
    <definedName name="OSRRefT22_15x_0" localSheetId="74">'Div 4'!$T$79:$T$80</definedName>
    <definedName name="OSRRefT22_15x_0" localSheetId="2">Summary!$T$237</definedName>
    <definedName name="OSRRefT22_16x_0" localSheetId="48">'300'!$T$201:$T$204</definedName>
    <definedName name="OSRRefT22_16x_0" localSheetId="49">'300 &amp; 317'!$T$225:$T$228</definedName>
    <definedName name="OSRRefT22_16x_0" localSheetId="50">'301'!$T$71:$T$73</definedName>
    <definedName name="OSRRefT22_16x_0" localSheetId="67">'310'!$T$79:$T$84</definedName>
    <definedName name="OSRRefT22_16x_0" localSheetId="75">'310 &amp; 491'!$T$87:$T$88</definedName>
    <definedName name="OSRRefT22_16x_0" localSheetId="61">'326'!$T$101</definedName>
    <definedName name="OSRRefT22_16x_0" localSheetId="59">'331'!$T$128</definedName>
    <definedName name="OSRRefT22_16x_0" localSheetId="77">'405'!$T$75</definedName>
    <definedName name="OSRRefT22_16x_0" localSheetId="84">'415'!$T$79</definedName>
    <definedName name="OSRRefT22_16x_0" localSheetId="94">'444'!$T$79</definedName>
    <definedName name="OSRRefT22_16x_0" localSheetId="76">'491'!$T$86</definedName>
    <definedName name="OSRRefT22_16x_0" localSheetId="90">'492'!$T$82</definedName>
    <definedName name="OSRRefT22_16x_0" localSheetId="39">'Div 2'!$T$74:$T$78</definedName>
    <definedName name="OSRRefT22_16x_0" localSheetId="47">'Div 3'!$T$206</definedName>
    <definedName name="OSRRefT22_16x_0" localSheetId="74">'Div 4'!$T$82:$T$83</definedName>
    <definedName name="OSRRefT22_16x_0" localSheetId="2">Summary!$T$239</definedName>
    <definedName name="OSRRefT22_17x_0" localSheetId="48">'300'!$T$206:$T$208</definedName>
    <definedName name="OSRRefT22_17x_0" localSheetId="49">'300 &amp; 317'!$T$230:$T$232</definedName>
    <definedName name="OSRRefT22_17x_0" localSheetId="50">'301'!$T$75</definedName>
    <definedName name="OSRRefT22_17x_0" localSheetId="67">'310'!$T$86</definedName>
    <definedName name="OSRRefT22_17x_0" localSheetId="75">'310 &amp; 491'!$T$90:$T$94</definedName>
    <definedName name="OSRRefT22_17x_0" localSheetId="59">'331'!$T$130</definedName>
    <definedName name="OSRRefT22_17x_0" localSheetId="76">'491'!$T$88:$T$96</definedName>
    <definedName name="OSRRefT22_17x_0" localSheetId="90">'492'!$T$84</definedName>
    <definedName name="OSRRefT22_17x_0" localSheetId="39">'Div 2'!$T$80:$T$81</definedName>
    <definedName name="OSRRefT22_17x_0" localSheetId="47">'Div 3'!$T$208:$T$211</definedName>
    <definedName name="OSRRefT22_17x_0" localSheetId="74">'Div 4'!$T$85:$T$89</definedName>
    <definedName name="OSRRefT22_17x_0" localSheetId="2">Summary!$T$241</definedName>
    <definedName name="OSRRefT22_18x_0" localSheetId="48">'300'!$T$210:$T$213</definedName>
    <definedName name="OSRRefT22_18x_0" localSheetId="49">'300 &amp; 317'!$T$234:$T$237</definedName>
    <definedName name="OSRRefT22_18x_0" localSheetId="50">'301'!$T$77:$T$82</definedName>
    <definedName name="OSRRefT22_18x_0" localSheetId="67">'310'!$T$88</definedName>
    <definedName name="OSRRefT22_18x_0" localSheetId="75">'310 &amp; 491'!$T$96</definedName>
    <definedName name="OSRRefT22_18x_0" localSheetId="59">'331'!$T$132</definedName>
    <definedName name="OSRRefT22_18x_0" localSheetId="76">'491'!$T$98</definedName>
    <definedName name="OSRRefT22_18x_0" localSheetId="39">'Div 2'!$T$83</definedName>
    <definedName name="OSRRefT22_18x_0" localSheetId="47">'Div 3'!$T$213:$T$215</definedName>
    <definedName name="OSRRefT22_18x_0" localSheetId="74">'Div 4'!$T$91</definedName>
    <definedName name="OSRRefT22_18x_0" localSheetId="2">Summary!$T$243:$T$246</definedName>
    <definedName name="OSRRefT22_19x_0" localSheetId="48">'300'!$T$215:$T$216</definedName>
    <definedName name="OSRRefT22_19x_0" localSheetId="49">'300 &amp; 317'!$T$239:$T$240</definedName>
    <definedName name="OSRRefT22_19x_0" localSheetId="50">'301'!$T$84</definedName>
    <definedName name="OSRRefT22_19x_0" localSheetId="75">'310 &amp; 491'!$T$98:$T$106</definedName>
    <definedName name="OSRRefT22_19x_0" localSheetId="59">'331'!$T$134</definedName>
    <definedName name="OSRRefT22_19x_0" localSheetId="76">'491'!$T$100</definedName>
    <definedName name="OSRRefT22_19x_0" localSheetId="39">'Div 2'!$T$85:$T$86</definedName>
    <definedName name="OSRRefT22_19x_0" localSheetId="47">'Div 3'!$T$217:$T$221</definedName>
    <definedName name="OSRRefT22_19x_0" localSheetId="74">'Div 4'!$T$93:$T$101</definedName>
    <definedName name="OSRRefT22_19x_0" localSheetId="2">Summary!$T$248:$T$250</definedName>
    <definedName name="OSRRefT22_1x_0" localSheetId="40">'200'!$T$22</definedName>
    <definedName name="OSRRefT22_1x_0" localSheetId="41">'201'!$T$29:$T$31</definedName>
    <definedName name="OSRRefT22_1x_0" localSheetId="42">'202'!$T$29:$T$32</definedName>
    <definedName name="OSRRefT22_1x_0" localSheetId="43">'203'!$T$30:$T$33</definedName>
    <definedName name="OSRRefT22_1x_0" localSheetId="44">'204'!$T$30:$T$34</definedName>
    <definedName name="OSRRefT22_1x_0" localSheetId="45">'205'!$T$29</definedName>
    <definedName name="OSRRefT22_1x_0" localSheetId="46">'206'!$T$28:$T$31</definedName>
    <definedName name="OSRRefT22_1x_0" localSheetId="48">'300'!$T$162:$T$168</definedName>
    <definedName name="OSRRefT22_1x_0" localSheetId="49">'300 &amp; 317'!$T$186:$T$192</definedName>
    <definedName name="OSRRefT22_1x_0" localSheetId="50">'301'!$T$30:$T$36</definedName>
    <definedName name="OSRRefT22_1x_0" localSheetId="51">'306'!$T$30:$T$35</definedName>
    <definedName name="OSRRefT22_1x_0" localSheetId="53">'307'!$T$67:$T$70</definedName>
    <definedName name="OSRRefT22_1x_0" localSheetId="55">'308'!$T$67:$T$72</definedName>
    <definedName name="OSRRefT22_1x_0" localSheetId="68">'309'!$T$33:$T$36</definedName>
    <definedName name="OSRRefT22_1x_0" localSheetId="67">'310'!$T$39:$T$44</definedName>
    <definedName name="OSRRefT22_1x_0" localSheetId="75">'310 &amp; 491'!$T$47:$T$53</definedName>
    <definedName name="OSRRefT22_1x_0" localSheetId="56">'311'!$T$66:$T$71</definedName>
    <definedName name="OSRRefT22_1x_0" localSheetId="69">'313'!$T$36:$T$40</definedName>
    <definedName name="OSRRefT22_1x_0" localSheetId="54">'314'!$T$61:$T$62</definedName>
    <definedName name="OSRRefT22_1x_0" localSheetId="60">'315'!$T$80:$T$84</definedName>
    <definedName name="OSRRefT22_1x_0" localSheetId="63">'316'!$T$41:$T$43</definedName>
    <definedName name="OSRRefT22_1x_0" localSheetId="66">'317'!$T$65:$T$69</definedName>
    <definedName name="OSRRefT22_1x_0" localSheetId="64">'320'!$T$36:$T$38</definedName>
    <definedName name="OSRRefT22_1x_0" localSheetId="70">'321'!$T$33:$T$37</definedName>
    <definedName name="OSRRefT22_1x_0" localSheetId="71">'322'!$T$33:$T$35</definedName>
    <definedName name="OSRRefT22_1x_0" localSheetId="72">'325'!$T$33:$T$37</definedName>
    <definedName name="OSRRefT22_1x_0" localSheetId="61">'326'!$T$64:$T$68</definedName>
    <definedName name="OSRRefT22_1x_0" localSheetId="52">'330'!$T$81:$T$84</definedName>
    <definedName name="OSRRefT22_1x_0" localSheetId="59">'331'!$T$87:$T$91</definedName>
    <definedName name="OSRRefT22_1x_0" localSheetId="62">'332'!$T$49:$T$52</definedName>
    <definedName name="OSRRefT22_1x_0" localSheetId="77">'405'!$T$33:$T$35</definedName>
    <definedName name="OSRRefT22_1x_0" localSheetId="78">'406'!$T$33:$T$37</definedName>
    <definedName name="OSRRefT22_1x_0" localSheetId="79">'411'!$T$30:$T$35</definedName>
    <definedName name="OSRRefT22_1x_0" localSheetId="80">'412'!$T$32:$T$37</definedName>
    <definedName name="OSRRefT22_1x_0" localSheetId="82">'413'!$T$33:$T$35</definedName>
    <definedName name="OSRRefT22_1x_0" localSheetId="83">'414'!$T$32:$T$35</definedName>
    <definedName name="OSRRefT22_1x_0" localSheetId="84">'415'!$T$33:$T$37</definedName>
    <definedName name="OSRRefT22_1x_0" localSheetId="85">'418'!$T$33:$T$37</definedName>
    <definedName name="OSRRefT22_1x_0" localSheetId="86">'423'!$T$30</definedName>
    <definedName name="OSRRefT22_1x_0" localSheetId="87">'424'!$T$25:$T$28</definedName>
    <definedName name="OSRRefT22_1x_0" localSheetId="88">'425'!$T$33:$T$37</definedName>
    <definedName name="OSRRefT22_1x_0" localSheetId="91">'430'!$T$29</definedName>
    <definedName name="OSRRefT22_1x_0" localSheetId="92">'433'!$T$35:$T$40</definedName>
    <definedName name="OSRRefT22_1x_0" localSheetId="93">'435'!$T$28:$T$29</definedName>
    <definedName name="OSRRefT22_1x_0" localSheetId="94">'444'!$T$35:$T$40</definedName>
    <definedName name="OSRRefT22_1x_0" localSheetId="95">'450'!$T$34:$T$39</definedName>
    <definedName name="OSRRefT22_1x_0" localSheetId="89">'455'!$T$28:$T$29</definedName>
    <definedName name="OSRRefT22_1x_0" localSheetId="76">'491'!$T$41:$T$47</definedName>
    <definedName name="OSRRefT22_1x_0" localSheetId="90">'492'!$T$37:$T$43</definedName>
    <definedName name="OSRRefT22_1x_0" localSheetId="97">'501'!$T$31:$T$35</definedName>
    <definedName name="OSRRefT22_1x_0" localSheetId="39">'Div 2'!$T$31:$T$37</definedName>
    <definedName name="OSRRefT22_1x_0" localSheetId="47">'Div 3'!$T$167:$T$173</definedName>
    <definedName name="OSRRefT22_1x_0" localSheetId="74">'Div 4'!$T$42:$T$48</definedName>
    <definedName name="OSRRefT22_1x_0" localSheetId="96">'Div 5'!$T$31:$T$35</definedName>
    <definedName name="OSRRefT22_1x_0" localSheetId="65">'Div 6'!$T$65:$T$69</definedName>
    <definedName name="OSRRefT22_1x_0" localSheetId="2">Summary!$T$198:$T$204</definedName>
    <definedName name="OSRRefT22_20x_0" localSheetId="48">'300'!$T$218:$T$224</definedName>
    <definedName name="OSRRefT22_20x_0" localSheetId="49">'300 &amp; 317'!$T$242:$T$248</definedName>
    <definedName name="OSRRefT22_20x_0" localSheetId="50">'301'!$T$86</definedName>
    <definedName name="OSRRefT22_20x_0" localSheetId="75">'310 &amp; 491'!$T$108</definedName>
    <definedName name="OSRRefT22_20x_0" localSheetId="76">'491'!$T$102:$T$104</definedName>
    <definedName name="OSRRefT22_20x_0" localSheetId="47">'Div 3'!$T$223:$T$224</definedName>
    <definedName name="OSRRefT22_20x_0" localSheetId="74">'Div 4'!$T$103</definedName>
    <definedName name="OSRRefT22_20x_0" localSheetId="2">Summary!$T$252:$T$256</definedName>
    <definedName name="OSRRefT22_21x_0" localSheetId="48">'300'!$T$226:$T$227</definedName>
    <definedName name="OSRRefT22_21x_0" localSheetId="49">'300 &amp; 317'!$T$250:$T$251</definedName>
    <definedName name="OSRRefT22_21x_0" localSheetId="50">'301'!$T$88:$T$89</definedName>
    <definedName name="OSRRefT22_21x_0" localSheetId="75">'310 &amp; 491'!$T$110</definedName>
    <definedName name="OSRRefT22_21x_0" localSheetId="76">'491'!$T$106</definedName>
    <definedName name="OSRRefT22_21x_0" localSheetId="47">'Div 3'!$T$226:$T$232</definedName>
    <definedName name="OSRRefT22_21x_0" localSheetId="74">'Div 4'!$T$105</definedName>
    <definedName name="OSRRefT22_21x_0" localSheetId="2">Summary!$T$258:$T$259</definedName>
    <definedName name="OSRRefT22_22x_0" localSheetId="48">'300'!$T$229</definedName>
    <definedName name="OSRRefT22_22x_0" localSheetId="49">'300 &amp; 317'!$T$253</definedName>
    <definedName name="OSRRefT22_22x_0" localSheetId="50">'301'!$T$91</definedName>
    <definedName name="OSRRefT22_22x_0" localSheetId="75">'310 &amp; 491'!$T$112:$T$114</definedName>
    <definedName name="OSRRefT22_22x_0" localSheetId="47">'Div 3'!$T$234:$T$235</definedName>
    <definedName name="OSRRefT22_22x_0" localSheetId="74">'Div 4'!$T$107:$T$109</definedName>
    <definedName name="OSRRefT22_22x_0" localSheetId="2">Summary!$T$261:$T$269</definedName>
    <definedName name="OSRRefT22_23x_0" localSheetId="48">'300'!$T$231:$T$233</definedName>
    <definedName name="OSRRefT22_23x_0" localSheetId="49">'300 &amp; 317'!$T$255:$T$257</definedName>
    <definedName name="OSRRefT22_23x_0" localSheetId="75">'310 &amp; 491'!$T$116</definedName>
    <definedName name="OSRRefT22_23x_0" localSheetId="47">'Div 3'!$T$237</definedName>
    <definedName name="OSRRefT22_23x_0" localSheetId="74">'Div 4'!$T$111</definedName>
    <definedName name="OSRRefT22_23x_0" localSheetId="2">Summary!$T$271:$T$272</definedName>
    <definedName name="OSRRefT22_24x_0" localSheetId="48">'300'!$T$235</definedName>
    <definedName name="OSRRefT22_24x_0" localSheetId="49">'300 &amp; 317'!$T$259</definedName>
    <definedName name="OSRRefT22_24x_0" localSheetId="47">'Div 3'!$T$239:$T$241</definedName>
    <definedName name="OSRRefT22_24x_0" localSheetId="2">Summary!$T$274</definedName>
    <definedName name="OSRRefT22_25x_0" localSheetId="47">'Div 3'!$T$243</definedName>
    <definedName name="OSRRefT22_25x_0" localSheetId="2">Summary!$T$276:$T$278</definedName>
    <definedName name="OSRRefT22_26x_0" localSheetId="2">Summary!$T$280</definedName>
    <definedName name="OSRRefT22_2x_0" localSheetId="40">'200'!$T$24</definedName>
    <definedName name="OSRRefT22_2x_0" localSheetId="41">'201'!$T$33</definedName>
    <definedName name="OSRRefT22_2x_0" localSheetId="42">'202'!$T$34</definedName>
    <definedName name="OSRRefT22_2x_0" localSheetId="43">'203'!$T$35</definedName>
    <definedName name="OSRRefT22_2x_0" localSheetId="44">'204'!$T$36</definedName>
    <definedName name="OSRRefT22_2x_0" localSheetId="45">'205'!$T$31</definedName>
    <definedName name="OSRRefT22_2x_0" localSheetId="46">'206'!$T$33</definedName>
    <definedName name="OSRRefT22_2x_0" localSheetId="48">'300'!$T$170</definedName>
    <definedName name="OSRRefT22_2x_0" localSheetId="49">'300 &amp; 317'!$T$194</definedName>
    <definedName name="OSRRefT22_2x_0" localSheetId="50">'301'!$T$38</definedName>
    <definedName name="OSRRefT22_2x_0" localSheetId="51">'306'!$T$37</definedName>
    <definedName name="OSRRefT22_2x_0" localSheetId="53">'307'!$T$72</definedName>
    <definedName name="OSRRefT22_2x_0" localSheetId="55">'308'!$T$74</definedName>
    <definedName name="OSRRefT22_2x_0" localSheetId="68">'309'!$T$38</definedName>
    <definedName name="OSRRefT22_2x_0" localSheetId="67">'310'!$T$46</definedName>
    <definedName name="OSRRefT22_2x_0" localSheetId="75">'310 &amp; 491'!$T$55</definedName>
    <definedName name="OSRRefT22_2x_0" localSheetId="56">'311'!$T$73</definedName>
    <definedName name="OSRRefT22_2x_0" localSheetId="69">'313'!$T$42</definedName>
    <definedName name="OSRRefT22_2x_0" localSheetId="54">'314'!$T$64:$T$65</definedName>
    <definedName name="OSRRefT22_2x_0" localSheetId="60">'315'!$T$86</definedName>
    <definedName name="OSRRefT22_2x_0" localSheetId="63">'316'!$T$45</definedName>
    <definedName name="OSRRefT22_2x_0" localSheetId="66">'317'!$T$71</definedName>
    <definedName name="OSRRefT22_2x_0" localSheetId="64">'320'!$T$40</definedName>
    <definedName name="OSRRefT22_2x_0" localSheetId="70">'321'!$T$39</definedName>
    <definedName name="OSRRefT22_2x_0" localSheetId="71">'322'!$T$37</definedName>
    <definedName name="OSRRefT22_2x_0" localSheetId="72">'325'!$T$39</definedName>
    <definedName name="OSRRefT22_2x_0" localSheetId="61">'326'!$T$70</definedName>
    <definedName name="OSRRefT22_2x_0" localSheetId="52">'330'!$T$86</definedName>
    <definedName name="OSRRefT22_2x_0" localSheetId="59">'331'!$T$93</definedName>
    <definedName name="OSRRefT22_2x_0" localSheetId="62">'332'!$T$54</definedName>
    <definedName name="OSRRefT22_2x_0" localSheetId="77">'405'!$T$37</definedName>
    <definedName name="OSRRefT22_2x_0" localSheetId="78">'406'!$T$39</definedName>
    <definedName name="OSRRefT22_2x_0" localSheetId="79">'411'!$T$37</definedName>
    <definedName name="OSRRefT22_2x_0" localSheetId="80">'412'!$T$39</definedName>
    <definedName name="OSRRefT22_2x_0" localSheetId="82">'413'!$T$37</definedName>
    <definedName name="OSRRefT22_2x_0" localSheetId="83">'414'!$T$37</definedName>
    <definedName name="OSRRefT22_2x_0" localSheetId="84">'415'!$T$39</definedName>
    <definedName name="OSRRefT22_2x_0" localSheetId="85">'418'!$T$39</definedName>
    <definedName name="OSRRefT22_2x_0" localSheetId="86">'423'!$T$32</definedName>
    <definedName name="OSRRefT22_2x_0" localSheetId="87">'424'!$T$30</definedName>
    <definedName name="OSRRefT22_2x_0" localSheetId="88">'425'!$T$39</definedName>
    <definedName name="OSRRefT22_2x_0" localSheetId="91">'430'!$T$31</definedName>
    <definedName name="OSRRefT22_2x_0" localSheetId="92">'433'!$T$42</definedName>
    <definedName name="OSRRefT22_2x_0" localSheetId="93">'435'!$T$31</definedName>
    <definedName name="OSRRefT22_2x_0" localSheetId="94">'444'!$T$42</definedName>
    <definedName name="OSRRefT22_2x_0" localSheetId="95">'450'!$T$41</definedName>
    <definedName name="OSRRefT22_2x_0" localSheetId="76">'491'!$T$49</definedName>
    <definedName name="OSRRefT22_2x_0" localSheetId="90">'492'!$T$45</definedName>
    <definedName name="OSRRefT22_2x_0" localSheetId="97">'501'!$T$37</definedName>
    <definedName name="OSRRefT22_2x_0" localSheetId="39">'Div 2'!$T$39</definedName>
    <definedName name="OSRRefT22_2x_0" localSheetId="47">'Div 3'!$T$175</definedName>
    <definedName name="OSRRefT22_2x_0" localSheetId="74">'Div 4'!$T$50</definedName>
    <definedName name="OSRRefT22_2x_0" localSheetId="96">'Div 5'!$T$37</definedName>
    <definedName name="OSRRefT22_2x_0" localSheetId="65">'Div 6'!$T$71</definedName>
    <definedName name="OSRRefT22_2x_0" localSheetId="2">Summary!$T$206</definedName>
    <definedName name="OSRRefT22_3x_0" localSheetId="40">'200'!$T$26</definedName>
    <definedName name="OSRRefT22_3x_0" localSheetId="41">'201'!$T$35</definedName>
    <definedName name="OSRRefT22_3x_0" localSheetId="42">'202'!$T$36</definedName>
    <definedName name="OSRRefT22_3x_0" localSheetId="43">'203'!$T$37</definedName>
    <definedName name="OSRRefT22_3x_0" localSheetId="44">'204'!$T$38</definedName>
    <definedName name="OSRRefT22_3x_0" localSheetId="45">'205'!$T$33:$T$34</definedName>
    <definedName name="OSRRefT22_3x_0" localSheetId="46">'206'!$T$35</definedName>
    <definedName name="OSRRefT22_3x_0" localSheetId="48">'300'!$T$172</definedName>
    <definedName name="OSRRefT22_3x_0" localSheetId="49">'300 &amp; 317'!$T$196</definedName>
    <definedName name="OSRRefT22_3x_0" localSheetId="50">'301'!$T$40</definedName>
    <definedName name="OSRRefT22_3x_0" localSheetId="51">'306'!$T$39</definedName>
    <definedName name="OSRRefT22_3x_0" localSheetId="53">'307'!$T$74</definedName>
    <definedName name="OSRRefT22_3x_0" localSheetId="55">'308'!$T$76:$T$77</definedName>
    <definedName name="OSRRefT22_3x_0" localSheetId="68">'309'!$T$40</definedName>
    <definedName name="OSRRefT22_3x_0" localSheetId="67">'310'!$T$48</definedName>
    <definedName name="OSRRefT22_3x_0" localSheetId="75">'310 &amp; 491'!$T$57</definedName>
    <definedName name="OSRRefT22_3x_0" localSheetId="56">'311'!$T$75:$T$76</definedName>
    <definedName name="OSRRefT22_3x_0" localSheetId="69">'313'!$T$44</definedName>
    <definedName name="OSRRefT22_3x_0" localSheetId="54">'314'!$T$67</definedName>
    <definedName name="OSRRefT22_3x_0" localSheetId="60">'315'!$T$88</definedName>
    <definedName name="OSRRefT22_3x_0" localSheetId="63">'316'!$T$47</definedName>
    <definedName name="OSRRefT22_3x_0" localSheetId="66">'317'!$T$73</definedName>
    <definedName name="OSRRefT22_3x_0" localSheetId="64">'320'!$T$42:$T$43</definedName>
    <definedName name="OSRRefT22_3x_0" localSheetId="70">'321'!$T$41</definedName>
    <definedName name="OSRRefT22_3x_0" localSheetId="71">'322'!$T$39</definedName>
    <definedName name="OSRRefT22_3x_0" localSheetId="72">'325'!$T$41</definedName>
    <definedName name="OSRRefT22_3x_0" localSheetId="61">'326'!$T$72</definedName>
    <definedName name="OSRRefT22_3x_0" localSheetId="52">'330'!$T$88</definedName>
    <definedName name="OSRRefT22_3x_0" localSheetId="59">'331'!$T$95</definedName>
    <definedName name="OSRRefT22_3x_0" localSheetId="62">'332'!$T$56</definedName>
    <definedName name="OSRRefT22_3x_0" localSheetId="77">'405'!$T$39</definedName>
    <definedName name="OSRRefT22_3x_0" localSheetId="78">'406'!$T$41</definedName>
    <definedName name="OSRRefT22_3x_0" localSheetId="79">'411'!$T$39</definedName>
    <definedName name="OSRRefT22_3x_0" localSheetId="80">'412'!$T$41</definedName>
    <definedName name="OSRRefT22_3x_0" localSheetId="82">'413'!$T$39</definedName>
    <definedName name="OSRRefT22_3x_0" localSheetId="83">'414'!$T$39</definedName>
    <definedName name="OSRRefT22_3x_0" localSheetId="84">'415'!$T$41</definedName>
    <definedName name="OSRRefT22_3x_0" localSheetId="85">'418'!$T$41</definedName>
    <definedName name="OSRRefT22_3x_0" localSheetId="86">'423'!$T$34</definedName>
    <definedName name="OSRRefT22_3x_0" localSheetId="87">'424'!$T$32</definedName>
    <definedName name="OSRRefT22_3x_0" localSheetId="88">'425'!$T$41</definedName>
    <definedName name="OSRRefT22_3x_0" localSheetId="91">'430'!$T$33:$T$34</definedName>
    <definedName name="OSRRefT22_3x_0" localSheetId="92">'433'!$T$44</definedName>
    <definedName name="OSRRefT22_3x_0" localSheetId="93">'435'!$T$33</definedName>
    <definedName name="OSRRefT22_3x_0" localSheetId="94">'444'!$T$44</definedName>
    <definedName name="OSRRefT22_3x_0" localSheetId="95">'450'!$T$43</definedName>
    <definedName name="OSRRefT22_3x_0" localSheetId="76">'491'!$T$51</definedName>
    <definedName name="OSRRefT22_3x_0" localSheetId="90">'492'!$T$47</definedName>
    <definedName name="OSRRefT22_3x_0" localSheetId="97">'501'!$T$39</definedName>
    <definedName name="OSRRefT22_3x_0" localSheetId="39">'Div 2'!$T$41</definedName>
    <definedName name="OSRRefT22_3x_0" localSheetId="47">'Div 3'!$T$177</definedName>
    <definedName name="OSRRefT22_3x_0" localSheetId="74">'Div 4'!$T$52</definedName>
    <definedName name="OSRRefT22_3x_0" localSheetId="96">'Div 5'!$T$39</definedName>
    <definedName name="OSRRefT22_3x_0" localSheetId="65">'Div 6'!$T$73</definedName>
    <definedName name="OSRRefT22_3x_0" localSheetId="2">Summary!$T$208</definedName>
    <definedName name="OSRRefT22_4x_0" localSheetId="41">'201'!$T$37</definedName>
    <definedName name="OSRRefT22_4x_0" localSheetId="42">'202'!$T$38:$T$39</definedName>
    <definedName name="OSRRefT22_4x_0" localSheetId="43">'203'!$T$39</definedName>
    <definedName name="OSRRefT22_4x_0" localSheetId="44">'204'!$T$40:$T$42</definedName>
    <definedName name="OSRRefT22_4x_0" localSheetId="45">'205'!$T$36</definedName>
    <definedName name="OSRRefT22_4x_0" localSheetId="46">'206'!$T$37:$T$38</definedName>
    <definedName name="OSRRefT22_4x_0" localSheetId="48">'300'!$T$174</definedName>
    <definedName name="OSRRefT22_4x_0" localSheetId="49">'300 &amp; 317'!$T$198</definedName>
    <definedName name="OSRRefT22_4x_0" localSheetId="50">'301'!$T$42</definedName>
    <definedName name="OSRRefT22_4x_0" localSheetId="51">'306'!$T$41</definedName>
    <definedName name="OSRRefT22_4x_0" localSheetId="53">'307'!$T$76:$T$77</definedName>
    <definedName name="OSRRefT22_4x_0" localSheetId="55">'308'!$T$79</definedName>
    <definedName name="OSRRefT22_4x_0" localSheetId="68">'309'!$T$42</definedName>
    <definedName name="OSRRefT22_4x_0" localSheetId="67">'310'!$T$50</definedName>
    <definedName name="OSRRefT22_4x_0" localSheetId="75">'310 &amp; 491'!$T$59</definedName>
    <definedName name="OSRRefT22_4x_0" localSheetId="56">'311'!$T$78</definedName>
    <definedName name="OSRRefT22_4x_0" localSheetId="69">'313'!$T$46</definedName>
    <definedName name="OSRRefT22_4x_0" localSheetId="54">'314'!$T$69</definedName>
    <definedName name="OSRRefT22_4x_0" localSheetId="60">'315'!$T$90</definedName>
    <definedName name="OSRRefT22_4x_0" localSheetId="63">'316'!$T$49</definedName>
    <definedName name="OSRRefT22_4x_0" localSheetId="66">'317'!$T$75</definedName>
    <definedName name="OSRRefT22_4x_0" localSheetId="64">'320'!$T$45</definedName>
    <definedName name="OSRRefT22_4x_0" localSheetId="70">'321'!$T$43</definedName>
    <definedName name="OSRRefT22_4x_0" localSheetId="71">'322'!$T$41</definedName>
    <definedName name="OSRRefT22_4x_0" localSheetId="72">'325'!$T$43</definedName>
    <definedName name="OSRRefT22_4x_0" localSheetId="61">'326'!$T$74</definedName>
    <definedName name="OSRRefT22_4x_0" localSheetId="52">'330'!$T$90:$T$91</definedName>
    <definedName name="OSRRefT22_4x_0" localSheetId="59">'331'!$T$97</definedName>
    <definedName name="OSRRefT22_4x_0" localSheetId="62">'332'!$T$58</definedName>
    <definedName name="OSRRefT22_4x_0" localSheetId="77">'405'!$T$41</definedName>
    <definedName name="OSRRefT22_4x_0" localSheetId="78">'406'!$T$43</definedName>
    <definedName name="OSRRefT22_4x_0" localSheetId="79">'411'!$T$41:$T$43</definedName>
    <definedName name="OSRRefT22_4x_0" localSheetId="80">'412'!$T$43</definedName>
    <definedName name="OSRRefT22_4x_0" localSheetId="82">'413'!$T$41</definedName>
    <definedName name="OSRRefT22_4x_0" localSheetId="83">'414'!$T$41</definedName>
    <definedName name="OSRRefT22_4x_0" localSheetId="84">'415'!$T$43</definedName>
    <definedName name="OSRRefT22_4x_0" localSheetId="85">'418'!$T$43</definedName>
    <definedName name="OSRRefT22_4x_0" localSheetId="86">'423'!$T$36</definedName>
    <definedName name="OSRRefT22_4x_0" localSheetId="87">'424'!$T$34</definedName>
    <definedName name="OSRRefT22_4x_0" localSheetId="88">'425'!$T$43</definedName>
    <definedName name="OSRRefT22_4x_0" localSheetId="91">'430'!$T$36</definedName>
    <definedName name="OSRRefT22_4x_0" localSheetId="92">'433'!$T$46</definedName>
    <definedName name="OSRRefT22_4x_0" localSheetId="93">'435'!$T$35</definedName>
    <definedName name="OSRRefT22_4x_0" localSheetId="94">'444'!$T$46</definedName>
    <definedName name="OSRRefT22_4x_0" localSheetId="95">'450'!$T$45</definedName>
    <definedName name="OSRRefT22_4x_0" localSheetId="76">'491'!$T$53</definedName>
    <definedName name="OSRRefT22_4x_0" localSheetId="90">'492'!$T$49</definedName>
    <definedName name="OSRRefT22_4x_0" localSheetId="97">'501'!$T$41</definedName>
    <definedName name="OSRRefT22_4x_0" localSheetId="39">'Div 2'!$T$43</definedName>
    <definedName name="OSRRefT22_4x_0" localSheetId="47">'Div 3'!$T$179</definedName>
    <definedName name="OSRRefT22_4x_0" localSheetId="74">'Div 4'!$T$54</definedName>
    <definedName name="OSRRefT22_4x_0" localSheetId="96">'Div 5'!$T$41</definedName>
    <definedName name="OSRRefT22_4x_0" localSheetId="65">'Div 6'!$T$75</definedName>
    <definedName name="OSRRefT22_4x_0" localSheetId="2">Summary!$T$210</definedName>
    <definedName name="OSRRefT22_5x_0" localSheetId="41">'201'!$T$39</definedName>
    <definedName name="OSRRefT22_5x_0" localSheetId="42">'202'!$T$41</definedName>
    <definedName name="OSRRefT22_5x_0" localSheetId="43">'203'!$T$41</definedName>
    <definedName name="OSRRefT22_5x_0" localSheetId="44">'204'!$T$44</definedName>
    <definedName name="OSRRefT22_5x_0" localSheetId="45">'205'!$T$38</definedName>
    <definedName name="OSRRefT22_5x_0" localSheetId="46">'206'!$T$40</definedName>
    <definedName name="OSRRefT22_5x_0" localSheetId="48">'300'!$T$176:$T$177</definedName>
    <definedName name="OSRRefT22_5x_0" localSheetId="49">'300 &amp; 317'!$T$200:$T$201</definedName>
    <definedName name="OSRRefT22_5x_0" localSheetId="50">'301'!$T$44:$T$45</definedName>
    <definedName name="OSRRefT22_5x_0" localSheetId="53">'307'!$T$79</definedName>
    <definedName name="OSRRefT22_5x_0" localSheetId="55">'308'!$T$81</definedName>
    <definedName name="OSRRefT22_5x_0" localSheetId="68">'309'!$T$44</definedName>
    <definedName name="OSRRefT22_5x_0" localSheetId="67">'310'!$T$52:$T$53</definedName>
    <definedName name="OSRRefT22_5x_0" localSheetId="75">'310 &amp; 491'!$T$61:$T$63</definedName>
    <definedName name="OSRRefT22_5x_0" localSheetId="56">'311'!$T$80</definedName>
    <definedName name="OSRRefT22_5x_0" localSheetId="69">'313'!$T$48</definedName>
    <definedName name="OSRRefT22_5x_0" localSheetId="60">'315'!$T$92</definedName>
    <definedName name="OSRRefT22_5x_0" localSheetId="63">'316'!$T$51:$T$52</definedName>
    <definedName name="OSRRefT22_5x_0" localSheetId="66">'317'!$T$77:$T$78</definedName>
    <definedName name="OSRRefT22_5x_0" localSheetId="64">'320'!$T$47:$T$48</definedName>
    <definedName name="OSRRefT22_5x_0" localSheetId="70">'321'!$T$45</definedName>
    <definedName name="OSRRefT22_5x_0" localSheetId="71">'322'!$T$43</definedName>
    <definedName name="OSRRefT22_5x_0" localSheetId="72">'325'!$T$45:$T$46</definedName>
    <definedName name="OSRRefT22_5x_0" localSheetId="61">'326'!$T$76</definedName>
    <definedName name="OSRRefT22_5x_0" localSheetId="52">'330'!$T$93</definedName>
    <definedName name="OSRRefT22_5x_0" localSheetId="59">'331'!$T$99</definedName>
    <definedName name="OSRRefT22_5x_0" localSheetId="62">'332'!$T$60:$T$61</definedName>
    <definedName name="OSRRefT22_5x_0" localSheetId="77">'405'!$T$43:$T$44</definedName>
    <definedName name="OSRRefT22_5x_0" localSheetId="78">'406'!$T$45</definedName>
    <definedName name="OSRRefT22_5x_0" localSheetId="79">'411'!$T$45</definedName>
    <definedName name="OSRRefT22_5x_0" localSheetId="80">'412'!$T$45</definedName>
    <definedName name="OSRRefT22_5x_0" localSheetId="82">'413'!$T$43</definedName>
    <definedName name="OSRRefT22_5x_0" localSheetId="83">'414'!$T$43</definedName>
    <definedName name="OSRRefT22_5x_0" localSheetId="84">'415'!$T$45:$T$46</definedName>
    <definedName name="OSRRefT22_5x_0" localSheetId="85">'418'!$T$45:$T$46</definedName>
    <definedName name="OSRRefT22_5x_0" localSheetId="86">'423'!$T$38</definedName>
    <definedName name="OSRRefT22_5x_0" localSheetId="87">'424'!$T$36</definedName>
    <definedName name="OSRRefT22_5x_0" localSheetId="88">'425'!$T$45</definedName>
    <definedName name="OSRRefT22_5x_0" localSheetId="91">'430'!$T$38</definedName>
    <definedName name="OSRRefT22_5x_0" localSheetId="92">'433'!$T$48</definedName>
    <definedName name="OSRRefT22_5x_0" localSheetId="93">'435'!$T$37:$T$38</definedName>
    <definedName name="OSRRefT22_5x_0" localSheetId="94">'444'!$T$48</definedName>
    <definedName name="OSRRefT22_5x_0" localSheetId="95">'450'!$T$47</definedName>
    <definedName name="OSRRefT22_5x_0" localSheetId="76">'491'!$T$55:$T$57</definedName>
    <definedName name="OSRRefT22_5x_0" localSheetId="90">'492'!$T$51</definedName>
    <definedName name="OSRRefT22_5x_0" localSheetId="97">'501'!$T$43</definedName>
    <definedName name="OSRRefT22_5x_0" localSheetId="39">'Div 2'!$T$45</definedName>
    <definedName name="OSRRefT22_5x_0" localSheetId="47">'Div 3'!$T$181:$T$182</definedName>
    <definedName name="OSRRefT22_5x_0" localSheetId="74">'Div 4'!$T$56:$T$58</definedName>
    <definedName name="OSRRefT22_5x_0" localSheetId="96">'Div 5'!$T$43</definedName>
    <definedName name="OSRRefT22_5x_0" localSheetId="65">'Div 6'!$T$77:$T$78</definedName>
    <definedName name="OSRRefT22_5x_0" localSheetId="2">Summary!$T$212:$T$214</definedName>
    <definedName name="OSRRefT22_6x_0" localSheetId="41">'201'!$T$41</definedName>
    <definedName name="OSRRefT22_6x_0" localSheetId="42">'202'!$T$43</definedName>
    <definedName name="OSRRefT22_6x_0" localSheetId="43">'203'!$T$43</definedName>
    <definedName name="OSRRefT22_6x_0" localSheetId="44">'204'!$T$46:$T$47</definedName>
    <definedName name="OSRRefT22_6x_0" localSheetId="45">'205'!$T$40</definedName>
    <definedName name="OSRRefT22_6x_0" localSheetId="46">'206'!$T$42</definedName>
    <definedName name="OSRRefT22_6x_0" localSheetId="48">'300'!$T$179:$T$180</definedName>
    <definedName name="OSRRefT22_6x_0" localSheetId="49">'300 &amp; 317'!$T$203:$T$204</definedName>
    <definedName name="OSRRefT22_6x_0" localSheetId="50">'301'!$T$47:$T$48</definedName>
    <definedName name="OSRRefT22_6x_0" localSheetId="53">'307'!$T$81</definedName>
    <definedName name="OSRRefT22_6x_0" localSheetId="55">'308'!$T$83</definedName>
    <definedName name="OSRRefT22_6x_0" localSheetId="68">'309'!$T$46</definedName>
    <definedName name="OSRRefT22_6x_0" localSheetId="67">'310'!$T$55</definedName>
    <definedName name="OSRRefT22_6x_0" localSheetId="75">'310 &amp; 491'!$T$65</definedName>
    <definedName name="OSRRefT22_6x_0" localSheetId="56">'311'!$T$82</definedName>
    <definedName name="OSRRefT22_6x_0" localSheetId="69">'313'!$T$50</definedName>
    <definedName name="OSRRefT22_6x_0" localSheetId="60">'315'!$T$94</definedName>
    <definedName name="OSRRefT22_6x_0" localSheetId="63">'316'!$T$54</definedName>
    <definedName name="OSRRefT22_6x_0" localSheetId="66">'317'!$T$80</definedName>
    <definedName name="OSRRefT22_6x_0" localSheetId="64">'320'!$T$50</definedName>
    <definedName name="OSRRefT22_6x_0" localSheetId="70">'321'!$T$47:$T$48</definedName>
    <definedName name="OSRRefT22_6x_0" localSheetId="71">'322'!$T$45</definedName>
    <definedName name="OSRRefT22_6x_0" localSheetId="72">'325'!$T$48</definedName>
    <definedName name="OSRRefT22_6x_0" localSheetId="61">'326'!$T$78</definedName>
    <definedName name="OSRRefT22_6x_0" localSheetId="52">'330'!$T$95</definedName>
    <definedName name="OSRRefT22_6x_0" localSheetId="59">'331'!$T$101</definedName>
    <definedName name="OSRRefT22_6x_0" localSheetId="62">'332'!$T$63</definedName>
    <definedName name="OSRRefT22_6x_0" localSheetId="77">'405'!$T$46</definedName>
    <definedName name="OSRRefT22_6x_0" localSheetId="78">'406'!$T$47</definedName>
    <definedName name="OSRRefT22_6x_0" localSheetId="79">'411'!$T$47</definedName>
    <definedName name="OSRRefT22_6x_0" localSheetId="80">'412'!$T$47</definedName>
    <definedName name="OSRRefT22_6x_0" localSheetId="82">'413'!$T$45</definedName>
    <definedName name="OSRRefT22_6x_0" localSheetId="83">'414'!$T$45</definedName>
    <definedName name="OSRRefT22_6x_0" localSheetId="84">'415'!$T$48</definedName>
    <definedName name="OSRRefT22_6x_0" localSheetId="85">'418'!$T$48</definedName>
    <definedName name="OSRRefT22_6x_0" localSheetId="87">'424'!$T$38</definedName>
    <definedName name="OSRRefT22_6x_0" localSheetId="88">'425'!$T$47</definedName>
    <definedName name="OSRRefT22_6x_0" localSheetId="91">'430'!$T$40</definedName>
    <definedName name="OSRRefT22_6x_0" localSheetId="92">'433'!$T$50</definedName>
    <definedName name="OSRRefT22_6x_0" localSheetId="93">'435'!$T$40</definedName>
    <definedName name="OSRRefT22_6x_0" localSheetId="94">'444'!$T$50</definedName>
    <definedName name="OSRRefT22_6x_0" localSheetId="95">'450'!$T$49</definedName>
    <definedName name="OSRRefT22_6x_0" localSheetId="76">'491'!$T$59</definedName>
    <definedName name="OSRRefT22_6x_0" localSheetId="90">'492'!$T$53</definedName>
    <definedName name="OSRRefT22_6x_0" localSheetId="97">'501'!$T$45</definedName>
    <definedName name="OSRRefT22_6x_0" localSheetId="39">'Div 2'!$T$47</definedName>
    <definedName name="OSRRefT22_6x_0" localSheetId="47">'Div 3'!$T$184:$T$185</definedName>
    <definedName name="OSRRefT22_6x_0" localSheetId="74">'Div 4'!$T$60</definedName>
    <definedName name="OSRRefT22_6x_0" localSheetId="96">'Div 5'!$T$45</definedName>
    <definedName name="OSRRefT22_6x_0" localSheetId="65">'Div 6'!$T$80</definedName>
    <definedName name="OSRRefT22_6x_0" localSheetId="2">Summary!$T$216:$T$217</definedName>
    <definedName name="OSRRefT22_7x_0" localSheetId="41">'201'!$T$43</definedName>
    <definedName name="OSRRefT22_7x_0" localSheetId="42">'202'!$T$45:$T$46</definedName>
    <definedName name="OSRRefT22_7x_0" localSheetId="43">'203'!$T$45</definedName>
    <definedName name="OSRRefT22_7x_0" localSheetId="44">'204'!$T$49</definedName>
    <definedName name="OSRRefT22_7x_0" localSheetId="48">'300'!$T$182</definedName>
    <definedName name="OSRRefT22_7x_0" localSheetId="49">'300 &amp; 317'!$T$206</definedName>
    <definedName name="OSRRefT22_7x_0" localSheetId="50">'301'!$T$50</definedName>
    <definedName name="OSRRefT22_7x_0" localSheetId="53">'307'!$T$83</definedName>
    <definedName name="OSRRefT22_7x_0" localSheetId="55">'308'!$T$85</definedName>
    <definedName name="OSRRefT22_7x_0" localSheetId="68">'309'!$T$48:$T$49</definedName>
    <definedName name="OSRRefT22_7x_0" localSheetId="67">'310'!$T$57</definedName>
    <definedName name="OSRRefT22_7x_0" localSheetId="75">'310 &amp; 491'!$T$67</definedName>
    <definedName name="OSRRefT22_7x_0" localSheetId="56">'311'!$T$84</definedName>
    <definedName name="OSRRefT22_7x_0" localSheetId="69">'313'!$T$52</definedName>
    <definedName name="OSRRefT22_7x_0" localSheetId="60">'315'!$T$96:$T$97</definedName>
    <definedName name="OSRRefT22_7x_0" localSheetId="63">'316'!$T$56</definedName>
    <definedName name="OSRRefT22_7x_0" localSheetId="66">'317'!$T$82</definedName>
    <definedName name="OSRRefT22_7x_0" localSheetId="70">'321'!$T$50:$T$51</definedName>
    <definedName name="OSRRefT22_7x_0" localSheetId="71">'322'!$T$47</definedName>
    <definedName name="OSRRefT22_7x_0" localSheetId="72">'325'!$T$50</definedName>
    <definedName name="OSRRefT22_7x_0" localSheetId="61">'326'!$T$80</definedName>
    <definedName name="OSRRefT22_7x_0" localSheetId="52">'330'!$T$97</definedName>
    <definedName name="OSRRefT22_7x_0" localSheetId="59">'331'!$T$103</definedName>
    <definedName name="OSRRefT22_7x_0" localSheetId="62">'332'!$T$65</definedName>
    <definedName name="OSRRefT22_7x_0" localSheetId="77">'405'!$T$48</definedName>
    <definedName name="OSRRefT22_7x_0" localSheetId="78">'406'!$T$49</definedName>
    <definedName name="OSRRefT22_7x_0" localSheetId="79">'411'!$T$49</definedName>
    <definedName name="OSRRefT22_7x_0" localSheetId="80">'412'!$T$49</definedName>
    <definedName name="OSRRefT22_7x_0" localSheetId="82">'413'!$T$47:$T$48</definedName>
    <definedName name="OSRRefT22_7x_0" localSheetId="83">'414'!$T$47</definedName>
    <definedName name="OSRRefT22_7x_0" localSheetId="84">'415'!$T$50</definedName>
    <definedName name="OSRRefT22_7x_0" localSheetId="85">'418'!$T$50</definedName>
    <definedName name="OSRRefT22_7x_0" localSheetId="87">'424'!$T$40</definedName>
    <definedName name="OSRRefT22_7x_0" localSheetId="88">'425'!$T$49</definedName>
    <definedName name="OSRRefT22_7x_0" localSheetId="92">'433'!$T$52</definedName>
    <definedName name="OSRRefT22_7x_0" localSheetId="94">'444'!$T$52</definedName>
    <definedName name="OSRRefT22_7x_0" localSheetId="95">'450'!$T$51</definedName>
    <definedName name="OSRRefT22_7x_0" localSheetId="76">'491'!$T$61</definedName>
    <definedName name="OSRRefT22_7x_0" localSheetId="90">'492'!$T$55</definedName>
    <definedName name="OSRRefT22_7x_0" localSheetId="97">'501'!$T$47:$T$48</definedName>
    <definedName name="OSRRefT22_7x_0" localSheetId="39">'Div 2'!$T$49</definedName>
    <definedName name="OSRRefT22_7x_0" localSheetId="47">'Div 3'!$T$187</definedName>
    <definedName name="OSRRefT22_7x_0" localSheetId="74">'Div 4'!$T$62</definedName>
    <definedName name="OSRRefT22_7x_0" localSheetId="96">'Div 5'!$T$47:$T$48</definedName>
    <definedName name="OSRRefT22_7x_0" localSheetId="65">'Div 6'!$T$82</definedName>
    <definedName name="OSRRefT22_7x_0" localSheetId="2">Summary!$T$219</definedName>
    <definedName name="OSRRefT22_8x_0" localSheetId="41">'201'!$T$45:$T$46</definedName>
    <definedName name="OSRRefT22_8x_0" localSheetId="42">'202'!$T$48</definedName>
    <definedName name="OSRRefT22_8x_0" localSheetId="43">'203'!$T$47</definedName>
    <definedName name="OSRRefT22_8x_0" localSheetId="44">'204'!$T$51</definedName>
    <definedName name="OSRRefT22_8x_0" localSheetId="48">'300'!$T$184</definedName>
    <definedName name="OSRRefT22_8x_0" localSheetId="49">'300 &amp; 317'!$T$208</definedName>
    <definedName name="OSRRefT22_8x_0" localSheetId="50">'301'!$T$52</definedName>
    <definedName name="OSRRefT22_8x_0" localSheetId="53">'307'!$T$85:$T$86</definedName>
    <definedName name="OSRRefT22_8x_0" localSheetId="55">'308'!$T$87</definedName>
    <definedName name="OSRRefT22_8x_0" localSheetId="68">'309'!$T$51:$T$52</definedName>
    <definedName name="OSRRefT22_8x_0" localSheetId="67">'310'!$T$59</definedName>
    <definedName name="OSRRefT22_8x_0" localSheetId="75">'310 &amp; 491'!$T$69</definedName>
    <definedName name="OSRRefT22_8x_0" localSheetId="56">'311'!$T$86</definedName>
    <definedName name="OSRRefT22_8x_0" localSheetId="69">'313'!$T$54</definedName>
    <definedName name="OSRRefT22_8x_0" localSheetId="60">'315'!$T$99:$T$102</definedName>
    <definedName name="OSRRefT22_8x_0" localSheetId="63">'316'!$T$58:$T$62</definedName>
    <definedName name="OSRRefT22_8x_0" localSheetId="66">'317'!$T$84</definedName>
    <definedName name="OSRRefT22_8x_0" localSheetId="70">'321'!$T$53:$T$56</definedName>
    <definedName name="OSRRefT22_8x_0" localSheetId="71">'322'!$T$49:$T$50</definedName>
    <definedName name="OSRRefT22_8x_0" localSheetId="72">'325'!$T$52</definedName>
    <definedName name="OSRRefT22_8x_0" localSheetId="61">'326'!$T$82</definedName>
    <definedName name="OSRRefT22_8x_0" localSheetId="52">'330'!$T$99:$T$100</definedName>
    <definedName name="OSRRefT22_8x_0" localSheetId="59">'331'!$T$105</definedName>
    <definedName name="OSRRefT22_8x_0" localSheetId="62">'332'!$T$67</definedName>
    <definedName name="OSRRefT22_8x_0" localSheetId="77">'405'!$T$50</definedName>
    <definedName name="OSRRefT22_8x_0" localSheetId="78">'406'!$T$51:$T$52</definedName>
    <definedName name="OSRRefT22_8x_0" localSheetId="79">'411'!$T$51</definedName>
    <definedName name="OSRRefT22_8x_0" localSheetId="80">'412'!$T$51:$T$52</definedName>
    <definedName name="OSRRefT22_8x_0" localSheetId="82">'413'!$T$50:$T$51</definedName>
    <definedName name="OSRRefT22_8x_0" localSheetId="83">'414'!$T$49:$T$50</definedName>
    <definedName name="OSRRefT22_8x_0" localSheetId="84">'415'!$T$52</definedName>
    <definedName name="OSRRefT22_8x_0" localSheetId="85">'418'!$T$52:$T$53</definedName>
    <definedName name="OSRRefT22_8x_0" localSheetId="87">'424'!$T$42:$T$43</definedName>
    <definedName name="OSRRefT22_8x_0" localSheetId="88">'425'!$T$51</definedName>
    <definedName name="OSRRefT22_8x_0" localSheetId="92">'433'!$T$54</definedName>
    <definedName name="OSRRefT22_8x_0" localSheetId="94">'444'!$T$54</definedName>
    <definedName name="OSRRefT22_8x_0" localSheetId="95">'450'!$T$53</definedName>
    <definedName name="OSRRefT22_8x_0" localSheetId="76">'491'!$T$63:$T$64</definedName>
    <definedName name="OSRRefT22_8x_0" localSheetId="90">'492'!$T$57</definedName>
    <definedName name="OSRRefT22_8x_0" localSheetId="97">'501'!$T$50</definedName>
    <definedName name="OSRRefT22_8x_0" localSheetId="39">'Div 2'!$T$51</definedName>
    <definedName name="OSRRefT22_8x_0" localSheetId="47">'Div 3'!$T$189</definedName>
    <definedName name="OSRRefT22_8x_0" localSheetId="74">'Div 4'!$T$64</definedName>
    <definedName name="OSRRefT22_8x_0" localSheetId="96">'Div 5'!$T$50</definedName>
    <definedName name="OSRRefT22_8x_0" localSheetId="65">'Div 6'!$T$84</definedName>
    <definedName name="OSRRefT22_8x_0" localSheetId="2">Summary!$T$221</definedName>
    <definedName name="OSRRefT22_9x_0" localSheetId="41">'201'!$T$48:$T$49</definedName>
    <definedName name="OSRRefT22_9x_0" localSheetId="42">'202'!$T$50:$T$52</definedName>
    <definedName name="OSRRefT22_9x_0" localSheetId="43">'203'!$T$49:$T$50</definedName>
    <definedName name="OSRRefT22_9x_0" localSheetId="48">'300'!$T$186</definedName>
    <definedName name="OSRRefT22_9x_0" localSheetId="49">'300 &amp; 317'!$T$210</definedName>
    <definedName name="OSRRefT22_9x_0" localSheetId="50">'301'!$T$54</definedName>
    <definedName name="OSRRefT22_9x_0" localSheetId="53">'307'!$T$88:$T$90</definedName>
    <definedName name="OSRRefT22_9x_0" localSheetId="55">'308'!$T$89</definedName>
    <definedName name="OSRRefT22_9x_0" localSheetId="68">'309'!$T$54:$T$56</definedName>
    <definedName name="OSRRefT22_9x_0" localSheetId="67">'310'!$T$61</definedName>
    <definedName name="OSRRefT22_9x_0" localSheetId="75">'310 &amp; 491'!$T$71</definedName>
    <definedName name="OSRRefT22_9x_0" localSheetId="56">'311'!$T$88</definedName>
    <definedName name="OSRRefT22_9x_0" localSheetId="69">'313'!$T$56</definedName>
    <definedName name="OSRRefT22_9x_0" localSheetId="60">'315'!$T$104</definedName>
    <definedName name="OSRRefT22_9x_0" localSheetId="63">'316'!$T$64</definedName>
    <definedName name="OSRRefT22_9x_0" localSheetId="66">'317'!$T$86:$T$88</definedName>
    <definedName name="OSRRefT22_9x_0" localSheetId="70">'321'!$T$58</definedName>
    <definedName name="OSRRefT22_9x_0" localSheetId="71">'322'!$T$52:$T$54</definedName>
    <definedName name="OSRRefT22_9x_0" localSheetId="72">'325'!$T$54</definedName>
    <definedName name="OSRRefT22_9x_0" localSheetId="61">'326'!$T$84</definedName>
    <definedName name="OSRRefT22_9x_0" localSheetId="52">'330'!$T$102</definedName>
    <definedName name="OSRRefT22_9x_0" localSheetId="59">'331'!$T$107</definedName>
    <definedName name="OSRRefT22_9x_0" localSheetId="62">'332'!$T$69:$T$74</definedName>
    <definedName name="OSRRefT22_9x_0" localSheetId="77">'405'!$T$52:$T$53</definedName>
    <definedName name="OSRRefT22_9x_0" localSheetId="78">'406'!$T$54</definedName>
    <definedName name="OSRRefT22_9x_0" localSheetId="79">'411'!$T$53:$T$54</definedName>
    <definedName name="OSRRefT22_9x_0" localSheetId="80">'412'!$T$54:$T$55</definedName>
    <definedName name="OSRRefT22_9x_0" localSheetId="82">'413'!$T$53:$T$56</definedName>
    <definedName name="OSRRefT22_9x_0" localSheetId="83">'414'!$T$52</definedName>
    <definedName name="OSRRefT22_9x_0" localSheetId="84">'415'!$T$54</definedName>
    <definedName name="OSRRefT22_9x_0" localSheetId="85">'418'!$T$55:$T$56</definedName>
    <definedName name="OSRRefT22_9x_0" localSheetId="87">'424'!$T$45</definedName>
    <definedName name="OSRRefT22_9x_0" localSheetId="88">'425'!$T$53:$T$54</definedName>
    <definedName name="OSRRefT22_9x_0" localSheetId="92">'433'!$T$56</definedName>
    <definedName name="OSRRefT22_9x_0" localSheetId="94">'444'!$T$56</definedName>
    <definedName name="OSRRefT22_9x_0" localSheetId="95">'450'!$T$55</definedName>
    <definedName name="OSRRefT22_9x_0" localSheetId="76">'491'!$T$66</definedName>
    <definedName name="OSRRefT22_9x_0" localSheetId="90">'492'!$T$59</definedName>
    <definedName name="OSRRefT22_9x_0" localSheetId="39">'Div 2'!$T$53:$T$54</definedName>
    <definedName name="OSRRefT22_9x_0" localSheetId="47">'Div 3'!$T$191</definedName>
    <definedName name="OSRRefT22_9x_0" localSheetId="74">'Div 4'!$T$66:$T$67</definedName>
    <definedName name="OSRRefT22_9x_0" localSheetId="65">'Div 6'!$T$86:$T$88</definedName>
    <definedName name="OSRRefT22_9x_0" localSheetId="2">Summary!$T$223</definedName>
    <definedName name="OSRRefT22x_0" localSheetId="40">'200'!$T$20,'200'!$T$22,'200'!$T$24,'200'!$T$26</definedName>
    <definedName name="OSRRefT22x_0" localSheetId="41">'201'!$T$20:$T$27,'201'!$T$29:$T$31,'201'!$T$33,'201'!$T$35,'201'!$T$37,'201'!$T$39,'201'!$T$41,'201'!$T$43,'201'!$T$45:$T$46,'201'!$T$48:$T$49,'201'!$T$51,'201'!$T$53:$T$55,'201'!$T$57,'201'!$T$59</definedName>
    <definedName name="OSRRefT22x_0" localSheetId="42">'202'!$T$20:$T$27,'202'!$T$29:$T$32,'202'!$T$34,'202'!$T$36,'202'!$T$38:$T$39,'202'!$T$41,'202'!$T$43,'202'!$T$45:$T$46,'202'!$T$48,'202'!$T$50:$T$52,'202'!$T$54,'202'!$T$56</definedName>
    <definedName name="OSRRefT22x_0" localSheetId="43">'203'!$T$20:$T$28,'203'!$T$30:$T$33,'203'!$T$35,'203'!$T$37,'203'!$T$39,'203'!$T$41,'203'!$T$43,'203'!$T$45,'203'!$T$47,'203'!$T$49:$T$50,'203'!$T$52:$T$53,'203'!$T$55,'203'!$T$57:$T$60,'203'!$T$62,'203'!$T$64,'203'!$T$66</definedName>
    <definedName name="OSRRefT22x_0" localSheetId="44">'204'!$T$20:$T$28,'204'!$T$30:$T$34,'204'!$T$36,'204'!$T$38,'204'!$T$40:$T$42,'204'!$T$44,'204'!$T$46:$T$47,'204'!$T$49,'204'!$T$51</definedName>
    <definedName name="OSRRefT22x_0" localSheetId="45">'205'!$T$20:$T$27,'205'!$T$29,'205'!$T$31,'205'!$T$33:$T$34,'205'!$T$36,'205'!$T$38,'205'!$T$40</definedName>
    <definedName name="OSRRefT22x_0" localSheetId="46">'206'!$T$20:$T$26,'206'!$T$28:$T$31,'206'!$T$33,'206'!$T$35,'206'!$T$37:$T$38,'206'!$T$40,'206'!$T$42</definedName>
    <definedName name="OSRRefT22x_0" localSheetId="48">'300'!$T$151:$T$160,'300'!$T$162:$T$168,'300'!$T$170,'300'!$T$172,'300'!$T$174,'300'!$T$176:$T$177,'300'!$T$179:$T$180,'300'!$T$182,'300'!$T$184,'300'!$T$186,'300'!$T$188:$T$189,'300'!$T$191,'300'!$T$193,'300'!$T$195,'300'!$T$197,'300'!$T$199,'300'!$T$201:$T$204,'300'!$T$206:$T$208,'300'!$T$210:$T$213,'300'!$T$215:$T$216,'300'!$T$218:$T$224,'300'!$T$226:$T$227,'300'!$T$229,'300'!$T$231:$T$233,'300'!$T$235</definedName>
    <definedName name="OSRRefT22x_0" localSheetId="49">'300 &amp; 317'!$T$175:$T$184,'300 &amp; 317'!$T$186:$T$192,'300 &amp; 317'!$T$194,'300 &amp; 317'!$T$196,'300 &amp; 317'!$T$198,'300 &amp; 317'!$T$200:$T$201,'300 &amp; 317'!$T$203:$T$204,'300 &amp; 317'!$T$206,'300 &amp; 317'!$T$208,'300 &amp; 317'!$T$210,'300 &amp; 317'!$T$212:$T$213,'300 &amp; 317'!$T$215,'300 &amp; 317'!$T$217,'300 &amp; 317'!$T$219,'300 &amp; 317'!$T$221,'300 &amp; 317'!$T$223,'300 &amp; 317'!$T$225:$T$228,'300 &amp; 317'!$T$230:$T$232,'300 &amp; 317'!$T$234:$T$237,'300 &amp; 317'!$T$239:$T$240,'300 &amp; 317'!$T$242:$T$248,'300 &amp; 317'!$T$250:$T$251,'300 &amp; 317'!$T$253,'300 &amp; 317'!$T$255:$T$257,'300 &amp; 317'!$T$259</definedName>
    <definedName name="OSRRefT22x_0" localSheetId="50">'301'!$T$20:$T$28,'301'!$T$30:$T$36,'301'!$T$38,'301'!$T$40,'301'!$T$42,'301'!$T$44:$T$45,'301'!$T$47:$T$48,'301'!$T$50,'301'!$T$52,'301'!$T$54,'301'!$T$56,'301'!$T$58,'301'!$T$60,'301'!$T$62,'301'!$T$64,'301'!$T$66:$T$69,'301'!$T$71:$T$73,'301'!$T$75,'301'!$T$77:$T$82,'301'!$T$84,'301'!$T$86,'301'!$T$88:$T$89,'301'!$T$91</definedName>
    <definedName name="OSRRefT22x_0" localSheetId="51">'306'!$T$20:$T$28,'306'!$T$30:$T$35,'306'!$T$37,'306'!$T$39,'306'!$T$41</definedName>
    <definedName name="OSRRefT22x_0" localSheetId="53">'307'!$T$58:$T$65,'307'!$T$67:$T$70,'307'!$T$72,'307'!$T$74,'307'!$T$76:$T$77,'307'!$T$79,'307'!$T$81,'307'!$T$83,'307'!$T$85:$T$86,'307'!$T$88:$T$90,'307'!$T$92</definedName>
    <definedName name="OSRRefT22x_0" localSheetId="55">'308'!$T$57:$T$65,'308'!$T$67:$T$72,'308'!$T$74,'308'!$T$76:$T$77,'308'!$T$79,'308'!$T$81,'308'!$T$83,'308'!$T$85,'308'!$T$87,'308'!$T$89,'308'!$T$91,'308'!$T$93:$T$95,'308'!$T$97:$T$98,'308'!$T$100,'308'!$T$102</definedName>
    <definedName name="OSRRefT22x_0" localSheetId="68">'309'!$T$24:$T$31,'309'!$T$33:$T$36,'309'!$T$38,'309'!$T$40,'309'!$T$42,'309'!$T$44,'309'!$T$46,'309'!$T$48:$T$49,'309'!$T$51:$T$52,'309'!$T$54:$T$56,'309'!$T$58</definedName>
    <definedName name="OSRRefT22x_0" localSheetId="67">'310'!$T$30:$T$37,'310'!$T$39:$T$44,'310'!$T$46,'310'!$T$48,'310'!$T$50,'310'!$T$52:$T$53,'310'!$T$55,'310'!$T$57,'310'!$T$59,'310'!$T$61,'310'!$T$63,'310'!$T$65,'310'!$T$67,'310'!$T$69:$T$70,'310'!$T$72:$T$75,'310'!$T$77,'310'!$T$79:$T$84,'310'!$T$86,'310'!$T$88</definedName>
    <definedName name="OSRRefT22x_0" localSheetId="75">'310 &amp; 491'!$T$37:$T$45,'310 &amp; 491'!$T$47:$T$53,'310 &amp; 491'!$T$55,'310 &amp; 491'!$T$57,'310 &amp; 491'!$T$59,'310 &amp; 491'!$T$61:$T$63,'310 &amp; 491'!$T$65,'310 &amp; 491'!$T$67,'310 &amp; 491'!$T$69,'310 &amp; 491'!$T$71,'310 &amp; 491'!$T$73:$T$74,'310 &amp; 491'!$T$76,'310 &amp; 491'!$T$78,'310 &amp; 491'!$T$80,'310 &amp; 491'!$T$82,'310 &amp; 491'!$T$84:$T$85,'310 &amp; 491'!$T$87:$T$88,'310 &amp; 491'!$T$90:$T$94,'310 &amp; 491'!$T$96,'310 &amp; 491'!$T$98:$T$106,'310 &amp; 491'!$T$108,'310 &amp; 491'!$T$110,'310 &amp; 491'!$T$112:$T$114,'310 &amp; 491'!$T$116</definedName>
    <definedName name="OSRRefT22x_0" localSheetId="56">'311'!$T$56:$T$64,'311'!$T$66:$T$71,'311'!$T$73,'311'!$T$75:$T$76,'311'!$T$78,'311'!$T$80,'311'!$T$82,'311'!$T$84,'311'!$T$86,'311'!$T$88,'311'!$T$90,'311'!$T$92:$T$94,'311'!$T$96:$T$97,'311'!$T$99,'311'!$T$101</definedName>
    <definedName name="OSRRefT22x_0" localSheetId="69">'313'!$T$27:$T$34,'313'!$T$36:$T$40,'313'!$T$42,'313'!$T$44,'313'!$T$46,'313'!$T$48,'313'!$T$50,'313'!$T$52,'313'!$T$54,'313'!$T$56,'313'!$T$58:$T$61,'313'!$T$63</definedName>
    <definedName name="OSRRefT22x_0" localSheetId="54">'314'!$T$53:$T$59,'314'!$T$61:$T$62,'314'!$T$64:$T$65,'314'!$T$67,'314'!$T$69</definedName>
    <definedName name="OSRRefT22x_0" localSheetId="60">'315'!$T$71:$T$78,'315'!$T$80:$T$84,'315'!$T$86,'315'!$T$88,'315'!$T$90,'315'!$T$92,'315'!$T$94,'315'!$T$96:$T$97,'315'!$T$99:$T$102,'315'!$T$104,'315'!$T$106</definedName>
    <definedName name="OSRRefT22x_0" localSheetId="63">'316'!$T$32:$T$39,'316'!$T$41:$T$43,'316'!$T$45,'316'!$T$47,'316'!$T$49,'316'!$T$51:$T$52,'316'!$T$54,'316'!$T$56,'316'!$T$58:$T$62,'316'!$T$64,'316'!$T$66</definedName>
    <definedName name="OSRRefT22x_0" localSheetId="66">'317'!$T$55:$T$63,'317'!$T$65:$T$69,'317'!$T$71,'317'!$T$73,'317'!$T$75,'317'!$T$77:$T$78,'317'!$T$80,'317'!$T$82,'317'!$T$84,'317'!$T$86:$T$88,'317'!$T$90</definedName>
    <definedName name="OSRRefT22x_0" localSheetId="64">'320'!$T$28:$T$34,'320'!$T$36:$T$38,'320'!$T$40,'320'!$T$42:$T$43,'320'!$T$45,'320'!$T$47:$T$48,'320'!$T$50</definedName>
    <definedName name="OSRRefT22x_0" localSheetId="70">'321'!$T$24:$T$31,'321'!$T$33:$T$37,'321'!$T$39,'321'!$T$41,'321'!$T$43,'321'!$T$45,'321'!$T$47:$T$48,'321'!$T$50:$T$51,'321'!$T$53:$T$56,'321'!$T$58,'321'!$T$60</definedName>
    <definedName name="OSRRefT22x_0" localSheetId="71">'322'!$T$24:$T$31,'322'!$T$33:$T$35,'322'!$T$37,'322'!$T$39,'322'!$T$41,'322'!$T$43,'322'!$T$45,'322'!$T$47,'322'!$T$49:$T$50,'322'!$T$52:$T$54,'322'!$T$56:$T$60,'322'!$T$62,'322'!$T$64</definedName>
    <definedName name="OSRRefT22x_0" localSheetId="72">'325'!$T$24:$T$31,'325'!$T$33:$T$37,'325'!$T$39,'325'!$T$41,'325'!$T$43,'325'!$T$45:$T$46,'325'!$T$48,'325'!$T$50,'325'!$T$52,'325'!$T$54,'325'!$T$56:$T$57,'325'!$T$59:$T$61,'325'!$T$63,'325'!$T$65:$T$68,'325'!$T$70,'325'!$T$72</definedName>
    <definedName name="OSRRefT22x_0" localSheetId="61">'326'!$T$55:$T$62,'326'!$T$64:$T$68,'326'!$T$70,'326'!$T$72,'326'!$T$74,'326'!$T$76,'326'!$T$78,'326'!$T$80,'326'!$T$82,'326'!$T$84,'326'!$T$86,'326'!$T$88:$T$90,'326'!$T$92,'326'!$T$94:$T$95,'326'!$T$97,'326'!$T$99,'326'!$T$101</definedName>
    <definedName name="OSRRefT22x_0" localSheetId="73">'327'!$T$22</definedName>
    <definedName name="OSRRefT22x_0" localSheetId="52">'330'!$T$72:$T$79,'330'!$T$81:$T$84,'330'!$T$86,'330'!$T$88,'330'!$T$90:$T$91,'330'!$T$93,'330'!$T$95,'330'!$T$97,'330'!$T$99:$T$100,'330'!$T$102,'330'!$T$104:$T$106,'330'!$T$108</definedName>
    <definedName name="OSRRefT22x_0" localSheetId="59">'331'!$T$78:$T$85,'331'!$T$87:$T$91,'331'!$T$93,'331'!$T$95,'331'!$T$97,'331'!$T$99,'331'!$T$101,'331'!$T$103,'331'!$T$105,'331'!$T$107,'331'!$T$109,'331'!$T$111,'331'!$T$113:$T$114,'331'!$T$116:$T$118,'331'!$T$120,'331'!$T$122:$T$126,'331'!$T$128,'331'!$T$130,'331'!$T$132,'331'!$T$134</definedName>
    <definedName name="OSRRefT22x_0" localSheetId="62">'332'!$T$40:$T$47,'332'!$T$49:$T$52,'332'!$T$54,'332'!$T$56,'332'!$T$58,'332'!$T$60:$T$61,'332'!$T$63,'332'!$T$65,'332'!$T$67,'332'!$T$69:$T$74,'332'!$T$76,'332'!$T$78</definedName>
    <definedName name="OSRRefT22x_0" localSheetId="77">'405'!$T$24:$T$31,'405'!$T$33:$T$35,'405'!$T$37,'405'!$T$39,'405'!$T$41,'405'!$T$43:$T$44,'405'!$T$46,'405'!$T$48,'405'!$T$50,'405'!$T$52:$T$53,'405'!$T$55,'405'!$T$57:$T$59,'405'!$T$61,'405'!$T$63:$T$69,'405'!$T$71,'405'!$T$73,'405'!$T$75</definedName>
    <definedName name="OSRRefT22x_0" localSheetId="78">'406'!$T$24:$T$31,'406'!$T$33:$T$37,'406'!$T$39,'406'!$T$41,'406'!$T$43,'406'!$T$45,'406'!$T$47,'406'!$T$49,'406'!$T$51:$T$52,'406'!$T$54,'406'!$T$56:$T$60,'406'!$T$62,'406'!$T$64</definedName>
    <definedName name="OSRRefT22x_0" localSheetId="79">'411'!$T$20:$T$28,'411'!$T$30:$T$35,'411'!$T$37,'411'!$T$39,'411'!$T$41:$T$43,'411'!$T$45,'411'!$T$47,'411'!$T$49,'411'!$T$51,'411'!$T$53:$T$54,'411'!$T$56:$T$60,'411'!$T$62:$T$65,'411'!$T$67,'411'!$T$69,'411'!$T$71:$T$73,'411'!$T$75</definedName>
    <definedName name="OSRRefT22x_0" localSheetId="80">'412'!$T$23:$T$30,'412'!$T$32:$T$37,'412'!$T$39,'412'!$T$41,'412'!$T$43,'412'!$T$45,'412'!$T$47,'412'!$T$49,'412'!$T$51:$T$52,'412'!$T$54:$T$55,'412'!$T$57:$T$61,'412'!$T$63,'412'!$T$65</definedName>
    <definedName name="OSRRefT22x_0" localSheetId="82">'413'!$T$24:$T$31,'413'!$T$33:$T$35,'413'!$T$37,'413'!$T$39,'413'!$T$41,'413'!$T$43,'413'!$T$45,'413'!$T$47:$T$48,'413'!$T$50:$T$51,'413'!$T$53:$T$56,'413'!$T$58</definedName>
    <definedName name="OSRRefT22x_0" localSheetId="83">'414'!$T$24:$T$30,'414'!$T$32:$T$35,'414'!$T$37,'414'!$T$39,'414'!$T$41,'414'!$T$43,'414'!$T$45,'414'!$T$47,'414'!$T$49:$T$50,'414'!$T$52,'414'!$T$54,'414'!$T$56,'414'!$T$58:$T$64,'414'!$T$66</definedName>
    <definedName name="OSRRefT22x_0" localSheetId="84">'415'!$T$24:$T$31,'415'!$T$33:$T$37,'415'!$T$39,'415'!$T$41,'415'!$T$43,'415'!$T$45:$T$46,'415'!$T$48,'415'!$T$50,'415'!$T$52,'415'!$T$54,'415'!$T$56,'415'!$T$58:$T$59,'415'!$T$61:$T$65,'415'!$T$67,'415'!$T$69:$T$75,'415'!$T$77,'415'!$T$79</definedName>
    <definedName name="OSRRefT22x_0" localSheetId="85">'418'!$T$24:$T$31,'418'!$T$33:$T$37,'418'!$T$39,'418'!$T$41,'418'!$T$43,'418'!$T$45:$T$46,'418'!$T$48,'418'!$T$50,'418'!$T$52:$T$53,'418'!$T$55:$T$56,'418'!$T$58:$T$60,'418'!$T$62,'418'!$T$64:$T$67,'418'!$T$69,'418'!$T$71</definedName>
    <definedName name="OSRRefT22x_0" localSheetId="86">'423'!$T$21:$T$28,'423'!$T$30,'423'!$T$32,'423'!$T$34,'423'!$T$36,'423'!$T$38</definedName>
    <definedName name="OSRRefT22x_0" localSheetId="87">'424'!$T$23,'424'!$T$25:$T$28,'424'!$T$30,'424'!$T$32,'424'!$T$34,'424'!$T$36,'424'!$T$38,'424'!$T$40,'424'!$T$42:$T$43,'424'!$T$45,'424'!$T$47,'424'!$T$49</definedName>
    <definedName name="OSRRefT22x_0" localSheetId="88">'425'!$T$24:$T$31,'425'!$T$33:$T$37,'425'!$T$39,'425'!$T$41,'425'!$T$43,'425'!$T$45,'425'!$T$47,'425'!$T$49,'425'!$T$51,'425'!$T$53:$T$54,'425'!$T$56,'425'!$T$58:$T$59,'425'!$T$61:$T$63,'425'!$T$65,'425'!$T$67</definedName>
    <definedName name="OSRRefT22x_0" localSheetId="91">'430'!$T$20:$T$27,'430'!$T$29,'430'!$T$31,'430'!$T$33:$T$34,'430'!$T$36,'430'!$T$38,'430'!$T$40</definedName>
    <definedName name="OSRRefT22x_0" localSheetId="92">'433'!$T$25:$T$33,'433'!$T$35:$T$40,'433'!$T$42,'433'!$T$44,'433'!$T$46,'433'!$T$48,'433'!$T$50,'433'!$T$52,'433'!$T$54,'433'!$T$56,'433'!$T$58,'433'!$T$60:$T$62,'433'!$T$64:$T$70,'433'!$T$72,'433'!$T$74,'433'!$T$76</definedName>
    <definedName name="OSRRefT22x_0" localSheetId="93">'435'!$T$24:$T$26,'435'!$T$28:$T$29,'435'!$T$31,'435'!$T$33,'435'!$T$35,'435'!$T$37:$T$38,'435'!$T$40</definedName>
    <definedName name="OSRRefT22x_0" localSheetId="94">'444'!$T$25:$T$33,'444'!$T$35:$T$40,'444'!$T$42,'444'!$T$44,'444'!$T$46,'444'!$T$48,'444'!$T$50,'444'!$T$52,'444'!$T$54,'444'!$T$56,'444'!$T$58,'444'!$T$60,'444'!$T$62:$T$64,'444'!$T$66:$T$73,'444'!$T$75,'444'!$T$77,'444'!$T$79</definedName>
    <definedName name="OSRRefT22x_0" localSheetId="95">'450'!$T$24:$T$32,'450'!$T$34:$T$39,'450'!$T$41,'450'!$T$43,'450'!$T$45,'450'!$T$47,'450'!$T$49,'450'!$T$51,'450'!$T$53,'450'!$T$55,'450'!$T$57:$T$59,'450'!$T$61:$T$66,'450'!$T$68,'450'!$T$70,'450'!$T$72</definedName>
    <definedName name="OSRRefT22x_0" localSheetId="89">'455'!$T$20:$T$26,'455'!$T$28:$T$29</definedName>
    <definedName name="OSRRefT22x_0" localSheetId="76">'491'!$T$31:$T$39,'491'!$T$41:$T$47,'491'!$T$49,'491'!$T$51,'491'!$T$53,'491'!$T$55:$T$57,'491'!$T$59,'491'!$T$61,'491'!$T$63:$T$64,'491'!$T$66,'491'!$T$68,'491'!$T$70,'491'!$T$72,'491'!$T$74:$T$75,'491'!$T$77:$T$78,'491'!$T$80:$T$84,'491'!$T$86,'491'!$T$88:$T$96,'491'!$T$98,'491'!$T$100,'491'!$T$102:$T$104,'491'!$T$106</definedName>
    <definedName name="OSRRefT22x_0" localSheetId="90">'492'!$T$27:$T$35,'492'!$T$37:$T$43,'492'!$T$45,'492'!$T$47,'492'!$T$49,'492'!$T$51,'492'!$T$53,'492'!$T$55,'492'!$T$57,'492'!$T$59,'492'!$T$61,'492'!$T$63,'492'!$T$65,'492'!$T$67:$T$69,'492'!$T$71:$T$78,'492'!$T$80,'492'!$T$82,'492'!$T$84</definedName>
    <definedName name="OSRRefT22x_0" localSheetId="97">'501'!$T$21:$T$29,'501'!$T$31:$T$35,'501'!$T$37,'501'!$T$39,'501'!$T$41,'501'!$T$43,'501'!$T$45,'501'!$T$47:$T$48,'501'!$T$50</definedName>
    <definedName name="OSRRefT22x_0" localSheetId="39">'Div 2'!$T$20:$T$29,'Div 2'!$T$31:$T$37,'Div 2'!$T$39,'Div 2'!$T$41,'Div 2'!$T$43,'Div 2'!$T$45,'Div 2'!$T$47,'Div 2'!$T$49,'Div 2'!$T$51,'Div 2'!$T$53:$T$54,'Div 2'!$T$56,'Div 2'!$T$58,'Div 2'!$T$60:$T$63,'Div 2'!$T$65:$T$67,'Div 2'!$T$69:$T$70,'Div 2'!$T$72,'Div 2'!$T$74:$T$78,'Div 2'!$T$80:$T$81,'Div 2'!$T$83,'Div 2'!$T$85:$T$86</definedName>
    <definedName name="OSRRefT22x_0" localSheetId="47">'Div 3'!$T$156:$T$165,'Div 3'!$T$167:$T$173,'Div 3'!$T$175,'Div 3'!$T$177,'Div 3'!$T$179,'Div 3'!$T$181:$T$182,'Div 3'!$T$184:$T$185,'Div 3'!$T$187,'Div 3'!$T$189,'Div 3'!$T$191,'Div 3'!$T$193:$T$194,'Div 3'!$T$196,'Div 3'!$T$198,'Div 3'!$T$200,'Div 3'!$T$202,'Div 3'!$T$204,'Div 3'!$T$206,'Div 3'!$T$208:$T$211,'Div 3'!$T$213:$T$215,'Div 3'!$T$217:$T$221,'Div 3'!$T$223:$T$224,'Div 3'!$T$226:$T$232,'Div 3'!$T$234:$T$235,'Div 3'!$T$237,'Div 3'!$T$239:$T$241,'Div 3'!$T$243</definedName>
    <definedName name="OSRRefT22x_0" localSheetId="74">'Div 4'!$T$32:$T$40,'Div 4'!$T$42:$T$48,'Div 4'!$T$50,'Div 4'!$T$52,'Div 4'!$T$54,'Div 4'!$T$56:$T$58,'Div 4'!$T$60,'Div 4'!$T$62,'Div 4'!$T$64,'Div 4'!$T$66:$T$67,'Div 4'!$T$69,'Div 4'!$T$71,'Div 4'!$T$73,'Div 4'!$T$75,'Div 4'!$T$77,'Div 4'!$T$79:$T$80,'Div 4'!$T$82:$T$83,'Div 4'!$T$85:$T$89,'Div 4'!$T$91,'Div 4'!$T$93:$T$101,'Div 4'!$T$103,'Div 4'!$T$105,'Div 4'!$T$107:$T$109,'Div 4'!$T$111</definedName>
    <definedName name="OSRRefT22x_0" localSheetId="96">'Div 5'!$T$21:$T$29,'Div 5'!$T$31:$T$35,'Div 5'!$T$37,'Div 5'!$T$39,'Div 5'!$T$41,'Div 5'!$T$43,'Div 5'!$T$45,'Div 5'!$T$47:$T$48,'Div 5'!$T$50</definedName>
    <definedName name="OSRRefT22x_0" localSheetId="65">'Div 6'!$T$55:$T$63,'Div 6'!$T$65:$T$69,'Div 6'!$T$71,'Div 6'!$T$73,'Div 6'!$T$75,'Div 6'!$T$77:$T$78,'Div 6'!$T$80,'Div 6'!$T$82,'Div 6'!$T$84,'Div 6'!$T$86:$T$88,'Div 6'!$T$90</definedName>
    <definedName name="OSRRefT22x_0" localSheetId="2">Summary!$T$187:$T$196,Summary!$T$198:$T$204,Summary!$T$206,Summary!$T$208,Summary!$T$210,Summary!$T$212:$T$214,Summary!$T$216:$T$217,Summary!$T$219,Summary!$T$221,Summary!$T$223,Summary!$T$225:$T$226,Summary!$T$228:$T$229,Summary!$T$231,Summary!$T$233,Summary!$T$235,Summary!$T$237,Summary!$T$239,Summary!$T$241,Summary!$T$243:$T$246,Summary!$T$248:$T$250,Summary!$T$252:$T$256,Summary!$T$258:$T$259,Summary!$T$261:$T$269,Summary!$T$271:$T$272,Summary!$T$274,Summary!$T$276:$T$278,Summary!$T$280</definedName>
    <definedName name="OSRRefT25x_0" localSheetId="48">'300'!$T$238:$T$245</definedName>
    <definedName name="OSRRefT25x_0" localSheetId="49">'300 &amp; 317'!$T$262:$T$271</definedName>
    <definedName name="OSRRefT25x_0" localSheetId="50">'301'!$T$94:$T$95</definedName>
    <definedName name="OSRRefT25x_0" localSheetId="55">'308'!$T$105:$T$106</definedName>
    <definedName name="OSRRefT25x_0" localSheetId="75">'310 &amp; 491'!$T$119:$T$121</definedName>
    <definedName name="OSRRefT25x_0" localSheetId="56">'311'!$T$104:$T$105</definedName>
    <definedName name="OSRRefT25x_0" localSheetId="60">'315'!$T$109:$T$110</definedName>
    <definedName name="OSRRefT25x_0" localSheetId="63">'316'!$T$69</definedName>
    <definedName name="OSRRefT25x_0" localSheetId="66">'317'!$T$93:$T$95</definedName>
    <definedName name="OSRRefT25x_0" localSheetId="64">'320'!$T$53:$T$56</definedName>
    <definedName name="OSRRefT25x_0" localSheetId="59">'331'!$T$137:$T$138</definedName>
    <definedName name="OSRRefT25x_0" localSheetId="62">'332'!$T$81:$T$85</definedName>
    <definedName name="OSRRefT25x_0" localSheetId="79">'411'!$T$78:$T$79</definedName>
    <definedName name="OSRRefT25x_0" localSheetId="82">'413'!$T$61</definedName>
    <definedName name="OSRRefT25x_0" localSheetId="85">'418'!$T$74</definedName>
    <definedName name="OSRRefT25x_0" localSheetId="86">'423'!$T$41</definedName>
    <definedName name="OSRRefT25x_0" localSheetId="87">'424'!$T$52</definedName>
    <definedName name="OSRRefT25x_0" localSheetId="88">'425'!$T$70</definedName>
    <definedName name="OSRRefT25x_0" localSheetId="89">'455'!$T$32:$T$33</definedName>
    <definedName name="OSRRefT25x_0" localSheetId="76">'491'!$T$109:$T$111</definedName>
    <definedName name="OSRRefT25x_0" localSheetId="97">'501'!$T$53</definedName>
    <definedName name="OSRRefT25x_0" localSheetId="47">'Div 3'!$T$246:$T$253</definedName>
    <definedName name="OSRRefT25x_0" localSheetId="74">'Div 4'!$T$114:$T$116</definedName>
    <definedName name="OSRRefT25x_0" localSheetId="96">'Div 5'!$T$53</definedName>
    <definedName name="OSRRefT25x_0" localSheetId="65">'Div 6'!$T$93:$T$95</definedName>
    <definedName name="OSRRefT25x_0" localSheetId="2">Summary!$T$283:$T$293</definedName>
    <definedName name="_xlnm.Print_Area" localSheetId="38">'100'!$A$1:$Z$34</definedName>
    <definedName name="_xlnm.Print_Area" localSheetId="40">'200'!$A$1:$Z$40</definedName>
    <definedName name="_xlnm.Print_Area" localSheetId="41">'201'!$A$1:$Z$73</definedName>
    <definedName name="_xlnm.Print_Area" localSheetId="42">'202'!$A$1:$Z$70</definedName>
    <definedName name="_xlnm.Print_Area" localSheetId="43">'203'!$A$1:$Z$80</definedName>
    <definedName name="_xlnm.Print_Area" localSheetId="44">'204'!$A$1:$Z$65</definedName>
    <definedName name="_xlnm.Print_Area" localSheetId="45">'205'!$A$1:$Z$54</definedName>
    <definedName name="_xlnm.Print_Area" localSheetId="46">'206'!$A$1:$Z$56</definedName>
    <definedName name="_xlnm.Print_Area" localSheetId="48">'300'!$A$1:$Z$257</definedName>
    <definedName name="_xlnm.Print_Area" localSheetId="49">'300 &amp; 317'!$A$1:$Z$283</definedName>
    <definedName name="_xlnm.Print_Area" localSheetId="50">'301'!$A$1:$Z$107</definedName>
    <definedName name="_xlnm.Print_Area" localSheetId="51">'306'!$A$1:$Z$55</definedName>
    <definedName name="_xlnm.Print_Area" localSheetId="53">'307'!$A$1:$Z$106</definedName>
    <definedName name="_xlnm.Print_Area" localSheetId="55">'308'!$A$1:$Z$118</definedName>
    <definedName name="_xlnm.Print_Area" localSheetId="68">'309'!$A$1:$Z$72</definedName>
    <definedName name="_xlnm.Print_Area" localSheetId="67">'310'!$A$1:$Z$102</definedName>
    <definedName name="_xlnm.Print_Area" localSheetId="75">'310 &amp; 491'!$A$1:$Z$133</definedName>
    <definedName name="_xlnm.Print_Area" localSheetId="56">'311'!$A$1:$Z$117</definedName>
    <definedName name="_xlnm.Print_Area" localSheetId="58">'312'!$A$1:$Z$32</definedName>
    <definedName name="_xlnm.Print_Area" localSheetId="69">'313'!$A$1:$Z$77</definedName>
    <definedName name="_xlnm.Print_Area" localSheetId="54">'314'!$A$1:$Z$83</definedName>
    <definedName name="_xlnm.Print_Area" localSheetId="60">'315'!$A$1:$Z$122</definedName>
    <definedName name="_xlnm.Print_Area" localSheetId="63">'316'!$A$1:$Z$81</definedName>
    <definedName name="_xlnm.Print_Area" localSheetId="66">'317'!$A$1:$Z$107</definedName>
    <definedName name="_xlnm.Print_Area" localSheetId="64">'320'!$A$1:$Z$68</definedName>
    <definedName name="_xlnm.Print_Area" localSheetId="70">'321'!$A$1:$Z$74</definedName>
    <definedName name="_xlnm.Print_Area" localSheetId="71">'322'!$A$1:$Z$78</definedName>
    <definedName name="_xlnm.Print_Area" localSheetId="57">'324'!$A$1:$Z$37</definedName>
    <definedName name="_xlnm.Print_Area" localSheetId="72">'325'!$A$1:$Z$86</definedName>
    <definedName name="_xlnm.Print_Area" localSheetId="61">'326'!$A$1:$Z$115</definedName>
    <definedName name="_xlnm.Print_Area" localSheetId="73">'327'!$A$1:$Z$36</definedName>
    <definedName name="_xlnm.Print_Area" localSheetId="52">'330'!$A$1:$Z$122</definedName>
    <definedName name="_xlnm.Print_Area" localSheetId="59">'331'!$A$1:$Z$150</definedName>
    <definedName name="_xlnm.Print_Area" localSheetId="62">'332'!$A$1:$Z$97</definedName>
    <definedName name="_xlnm.Print_Area" localSheetId="77">'405'!$A$1:$Z$89</definedName>
    <definedName name="_xlnm.Print_Area" localSheetId="78">'406'!$A$1:$Z$78</definedName>
    <definedName name="_xlnm.Print_Area" localSheetId="79">'411'!$A$1:$Z$91</definedName>
    <definedName name="_xlnm.Print_Area" localSheetId="80">'412'!$A$1:$Z$79</definedName>
    <definedName name="_xlnm.Print_Area" localSheetId="82">'413'!$A$1:$Z$73</definedName>
    <definedName name="_xlnm.Print_Area" localSheetId="83">'414'!$A$1:$Z$80</definedName>
    <definedName name="_xlnm.Print_Area" localSheetId="84">'415'!$A$1:$Z$93</definedName>
    <definedName name="_xlnm.Print_Area" localSheetId="85">'418'!$A$1:$Z$86</definedName>
    <definedName name="_xlnm.Print_Area" localSheetId="81">'420'!$A$1:$Z$32</definedName>
    <definedName name="_xlnm.Print_Area" localSheetId="86">'423'!$A$1:$Z$53</definedName>
    <definedName name="_xlnm.Print_Area" localSheetId="87">'424'!$A$1:$Z$64</definedName>
    <definedName name="_xlnm.Print_Area" localSheetId="88">'425'!$A$1:$Z$82</definedName>
    <definedName name="_xlnm.Print_Area" localSheetId="91">'430'!$A$1:$Z$54</definedName>
    <definedName name="_xlnm.Print_Area" localSheetId="92">'433'!$A$1:$Z$90</definedName>
    <definedName name="_xlnm.Print_Area" localSheetId="93">'435'!$A$1:$Z$54</definedName>
    <definedName name="_xlnm.Print_Area" localSheetId="94">'444'!$A$1:$Z$93</definedName>
    <definedName name="_xlnm.Print_Area" localSheetId="95">'450'!$A$1:$Z$86</definedName>
    <definedName name="_xlnm.Print_Area" localSheetId="89">'455'!$A$1:$Z$45</definedName>
    <definedName name="_xlnm.Print_Area" localSheetId="76">'491'!$A$1:$Z$123</definedName>
    <definedName name="_xlnm.Print_Area" localSheetId="90">'492'!$A$1:$Z$98</definedName>
    <definedName name="_xlnm.Print_Area" localSheetId="97">'501'!$A$1:$Z$65</definedName>
    <definedName name="_xlnm.Print_Area" localSheetId="98">Dept!$A$1:$Z$39</definedName>
    <definedName name="_xlnm.Print_Area" localSheetId="5">'Div 1'!$A$1:$Z$34</definedName>
    <definedName name="_xlnm.Print_Area" localSheetId="39">'Div 2'!$A$1:$Z$100</definedName>
    <definedName name="_xlnm.Print_Area" localSheetId="47">'Div 3'!$A$1:$Z$265</definedName>
    <definedName name="_xlnm.Print_Area" localSheetId="74">'Div 4'!$A$1:$Z$128</definedName>
    <definedName name="_xlnm.Print_Area" localSheetId="96">'Div 5'!$A$1:$Z$65</definedName>
    <definedName name="_xlnm.Print_Area" localSheetId="65">'Div 6'!$A$1:$Z$107</definedName>
    <definedName name="_xlnm.Print_Area" localSheetId="14">'OSR_300 &amp; 317_1C00ID4'!$A$1:$Z$39</definedName>
    <definedName name="_xlnm.Print_Area" localSheetId="11">'OSR_300 (2)_7...54cb56fc_UFX0O2'!$A$1:$Z$39</definedName>
    <definedName name="_xlnm.Print_Area" localSheetId="15">'OSR_300 (2)_c...79cd3046_1TJM0H'!$A$1:$Z$39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3">'OSR_308 (2)_...47685838_1YQW4QY'!$A$1:$Z$39</definedName>
    <definedName name="_xlnm.Print_Area" localSheetId="20">OSR_308_UAWDAG!$A$1:$Z$39</definedName>
    <definedName name="_xlnm.Print_Area" localSheetId="28">'OSR_310 &amp; 491_1NGRCS9'!$A$1:$Z$39</definedName>
    <definedName name="_xlnm.Print_Area" localSheetId="19">'OSR_310 (2)_...6e684f08_1FLCNJG'!$A$1:$Z$39</definedName>
    <definedName name="_xlnm.Print_Area" localSheetId="27">'OSR_310 (2)_...8cac1423_1JTU33X'!$A$1:$Z$39</definedName>
    <definedName name="_xlnm.Print_Area" localSheetId="16">OSR_310_1CMTOSB!$A$1:$Z$39</definedName>
    <definedName name="_xlnm.Print_Area" localSheetId="21">'OSR_330 (2)_...8a14c83e_1NSH7XI'!$A$1:$Z$39</definedName>
    <definedName name="_xlnm.Print_Area" localSheetId="18">OSR_330_10VFP5Y!$A$1:$Z$39</definedName>
    <definedName name="_xlnm.Print_Area" localSheetId="25">'OSR_331 (2)_...7280af70_1P5SPLT'!$A$1:$Z$39</definedName>
    <definedName name="_xlnm.Print_Area" localSheetId="22">OSR_331_10VKQAJ!$A$1:$Z$39</definedName>
    <definedName name="_xlnm.Print_Area" localSheetId="24">OSR_332_6NDVBW!$A$1:$Z$39</definedName>
    <definedName name="_xlnm.Print_Area" localSheetId="29">'OSR_491 (2)_0...c51cc666_QIOT67'!$A$1:$Z$39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9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3">'OSR_Div 3 (2)...b7db256a_40ITCB'!$A$1:$Z$39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(2...09141158_1BG9FGV'!$A$1:$Z$39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100">'OSR_Summary (...56e5d78f_5JEYZH'!$A$1:$Z$39</definedName>
    <definedName name="_xlnm.Print_Area" localSheetId="3">OSR_Summary_18VAVWG!$A$1:$Z$39</definedName>
    <definedName name="_xlnm.Print_Area" localSheetId="2">Summary!$A$1:$Z$307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1">'306'!$A:$C,'306'!$1:$10</definedName>
    <definedName name="_xlnm.Print_Titles" localSheetId="53">'307'!$A:$C,'307'!$1:$10</definedName>
    <definedName name="_xlnm.Print_Titles" localSheetId="55">'308'!$A:$C,'308'!$1:$10</definedName>
    <definedName name="_xlnm.Print_Titles" localSheetId="68">'309'!$A:$C,'309'!$1:$10</definedName>
    <definedName name="_xlnm.Print_Titles" localSheetId="67">'310'!$A:$C,'310'!$1:$10</definedName>
    <definedName name="_xlnm.Print_Titles" localSheetId="75">'310 &amp; 491'!$A:$C,'310 &amp; 491'!$1:$10</definedName>
    <definedName name="_xlnm.Print_Titles" localSheetId="56">'311'!$A:$C,'311'!$1:$10</definedName>
    <definedName name="_xlnm.Print_Titles" localSheetId="58">'312'!$A:$C,'312'!$1:$10</definedName>
    <definedName name="_xlnm.Print_Titles" localSheetId="69">'313'!$A:$C,'313'!$1:$10</definedName>
    <definedName name="_xlnm.Print_Titles" localSheetId="54">'314'!$A:$C,'314'!$1:$10</definedName>
    <definedName name="_xlnm.Print_Titles" localSheetId="60">'315'!$A:$C,'315'!$1:$10</definedName>
    <definedName name="_xlnm.Print_Titles" localSheetId="63">'316'!$A:$C,'316'!$1:$10</definedName>
    <definedName name="_xlnm.Print_Titles" localSheetId="66">'317'!$A:$C,'317'!$1:$10</definedName>
    <definedName name="_xlnm.Print_Titles" localSheetId="64">'320'!$A:$C,'320'!$1:$10</definedName>
    <definedName name="_xlnm.Print_Titles" localSheetId="70">'321'!$A:$C,'321'!$1:$10</definedName>
    <definedName name="_xlnm.Print_Titles" localSheetId="71">'322'!$A:$C,'322'!$1:$10</definedName>
    <definedName name="_xlnm.Print_Titles" localSheetId="57">'324'!$A:$C,'324'!$1:$10</definedName>
    <definedName name="_xlnm.Print_Titles" localSheetId="72">'325'!$A:$C,'325'!$1:$10</definedName>
    <definedName name="_xlnm.Print_Titles" localSheetId="61">'326'!$A:$C,'326'!$1:$10</definedName>
    <definedName name="_xlnm.Print_Titles" localSheetId="73">'327'!$A:$C,'327'!$1:$10</definedName>
    <definedName name="_xlnm.Print_Titles" localSheetId="52">'330'!$A:$C,'330'!$1:$10</definedName>
    <definedName name="_xlnm.Print_Titles" localSheetId="59">'331'!$A:$C,'331'!$1:$10</definedName>
    <definedName name="_xlnm.Print_Titles" localSheetId="62">'332'!$A:$C,'332'!$1:$10</definedName>
    <definedName name="_xlnm.Print_Titles" localSheetId="77">'405'!$A:$C,'405'!$1:$10</definedName>
    <definedName name="_xlnm.Print_Titles" localSheetId="78">'406'!$A:$C,'406'!$1:$10</definedName>
    <definedName name="_xlnm.Print_Titles" localSheetId="79">'411'!$A:$C,'411'!$1:$10</definedName>
    <definedName name="_xlnm.Print_Titles" localSheetId="80">'412'!$A:$C,'412'!$1:$10</definedName>
    <definedName name="_xlnm.Print_Titles" localSheetId="82">'413'!$A:$C,'413'!$1:$10</definedName>
    <definedName name="_xlnm.Print_Titles" localSheetId="83">'414'!$A:$C,'414'!$1:$10</definedName>
    <definedName name="_xlnm.Print_Titles" localSheetId="84">'415'!$A:$C,'415'!$1:$10</definedName>
    <definedName name="_xlnm.Print_Titles" localSheetId="85">'418'!$A:$C,'418'!$1:$10</definedName>
    <definedName name="_xlnm.Print_Titles" localSheetId="81">'420'!$A:$C,'420'!$1:$10</definedName>
    <definedName name="_xlnm.Print_Titles" localSheetId="86">'423'!$A:$C,'423'!$1:$10</definedName>
    <definedName name="_xlnm.Print_Titles" localSheetId="87">'424'!$A:$C,'424'!$1:$10</definedName>
    <definedName name="_xlnm.Print_Titles" localSheetId="88">'425'!$A:$C,'425'!$1:$10</definedName>
    <definedName name="_xlnm.Print_Titles" localSheetId="91">'430'!$A:$C,'430'!$1:$10</definedName>
    <definedName name="_xlnm.Print_Titles" localSheetId="92">'433'!$A:$C,'433'!$1:$10</definedName>
    <definedName name="_xlnm.Print_Titles" localSheetId="93">'435'!$A:$C,'435'!$1:$10</definedName>
    <definedName name="_xlnm.Print_Titles" localSheetId="94">'444'!$A:$C,'444'!$1:$10</definedName>
    <definedName name="_xlnm.Print_Titles" localSheetId="95">'450'!$A:$C,'450'!$1:$10</definedName>
    <definedName name="_xlnm.Print_Titles" localSheetId="89">'455'!$A:$C,'455'!$1:$10</definedName>
    <definedName name="_xlnm.Print_Titles" localSheetId="76">'491'!$A:$C,'491'!$1:$10</definedName>
    <definedName name="_xlnm.Print_Titles" localSheetId="90">'492'!$A:$C,'492'!$1:$10</definedName>
    <definedName name="_xlnm.Print_Titles" localSheetId="97">'501'!$A:$C,'501'!$1:$10</definedName>
    <definedName name="_xlnm.Print_Titles" localSheetId="98">Dept!$A:$C,Dept!$1:$10</definedName>
    <definedName name="_xlnm.Print_Titles" localSheetId="5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4">'Div 4'!$A:$C,'Div 4'!$1:$10</definedName>
    <definedName name="_xlnm.Print_Titles" localSheetId="96">'Div 5'!$A:$C,'Div 5'!$1:$10</definedName>
    <definedName name="_xlnm.Print_Titles" localSheetId="65">'Div 6'!$A:$C,'Div 6'!$1:$10</definedName>
    <definedName name="_xlnm.Print_Titles" localSheetId="14">'OSR_300 &amp; 317_1C00ID4'!$A:$C,'OSR_300 &amp; 317_1C00ID4'!$1:$10</definedName>
    <definedName name="_xlnm.Print_Titles" localSheetId="11">'OSR_300 (2)_7...54cb56fc_UFX0O2'!$A:$C,'OSR_300 (2)_7...54cb56fc_UFX0O2'!$1:$10</definedName>
    <definedName name="_xlnm.Print_Titles" localSheetId="15">'OSR_300 (2)_c...79cd3046_1TJM0H'!$A:$C,'OSR_300 (2)_c...79cd3046_1TJM0H'!$1:$10</definedName>
    <definedName name="_xlnm.Print_Titles" localSheetId="17">'OSR_300 (2)_e...5d0da5bf_6BPGAO'!$A:$C,'OSR_300 (2)_e...5d0da5bf_6BPGAO'!$1:$10</definedName>
    <definedName name="_xlnm.Print_Titles" localSheetId="12">OSR_300_IYZXI6!$A:$C,OSR_300_IYZXI6!$1:$10</definedName>
    <definedName name="_xlnm.Print_Titles" localSheetId="23">'OSR_308 (2)_...47685838_1YQW4QY'!$A:$C,'OSR_308 (2)_...47685838_1YQW4QY'!$1:$10</definedName>
    <definedName name="_xlnm.Print_Titles" localSheetId="20">OSR_308_UAWDAG!$A:$C,OSR_308_UAWDAG!$1:$10</definedName>
    <definedName name="_xlnm.Print_Titles" localSheetId="28">'OSR_310 &amp; 491_1NGRCS9'!$A:$C,'OSR_310 &amp; 491_1NGRCS9'!$1:$10</definedName>
    <definedName name="_xlnm.Print_Titles" localSheetId="19">'OSR_310 (2)_...6e684f08_1FLCNJG'!$A:$C,'OSR_310 (2)_...6e684f08_1FLCNJG'!$1:$10</definedName>
    <definedName name="_xlnm.Print_Titles" localSheetId="27">'OSR_310 (2)_...8cac1423_1JTU33X'!$A:$C,'OSR_310 (2)_...8cac1423_1JTU33X'!$1:$10</definedName>
    <definedName name="_xlnm.Print_Titles" localSheetId="16">OSR_310_1CMTOSB!$A:$C,OSR_310_1CMTOSB!$1:$10</definedName>
    <definedName name="_xlnm.Print_Titles" localSheetId="21">'OSR_330 (2)_...8a14c83e_1NSH7XI'!$A:$C,'OSR_330 (2)_...8a14c83e_1NSH7XI'!$1:$10</definedName>
    <definedName name="_xlnm.Print_Titles" localSheetId="18">OSR_330_10VFP5Y!$A:$C,OSR_330_10VFP5Y!$1:$10</definedName>
    <definedName name="_xlnm.Print_Titles" localSheetId="25">'OSR_331 (2)_...7280af70_1P5SPLT'!$A:$C,'OSR_331 (2)_...7280af70_1P5SPLT'!$1:$10</definedName>
    <definedName name="_xlnm.Print_Titles" localSheetId="22">OSR_331_10VKQAJ!$A:$C,OSR_331_10VKQAJ!$1:$10</definedName>
    <definedName name="_xlnm.Print_Titles" localSheetId="24">OSR_332_6NDVBW!$A:$C,OSR_332_6NDVBW!$1:$10</definedName>
    <definedName name="_xlnm.Print_Titles" localSheetId="29">'OSR_491 (2)_0...c51cc666_QIOT67'!$A:$C,'OSR_491 (2)_0...c51cc666_QIOT67'!$1:$10</definedName>
    <definedName name="_xlnm.Print_Titles" localSheetId="30">OSR_491_9Z9JH5!$A:$C,OSR_491_9Z9JH5!$1:$10</definedName>
    <definedName name="_xlnm.Print_Titles" localSheetId="35">'OSR_492 (2)_...cd97c6a6_13HYXEV'!$A:$C,'OSR_492 (2)_...cd97c6a6_13HYXEV'!$1:$10</definedName>
    <definedName name="_xlnm.Print_Titles" localSheetId="32">OSR_492_943FP1!$A:$C,OSR_492_943FP1!$1:$10</definedName>
    <definedName name="_xlnm.Print_Titles" localSheetId="4">'OSR_Current ...69b7dd8c_1IEQKFK'!$A:$C,'OSR_Current ...69b7dd8c_1IEQKFK'!$1:$10</definedName>
    <definedName name="_xlnm.Print_Titles" localSheetId="99">OSR_Dept_Y0WUKY!$A:$C,OSR_Dept_Y0WUKY!$1:$10</definedName>
    <definedName name="_xlnm.Print_Titles" localSheetId="9">'OSR_Div 1 (2)...789fe994_2NV3KA'!$A:$C,'OSR_Div 1 (2)...789fe994_2NV3KA'!$1:$10</definedName>
    <definedName name="_xlnm.Print_Titles" localSheetId="6">'OSR_Div 1_7H47HR'!$A:$C,'OSR_Div 1_7H47HR'!$1:$10</definedName>
    <definedName name="_xlnm.Print_Titles" localSheetId="8">'OSR_Div 2_1PQ800A'!$A:$C,'OSR_Div 2_1PQ800A'!$1:$10</definedName>
    <definedName name="_xlnm.Print_Titles" localSheetId="7">'OSR_Div 3 (2)...4cb81c06_PBSMLS'!$A:$C,'OSR_Div 3 (2)...4cb81c06_PBSMLS'!$1:$10</definedName>
    <definedName name="_xlnm.Print_Titles" localSheetId="13">'OSR_Div 3 (2)...b7db256a_40ITCB'!$A:$C,'OSR_Div 3 (2)...b7db256a_40ITCB'!$1:$10</definedName>
    <definedName name="_xlnm.Print_Titles" localSheetId="10">'OSR_Div 3_18723PH'!$A:$C,'OSR_Div 3_18723PH'!$1:$10</definedName>
    <definedName name="_xlnm.Print_Titles" localSheetId="33">'OSR_Div 4 (2)...1a9a4454_CQFRNE'!$A:$C,'OSR_Div 4 (2)...1a9a4454_CQFRNE'!$1:$10</definedName>
    <definedName name="_xlnm.Print_Titles" localSheetId="31">'OSR_Div 4 (2...2533da42_174R6QX'!$A:$C,'OSR_Div 4 (2...2533da42_174R6QX'!$1:$10</definedName>
    <definedName name="_xlnm.Print_Titles" localSheetId="26">'OSR_Div 4_1740TMT'!$A:$C,'OSR_Div 4_1740TMT'!$1:$10</definedName>
    <definedName name="_xlnm.Print_Titles" localSheetId="37">'OSR_Div 5 (2...09141158_1BG9FGV'!$A:$C,'OSR_Div 5 (2...09141158_1BG9FGV'!$1:$10</definedName>
    <definedName name="_xlnm.Print_Titles" localSheetId="34">'OSR_Div 5_16NAZO2'!$A:$C,'OSR_Div 5_16NAZO2'!$1:$10</definedName>
    <definedName name="_xlnm.Print_Titles" localSheetId="36">'OSR_Div 6_P37YY7'!$A:$C,'OSR_Div 6_P37YY7'!$1:$10</definedName>
    <definedName name="_xlnm.Print_Titles" localSheetId="100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62913"/>
</workbook>
</file>

<file path=xl/calcChain.xml><?xml version="1.0" encoding="utf-8"?>
<calcChain xmlns="http://schemas.openxmlformats.org/spreadsheetml/2006/main">
  <c r="Z57" i="109" l="1"/>
  <c r="X57" i="109"/>
  <c r="N57" i="109"/>
  <c r="L57" i="109"/>
  <c r="X53" i="109"/>
  <c r="T53" i="109"/>
  <c r="Z53" i="109" s="1"/>
  <c r="P53" i="109"/>
  <c r="H53" i="109"/>
  <c r="D53" i="109"/>
  <c r="B53" i="109"/>
  <c r="T52" i="109"/>
  <c r="P52" i="109"/>
  <c r="X52" i="109" s="1"/>
  <c r="D52" i="109"/>
  <c r="Z50" i="109"/>
  <c r="X50" i="109"/>
  <c r="L50" i="109"/>
  <c r="N50" i="109" s="1"/>
  <c r="B50" i="109"/>
  <c r="T49" i="109"/>
  <c r="P49" i="109"/>
  <c r="X49" i="109" s="1"/>
  <c r="Z49" i="109" s="1"/>
  <c r="H49" i="109"/>
  <c r="D49" i="109"/>
  <c r="L49" i="109" s="1"/>
  <c r="B49" i="109"/>
  <c r="X48" i="109"/>
  <c r="Z48" i="109" s="1"/>
  <c r="L48" i="109"/>
  <c r="N48" i="109" s="1"/>
  <c r="B48" i="109"/>
  <c r="X47" i="109"/>
  <c r="Z47" i="109" s="1"/>
  <c r="V47" i="109"/>
  <c r="N47" i="109"/>
  <c r="L47" i="109"/>
  <c r="B47" i="109"/>
  <c r="T46" i="109"/>
  <c r="P46" i="109"/>
  <c r="H46" i="109"/>
  <c r="N46" i="109" s="1"/>
  <c r="D46" i="109"/>
  <c r="L46" i="109" s="1"/>
  <c r="B46" i="109"/>
  <c r="X45" i="109"/>
  <c r="Z45" i="109" s="1"/>
  <c r="V45" i="109"/>
  <c r="N45" i="109"/>
  <c r="L45" i="109"/>
  <c r="B45" i="109"/>
  <c r="T44" i="109"/>
  <c r="Z44" i="109" s="1"/>
  <c r="P44" i="109"/>
  <c r="X44" i="109" s="1"/>
  <c r="H44" i="109"/>
  <c r="D44" i="109"/>
  <c r="L44" i="109" s="1"/>
  <c r="N44" i="109" s="1"/>
  <c r="B44" i="109"/>
  <c r="X43" i="109"/>
  <c r="Z43" i="109" s="1"/>
  <c r="N43" i="109"/>
  <c r="L43" i="109"/>
  <c r="B43" i="109"/>
  <c r="X42" i="109"/>
  <c r="T42" i="109"/>
  <c r="P42" i="109"/>
  <c r="H42" i="109"/>
  <c r="D42" i="109"/>
  <c r="B42" i="109"/>
  <c r="Z41" i="109"/>
  <c r="X41" i="109"/>
  <c r="N41" i="109"/>
  <c r="L41" i="109"/>
  <c r="B41" i="109"/>
  <c r="T40" i="109"/>
  <c r="Z40" i="109" s="1"/>
  <c r="P40" i="109"/>
  <c r="H40" i="109"/>
  <c r="N40" i="109" s="1"/>
  <c r="D40" i="109"/>
  <c r="L40" i="109" s="1"/>
  <c r="B40" i="109"/>
  <c r="Z39" i="109"/>
  <c r="X39" i="109"/>
  <c r="L39" i="109"/>
  <c r="N39" i="109" s="1"/>
  <c r="B39" i="109"/>
  <c r="T38" i="109"/>
  <c r="P38" i="109"/>
  <c r="X38" i="109" s="1"/>
  <c r="Z38" i="109" s="1"/>
  <c r="H38" i="109"/>
  <c r="D38" i="109"/>
  <c r="L38" i="109" s="1"/>
  <c r="N38" i="109" s="1"/>
  <c r="B38" i="109"/>
  <c r="Z37" i="109"/>
  <c r="X37" i="109"/>
  <c r="N37" i="109"/>
  <c r="L37" i="109"/>
  <c r="B37" i="109"/>
  <c r="X36" i="109"/>
  <c r="T36" i="109"/>
  <c r="P36" i="109"/>
  <c r="L36" i="109"/>
  <c r="H36" i="109"/>
  <c r="N36" i="109" s="1"/>
  <c r="D36" i="109"/>
  <c r="B36" i="109"/>
  <c r="X35" i="109"/>
  <c r="Z35" i="109" s="1"/>
  <c r="N35" i="109"/>
  <c r="L35" i="109"/>
  <c r="B35" i="109"/>
  <c r="X34" i="109"/>
  <c r="Z34" i="109" s="1"/>
  <c r="L34" i="109"/>
  <c r="N34" i="109" s="1"/>
  <c r="B34" i="109"/>
  <c r="Z33" i="109"/>
  <c r="X33" i="109"/>
  <c r="N33" i="109"/>
  <c r="L33" i="109"/>
  <c r="B33" i="109"/>
  <c r="X32" i="109"/>
  <c r="Z32" i="109" s="1"/>
  <c r="N32" i="109"/>
  <c r="L32" i="109"/>
  <c r="B32" i="109"/>
  <c r="Z31" i="109"/>
  <c r="X31" i="109"/>
  <c r="N31" i="109"/>
  <c r="L31" i="109"/>
  <c r="B31" i="109"/>
  <c r="T30" i="109"/>
  <c r="P30" i="109"/>
  <c r="X30" i="109" s="1"/>
  <c r="H30" i="109"/>
  <c r="D30" i="109"/>
  <c r="B30" i="109"/>
  <c r="Z29" i="109"/>
  <c r="X29" i="109"/>
  <c r="N29" i="109"/>
  <c r="L29" i="109"/>
  <c r="B29" i="109"/>
  <c r="Z28" i="109"/>
  <c r="X28" i="109"/>
  <c r="L28" i="109"/>
  <c r="N28" i="109" s="1"/>
  <c r="B28" i="109"/>
  <c r="Z27" i="109"/>
  <c r="X27" i="109"/>
  <c r="N27" i="109"/>
  <c r="L27" i="109"/>
  <c r="B27" i="109"/>
  <c r="Z26" i="109"/>
  <c r="X26" i="109"/>
  <c r="N26" i="109"/>
  <c r="L26" i="109"/>
  <c r="B26" i="109"/>
  <c r="Z25" i="109"/>
  <c r="X25" i="109"/>
  <c r="N25" i="109"/>
  <c r="L25" i="109"/>
  <c r="B25" i="109"/>
  <c r="Z24" i="109"/>
  <c r="X24" i="109"/>
  <c r="L24" i="109"/>
  <c r="N24" i="109" s="1"/>
  <c r="B24" i="109"/>
  <c r="Z23" i="109"/>
  <c r="X23" i="109"/>
  <c r="N23" i="109"/>
  <c r="L23" i="109"/>
  <c r="B23" i="109"/>
  <c r="X22" i="109"/>
  <c r="Z22" i="109" s="1"/>
  <c r="L22" i="109"/>
  <c r="N22" i="109" s="1"/>
  <c r="B22" i="109"/>
  <c r="Z21" i="109"/>
  <c r="X21" i="109"/>
  <c r="N21" i="109"/>
  <c r="L21" i="109"/>
  <c r="B21" i="109"/>
  <c r="T20" i="109"/>
  <c r="P20" i="109"/>
  <c r="X20" i="109" s="1"/>
  <c r="Z20" i="109" s="1"/>
  <c r="L20" i="109"/>
  <c r="N20" i="109" s="1"/>
  <c r="H20" i="109"/>
  <c r="D20" i="109"/>
  <c r="B20" i="109"/>
  <c r="T19" i="109"/>
  <c r="P19" i="109"/>
  <c r="X19" i="109" s="1"/>
  <c r="H19" i="109"/>
  <c r="D19" i="109"/>
  <c r="L19" i="109" s="1"/>
  <c r="N19" i="109" s="1"/>
  <c r="T17" i="109"/>
  <c r="T15" i="109"/>
  <c r="Z15" i="109" s="1"/>
  <c r="P15" i="109"/>
  <c r="N15" i="109"/>
  <c r="H15" i="109"/>
  <c r="D15" i="109"/>
  <c r="L15" i="109" s="1"/>
  <c r="T13" i="109"/>
  <c r="P13" i="109"/>
  <c r="L13" i="109"/>
  <c r="H13" i="109"/>
  <c r="N13" i="109" s="1"/>
  <c r="D13" i="109"/>
  <c r="B13" i="109"/>
  <c r="T12" i="109"/>
  <c r="H12" i="109"/>
  <c r="J53" i="109" s="1"/>
  <c r="D12" i="109"/>
  <c r="F50" i="109" s="1"/>
  <c r="D6" i="109"/>
  <c r="D4" i="109"/>
  <c r="R39" i="108"/>
  <c r="Z37" i="108"/>
  <c r="X37" i="108"/>
  <c r="N37" i="108"/>
  <c r="L37" i="108"/>
  <c r="T33" i="108"/>
  <c r="T31" i="108" s="1"/>
  <c r="P33" i="108"/>
  <c r="L33" i="108"/>
  <c r="N33" i="108" s="1"/>
  <c r="H33" i="108"/>
  <c r="D33" i="108"/>
  <c r="B33" i="108"/>
  <c r="T32" i="108"/>
  <c r="P32" i="108"/>
  <c r="X32" i="108" s="1"/>
  <c r="Z32" i="108" s="1"/>
  <c r="L32" i="108"/>
  <c r="N32" i="108" s="1"/>
  <c r="H32" i="108"/>
  <c r="D32" i="108"/>
  <c r="B32" i="108"/>
  <c r="H31" i="108"/>
  <c r="D31" i="108"/>
  <c r="L31" i="108" s="1"/>
  <c r="N31" i="108" s="1"/>
  <c r="Z29" i="108"/>
  <c r="X29" i="108"/>
  <c r="N29" i="108"/>
  <c r="L29" i="108"/>
  <c r="B29" i="108"/>
  <c r="X28" i="108"/>
  <c r="Z28" i="108" s="1"/>
  <c r="N28" i="108"/>
  <c r="L28" i="108"/>
  <c r="B28" i="108"/>
  <c r="Z27" i="108"/>
  <c r="T27" i="108"/>
  <c r="R27" i="108"/>
  <c r="P27" i="108"/>
  <c r="X27" i="108" s="1"/>
  <c r="N27" i="108"/>
  <c r="L27" i="108"/>
  <c r="H27" i="108"/>
  <c r="D27" i="108"/>
  <c r="B27" i="108"/>
  <c r="Z26" i="108"/>
  <c r="X26" i="108"/>
  <c r="R26" i="108"/>
  <c r="N26" i="108"/>
  <c r="L26" i="108"/>
  <c r="B26" i="108"/>
  <c r="X25" i="108"/>
  <c r="Z25" i="108" s="1"/>
  <c r="L25" i="108"/>
  <c r="N25" i="108" s="1"/>
  <c r="B25" i="108"/>
  <c r="Z24" i="108"/>
  <c r="X24" i="108"/>
  <c r="R24" i="108"/>
  <c r="L24" i="108"/>
  <c r="N24" i="108" s="1"/>
  <c r="B24" i="108"/>
  <c r="Z23" i="108"/>
  <c r="X23" i="108"/>
  <c r="R23" i="108"/>
  <c r="L23" i="108"/>
  <c r="N23" i="108" s="1"/>
  <c r="J23" i="108"/>
  <c r="F23" i="108"/>
  <c r="B23" i="108"/>
  <c r="Z22" i="108"/>
  <c r="X22" i="108"/>
  <c r="N22" i="108"/>
  <c r="L22" i="108"/>
  <c r="B22" i="108"/>
  <c r="X21" i="108"/>
  <c r="Z21" i="108" s="1"/>
  <c r="V21" i="108"/>
  <c r="L21" i="108"/>
  <c r="N21" i="108" s="1"/>
  <c r="B21" i="108"/>
  <c r="Z20" i="108"/>
  <c r="X20" i="108"/>
  <c r="L20" i="108"/>
  <c r="N20" i="108" s="1"/>
  <c r="B20" i="108"/>
  <c r="X19" i="108"/>
  <c r="Z19" i="108" s="1"/>
  <c r="T19" i="108"/>
  <c r="P19" i="108"/>
  <c r="N19" i="108"/>
  <c r="L19" i="108"/>
  <c r="H19" i="108"/>
  <c r="D19" i="108"/>
  <c r="B19" i="108"/>
  <c r="X18" i="108"/>
  <c r="Z18" i="108" s="1"/>
  <c r="V18" i="108"/>
  <c r="T18" i="108"/>
  <c r="P18" i="108"/>
  <c r="L18" i="108"/>
  <c r="N18" i="108" s="1"/>
  <c r="H18" i="108"/>
  <c r="D18" i="108"/>
  <c r="V16" i="108"/>
  <c r="T16" i="108"/>
  <c r="P16" i="108"/>
  <c r="T14" i="108"/>
  <c r="Z14" i="108" s="1"/>
  <c r="P14" i="108"/>
  <c r="X14" i="108" s="1"/>
  <c r="N14" i="108"/>
  <c r="L14" i="108"/>
  <c r="H14" i="108"/>
  <c r="D14" i="108"/>
  <c r="T12" i="108"/>
  <c r="V37" i="108" s="1"/>
  <c r="P12" i="108"/>
  <c r="R37" i="108" s="1"/>
  <c r="H12" i="108"/>
  <c r="J39" i="108" s="1"/>
  <c r="D12" i="108"/>
  <c r="D6" i="108"/>
  <c r="D4" i="108"/>
  <c r="Z78" i="107"/>
  <c r="X78" i="107"/>
  <c r="N78" i="107"/>
  <c r="L78" i="107"/>
  <c r="Z74" i="107"/>
  <c r="T74" i="107"/>
  <c r="P74" i="107"/>
  <c r="X74" i="107" s="1"/>
  <c r="H74" i="107"/>
  <c r="N74" i="107" s="1"/>
  <c r="D74" i="107"/>
  <c r="L74" i="107" s="1"/>
  <c r="Z72" i="107"/>
  <c r="X72" i="107"/>
  <c r="N72" i="107"/>
  <c r="L72" i="107"/>
  <c r="B72" i="107"/>
  <c r="T71" i="107"/>
  <c r="P71" i="107"/>
  <c r="X71" i="107" s="1"/>
  <c r="N71" i="107"/>
  <c r="H71" i="107"/>
  <c r="D71" i="107"/>
  <c r="L71" i="107" s="1"/>
  <c r="B71" i="107"/>
  <c r="X70" i="107"/>
  <c r="Z70" i="107" s="1"/>
  <c r="L70" i="107"/>
  <c r="N70" i="107" s="1"/>
  <c r="B70" i="107"/>
  <c r="X69" i="107"/>
  <c r="Z69" i="107" s="1"/>
  <c r="T69" i="107"/>
  <c r="P69" i="107"/>
  <c r="H69" i="107"/>
  <c r="D69" i="107"/>
  <c r="B69" i="107"/>
  <c r="Z68" i="107"/>
  <c r="X68" i="107"/>
  <c r="N68" i="107"/>
  <c r="L68" i="107"/>
  <c r="B68" i="107"/>
  <c r="Z67" i="107"/>
  <c r="X67" i="107"/>
  <c r="T67" i="107"/>
  <c r="P67" i="107"/>
  <c r="H67" i="107"/>
  <c r="N67" i="107" s="1"/>
  <c r="D67" i="107"/>
  <c r="L67" i="107" s="1"/>
  <c r="B67" i="107"/>
  <c r="X66" i="107"/>
  <c r="Z66" i="107" s="1"/>
  <c r="N66" i="107"/>
  <c r="L66" i="107"/>
  <c r="B66" i="107"/>
  <c r="X65" i="107"/>
  <c r="Z65" i="107" s="1"/>
  <c r="V65" i="107"/>
  <c r="N65" i="107"/>
  <c r="L65" i="107"/>
  <c r="B65" i="107"/>
  <c r="Z64" i="107"/>
  <c r="X64" i="107"/>
  <c r="N64" i="107"/>
  <c r="L64" i="107"/>
  <c r="B64" i="107"/>
  <c r="Z63" i="107"/>
  <c r="X63" i="107"/>
  <c r="N63" i="107"/>
  <c r="L63" i="107"/>
  <c r="B63" i="107"/>
  <c r="X62" i="107"/>
  <c r="Z62" i="107" s="1"/>
  <c r="L62" i="107"/>
  <c r="N62" i="107" s="1"/>
  <c r="B62" i="107"/>
  <c r="X61" i="107"/>
  <c r="Z61" i="107" s="1"/>
  <c r="N61" i="107"/>
  <c r="L61" i="107"/>
  <c r="B61" i="107"/>
  <c r="T60" i="107"/>
  <c r="Z60" i="107" s="1"/>
  <c r="R60" i="107"/>
  <c r="P60" i="107"/>
  <c r="X60" i="107" s="1"/>
  <c r="H60" i="107"/>
  <c r="D60" i="107"/>
  <c r="L60" i="107" s="1"/>
  <c r="N60" i="107" s="1"/>
  <c r="B60" i="107"/>
  <c r="X59" i="107"/>
  <c r="Z59" i="107" s="1"/>
  <c r="N59" i="107"/>
  <c r="L59" i="107"/>
  <c r="B59" i="107"/>
  <c r="X58" i="107"/>
  <c r="Z58" i="107" s="1"/>
  <c r="N58" i="107"/>
  <c r="L58" i="107"/>
  <c r="B58" i="107"/>
  <c r="Z57" i="107"/>
  <c r="X57" i="107"/>
  <c r="N57" i="107"/>
  <c r="L57" i="107"/>
  <c r="B57" i="107"/>
  <c r="X56" i="107"/>
  <c r="Z56" i="107" s="1"/>
  <c r="T56" i="107"/>
  <c r="P56" i="107"/>
  <c r="H56" i="107"/>
  <c r="D56" i="107"/>
  <c r="L56" i="107" s="1"/>
  <c r="N56" i="107" s="1"/>
  <c r="B56" i="107"/>
  <c r="Z55" i="107"/>
  <c r="X55" i="107"/>
  <c r="N55" i="107"/>
  <c r="L55" i="107"/>
  <c r="B55" i="107"/>
  <c r="T54" i="107"/>
  <c r="P54" i="107"/>
  <c r="H54" i="107"/>
  <c r="D54" i="107"/>
  <c r="B54" i="107"/>
  <c r="X53" i="107"/>
  <c r="Z53" i="107" s="1"/>
  <c r="V53" i="107"/>
  <c r="N53" i="107"/>
  <c r="L53" i="107"/>
  <c r="B53" i="107"/>
  <c r="T52" i="107"/>
  <c r="P52" i="107"/>
  <c r="X52" i="107" s="1"/>
  <c r="H52" i="107"/>
  <c r="D52" i="107"/>
  <c r="L52" i="107" s="1"/>
  <c r="N52" i="107" s="1"/>
  <c r="B52" i="107"/>
  <c r="X51" i="107"/>
  <c r="Z51" i="107" s="1"/>
  <c r="N51" i="107"/>
  <c r="L51" i="107"/>
  <c r="B51" i="107"/>
  <c r="T50" i="107"/>
  <c r="P50" i="107"/>
  <c r="X50" i="107" s="1"/>
  <c r="Z50" i="107" s="1"/>
  <c r="N50" i="107"/>
  <c r="L50" i="107"/>
  <c r="H50" i="107"/>
  <c r="D50" i="107"/>
  <c r="B50" i="107"/>
  <c r="Z49" i="107"/>
  <c r="X49" i="107"/>
  <c r="L49" i="107"/>
  <c r="N49" i="107" s="1"/>
  <c r="B49" i="107"/>
  <c r="T48" i="107"/>
  <c r="P48" i="107"/>
  <c r="N48" i="107"/>
  <c r="H48" i="107"/>
  <c r="L48" i="107" s="1"/>
  <c r="D48" i="107"/>
  <c r="B48" i="107"/>
  <c r="Z47" i="107"/>
  <c r="X47" i="107"/>
  <c r="L47" i="107"/>
  <c r="N47" i="107" s="1"/>
  <c r="B47" i="107"/>
  <c r="T46" i="107"/>
  <c r="P46" i="107"/>
  <c r="X46" i="107" s="1"/>
  <c r="Z46" i="107" s="1"/>
  <c r="H46" i="107"/>
  <c r="D46" i="107"/>
  <c r="L46" i="107" s="1"/>
  <c r="B46" i="107"/>
  <c r="Z45" i="107"/>
  <c r="X45" i="107"/>
  <c r="N45" i="107"/>
  <c r="L45" i="107"/>
  <c r="B45" i="107"/>
  <c r="Z44" i="107"/>
  <c r="X44" i="107"/>
  <c r="T44" i="107"/>
  <c r="P44" i="107"/>
  <c r="N44" i="107"/>
  <c r="H44" i="107"/>
  <c r="D44" i="107"/>
  <c r="L44" i="107" s="1"/>
  <c r="B44" i="107"/>
  <c r="Z43" i="107"/>
  <c r="X43" i="107"/>
  <c r="N43" i="107"/>
  <c r="L43" i="107"/>
  <c r="B43" i="107"/>
  <c r="T42" i="107"/>
  <c r="X42" i="107" s="1"/>
  <c r="P42" i="107"/>
  <c r="H42" i="107"/>
  <c r="D42" i="107"/>
  <c r="B42" i="107"/>
  <c r="X41" i="107"/>
  <c r="Z41" i="107" s="1"/>
  <c r="N41" i="107"/>
  <c r="L41" i="107"/>
  <c r="B41" i="107"/>
  <c r="T40" i="107"/>
  <c r="P40" i="107"/>
  <c r="X40" i="107" s="1"/>
  <c r="H40" i="107"/>
  <c r="D40" i="107"/>
  <c r="L40" i="107" s="1"/>
  <c r="N40" i="107" s="1"/>
  <c r="B40" i="107"/>
  <c r="X39" i="107"/>
  <c r="Z39" i="107" s="1"/>
  <c r="N39" i="107"/>
  <c r="L39" i="107"/>
  <c r="B39" i="107"/>
  <c r="X38" i="107"/>
  <c r="Z38" i="107" s="1"/>
  <c r="N38" i="107"/>
  <c r="L38" i="107"/>
  <c r="B38" i="107"/>
  <c r="Z37" i="107"/>
  <c r="X37" i="107"/>
  <c r="N37" i="107"/>
  <c r="L37" i="107"/>
  <c r="B37" i="107"/>
  <c r="Z36" i="107"/>
  <c r="X36" i="107"/>
  <c r="L36" i="107"/>
  <c r="N36" i="107" s="1"/>
  <c r="B36" i="107"/>
  <c r="X35" i="107"/>
  <c r="Z35" i="107" s="1"/>
  <c r="V35" i="107"/>
  <c r="N35" i="107"/>
  <c r="L35" i="107"/>
  <c r="B35" i="107"/>
  <c r="X34" i="107"/>
  <c r="Z34" i="107" s="1"/>
  <c r="N34" i="107"/>
  <c r="L34" i="107"/>
  <c r="B34" i="107"/>
  <c r="T33" i="107"/>
  <c r="P33" i="107"/>
  <c r="X33" i="107" s="1"/>
  <c r="Z33" i="107" s="1"/>
  <c r="H33" i="107"/>
  <c r="D33" i="107"/>
  <c r="B33" i="107"/>
  <c r="X32" i="107"/>
  <c r="Z32" i="107" s="1"/>
  <c r="N32" i="107"/>
  <c r="L32" i="107"/>
  <c r="B32" i="107"/>
  <c r="Z31" i="107"/>
  <c r="X31" i="107"/>
  <c r="N31" i="107"/>
  <c r="L31" i="107"/>
  <c r="B31" i="107"/>
  <c r="Z30" i="107"/>
  <c r="X30" i="107"/>
  <c r="L30" i="107"/>
  <c r="N30" i="107" s="1"/>
  <c r="B30" i="107"/>
  <c r="Z29" i="107"/>
  <c r="X29" i="107"/>
  <c r="L29" i="107"/>
  <c r="N29" i="107" s="1"/>
  <c r="B29" i="107"/>
  <c r="X28" i="107"/>
  <c r="Z28" i="107" s="1"/>
  <c r="N28" i="107"/>
  <c r="L28" i="107"/>
  <c r="B28" i="107"/>
  <c r="Z27" i="107"/>
  <c r="X27" i="107"/>
  <c r="N27" i="107"/>
  <c r="L27" i="107"/>
  <c r="B27" i="107"/>
  <c r="Z26" i="107"/>
  <c r="X26" i="107"/>
  <c r="V26" i="107"/>
  <c r="L26" i="107"/>
  <c r="N26" i="107" s="1"/>
  <c r="B26" i="107"/>
  <c r="Z25" i="107"/>
  <c r="X25" i="107"/>
  <c r="L25" i="107"/>
  <c r="N25" i="107" s="1"/>
  <c r="B25" i="107"/>
  <c r="X24" i="107"/>
  <c r="Z24" i="107" s="1"/>
  <c r="N24" i="107"/>
  <c r="L24" i="107"/>
  <c r="B24" i="107"/>
  <c r="Z23" i="107"/>
  <c r="X23" i="107"/>
  <c r="T23" i="107"/>
  <c r="P23" i="107"/>
  <c r="H23" i="107"/>
  <c r="D23" i="107"/>
  <c r="L23" i="107" s="1"/>
  <c r="B23" i="107"/>
  <c r="X22" i="107"/>
  <c r="T22" i="107"/>
  <c r="Z22" i="107" s="1"/>
  <c r="P22" i="107"/>
  <c r="H22" i="107"/>
  <c r="D22" i="107"/>
  <c r="L22" i="107" s="1"/>
  <c r="X18" i="107"/>
  <c r="Z18" i="107" s="1"/>
  <c r="L18" i="107"/>
  <c r="N18" i="107" s="1"/>
  <c r="B18" i="107"/>
  <c r="X17" i="107"/>
  <c r="Z17" i="107" s="1"/>
  <c r="N17" i="107"/>
  <c r="L17" i="107"/>
  <c r="B17" i="107"/>
  <c r="V16" i="107"/>
  <c r="T16" i="107"/>
  <c r="P16" i="107"/>
  <c r="X16" i="107" s="1"/>
  <c r="L16" i="107"/>
  <c r="H16" i="107"/>
  <c r="D16" i="107"/>
  <c r="T14" i="107"/>
  <c r="P14" i="107"/>
  <c r="X14" i="107" s="1"/>
  <c r="H14" i="107"/>
  <c r="N14" i="107" s="1"/>
  <c r="D14" i="107"/>
  <c r="L14" i="107" s="1"/>
  <c r="B14" i="107"/>
  <c r="T13" i="107"/>
  <c r="T12" i="107" s="1"/>
  <c r="V40" i="107" s="1"/>
  <c r="P13" i="107"/>
  <c r="X13" i="107" s="1"/>
  <c r="Z13" i="107" s="1"/>
  <c r="L13" i="107"/>
  <c r="H13" i="107"/>
  <c r="D13" i="107"/>
  <c r="B13" i="107"/>
  <c r="P12" i="107"/>
  <c r="R35" i="107" s="1"/>
  <c r="D6" i="107"/>
  <c r="D4" i="107"/>
  <c r="X85" i="105"/>
  <c r="Z85" i="105" s="1"/>
  <c r="L85" i="105"/>
  <c r="N85" i="105" s="1"/>
  <c r="T81" i="105"/>
  <c r="Z81" i="105" s="1"/>
  <c r="P81" i="105"/>
  <c r="H81" i="105"/>
  <c r="N81" i="105" s="1"/>
  <c r="D81" i="105"/>
  <c r="L81" i="105" s="1"/>
  <c r="X79" i="105"/>
  <c r="Z79" i="105" s="1"/>
  <c r="N79" i="105"/>
  <c r="L79" i="105"/>
  <c r="B79" i="105"/>
  <c r="Z78" i="105"/>
  <c r="X78" i="105"/>
  <c r="T78" i="105"/>
  <c r="P78" i="105"/>
  <c r="N78" i="105"/>
  <c r="H78" i="105"/>
  <c r="D78" i="105"/>
  <c r="L78" i="105" s="1"/>
  <c r="B78" i="105"/>
  <c r="X77" i="105"/>
  <c r="Z77" i="105" s="1"/>
  <c r="N77" i="105"/>
  <c r="L77" i="105"/>
  <c r="B77" i="105"/>
  <c r="X76" i="105"/>
  <c r="T76" i="105"/>
  <c r="P76" i="105"/>
  <c r="N76" i="105"/>
  <c r="H76" i="105"/>
  <c r="D76" i="105"/>
  <c r="L76" i="105" s="1"/>
  <c r="B76" i="105"/>
  <c r="X75" i="105"/>
  <c r="Z75" i="105" s="1"/>
  <c r="L75" i="105"/>
  <c r="N75" i="105" s="1"/>
  <c r="B75" i="105"/>
  <c r="T74" i="105"/>
  <c r="P74" i="105"/>
  <c r="X74" i="105" s="1"/>
  <c r="Z74" i="105" s="1"/>
  <c r="L74" i="105"/>
  <c r="N74" i="105" s="1"/>
  <c r="H74" i="105"/>
  <c r="D74" i="105"/>
  <c r="B74" i="105"/>
  <c r="Z73" i="105"/>
  <c r="X73" i="105"/>
  <c r="N73" i="105"/>
  <c r="L73" i="105"/>
  <c r="B73" i="105"/>
  <c r="Z72" i="105"/>
  <c r="X72" i="105"/>
  <c r="L72" i="105"/>
  <c r="N72" i="105" s="1"/>
  <c r="B72" i="105"/>
  <c r="Z71" i="105"/>
  <c r="X71" i="105"/>
  <c r="L71" i="105"/>
  <c r="N71" i="105" s="1"/>
  <c r="B71" i="105"/>
  <c r="X70" i="105"/>
  <c r="Z70" i="105" s="1"/>
  <c r="N70" i="105"/>
  <c r="L70" i="105"/>
  <c r="B70" i="105"/>
  <c r="Z69" i="105"/>
  <c r="X69" i="105"/>
  <c r="L69" i="105"/>
  <c r="N69" i="105" s="1"/>
  <c r="B69" i="105"/>
  <c r="Z68" i="105"/>
  <c r="X68" i="105"/>
  <c r="L68" i="105"/>
  <c r="N68" i="105" s="1"/>
  <c r="B68" i="105"/>
  <c r="X67" i="105"/>
  <c r="Z67" i="105" s="1"/>
  <c r="L67" i="105"/>
  <c r="N67" i="105" s="1"/>
  <c r="B67" i="105"/>
  <c r="Z66" i="105"/>
  <c r="X66" i="105"/>
  <c r="N66" i="105"/>
  <c r="L66" i="105"/>
  <c r="B66" i="105"/>
  <c r="T65" i="105"/>
  <c r="P65" i="105"/>
  <c r="X65" i="105" s="1"/>
  <c r="H65" i="105"/>
  <c r="N65" i="105" s="1"/>
  <c r="D65" i="105"/>
  <c r="L65" i="105" s="1"/>
  <c r="B65" i="105"/>
  <c r="X64" i="105"/>
  <c r="Z64" i="105" s="1"/>
  <c r="L64" i="105"/>
  <c r="N64" i="105" s="1"/>
  <c r="B64" i="105"/>
  <c r="X63" i="105"/>
  <c r="Z63" i="105" s="1"/>
  <c r="N63" i="105"/>
  <c r="L63" i="105"/>
  <c r="B63" i="105"/>
  <c r="Z62" i="105"/>
  <c r="X62" i="105"/>
  <c r="L62" i="105"/>
  <c r="N62" i="105" s="1"/>
  <c r="B62" i="105"/>
  <c r="T61" i="105"/>
  <c r="P61" i="105"/>
  <c r="H61" i="105"/>
  <c r="D61" i="105"/>
  <c r="L61" i="105" s="1"/>
  <c r="N61" i="105" s="1"/>
  <c r="B61" i="105"/>
  <c r="X60" i="105"/>
  <c r="Z60" i="105" s="1"/>
  <c r="N60" i="105"/>
  <c r="L60" i="105"/>
  <c r="B60" i="105"/>
  <c r="T59" i="105"/>
  <c r="P59" i="105"/>
  <c r="X59" i="105" s="1"/>
  <c r="Z59" i="105" s="1"/>
  <c r="H59" i="105"/>
  <c r="F59" i="105"/>
  <c r="D59" i="105"/>
  <c r="B59" i="105"/>
  <c r="X58" i="105"/>
  <c r="Z58" i="105" s="1"/>
  <c r="N58" i="105"/>
  <c r="L58" i="105"/>
  <c r="B58" i="105"/>
  <c r="Z57" i="105"/>
  <c r="T57" i="105"/>
  <c r="P57" i="105"/>
  <c r="X57" i="105" s="1"/>
  <c r="H57" i="105"/>
  <c r="D57" i="105"/>
  <c r="B57" i="105"/>
  <c r="X56" i="105"/>
  <c r="Z56" i="105" s="1"/>
  <c r="N56" i="105"/>
  <c r="L56" i="105"/>
  <c r="B56" i="105"/>
  <c r="X55" i="105"/>
  <c r="Z55" i="105" s="1"/>
  <c r="T55" i="105"/>
  <c r="P55" i="105"/>
  <c r="N55" i="105"/>
  <c r="L55" i="105"/>
  <c r="H55" i="105"/>
  <c r="D55" i="105"/>
  <c r="B55" i="105"/>
  <c r="X54" i="105"/>
  <c r="Z54" i="105" s="1"/>
  <c r="L54" i="105"/>
  <c r="N54" i="105" s="1"/>
  <c r="B54" i="105"/>
  <c r="T53" i="105"/>
  <c r="X53" i="105" s="1"/>
  <c r="P53" i="105"/>
  <c r="H53" i="105"/>
  <c r="D53" i="105"/>
  <c r="L53" i="105" s="1"/>
  <c r="B53" i="105"/>
  <c r="Z52" i="105"/>
  <c r="X52" i="105"/>
  <c r="L52" i="105"/>
  <c r="N52" i="105" s="1"/>
  <c r="B52" i="105"/>
  <c r="T51" i="105"/>
  <c r="P51" i="105"/>
  <c r="H51" i="105"/>
  <c r="D51" i="105"/>
  <c r="B51" i="105"/>
  <c r="Z50" i="105"/>
  <c r="X50" i="105"/>
  <c r="N50" i="105"/>
  <c r="L50" i="105"/>
  <c r="B50" i="105"/>
  <c r="X49" i="105"/>
  <c r="Z49" i="105" s="1"/>
  <c r="T49" i="105"/>
  <c r="P49" i="105"/>
  <c r="L49" i="105"/>
  <c r="N49" i="105" s="1"/>
  <c r="H49" i="105"/>
  <c r="D49" i="105"/>
  <c r="B49" i="105"/>
  <c r="Z48" i="105"/>
  <c r="X48" i="105"/>
  <c r="N48" i="105"/>
  <c r="L48" i="105"/>
  <c r="B48" i="105"/>
  <c r="T47" i="105"/>
  <c r="Z47" i="105" s="1"/>
  <c r="P47" i="105"/>
  <c r="H47" i="105"/>
  <c r="D47" i="105"/>
  <c r="B47" i="105"/>
  <c r="Z46" i="105"/>
  <c r="X46" i="105"/>
  <c r="L46" i="105"/>
  <c r="N46" i="105" s="1"/>
  <c r="B46" i="105"/>
  <c r="T45" i="105"/>
  <c r="Z45" i="105" s="1"/>
  <c r="P45" i="105"/>
  <c r="X45" i="105" s="1"/>
  <c r="H45" i="105"/>
  <c r="D45" i="105"/>
  <c r="L45" i="105" s="1"/>
  <c r="B45" i="105"/>
  <c r="X44" i="105"/>
  <c r="Z44" i="105" s="1"/>
  <c r="N44" i="105"/>
  <c r="L44" i="105"/>
  <c r="B44" i="105"/>
  <c r="X43" i="105"/>
  <c r="Z43" i="105" s="1"/>
  <c r="T43" i="105"/>
  <c r="P43" i="105"/>
  <c r="N43" i="105"/>
  <c r="L43" i="105"/>
  <c r="H43" i="105"/>
  <c r="D43" i="105"/>
  <c r="B43" i="105"/>
  <c r="Z42" i="105"/>
  <c r="X42" i="105"/>
  <c r="N42" i="105"/>
  <c r="L42" i="105"/>
  <c r="B42" i="105"/>
  <c r="T41" i="105"/>
  <c r="P41" i="105"/>
  <c r="H41" i="105"/>
  <c r="D41" i="105"/>
  <c r="B41" i="105"/>
  <c r="X40" i="105"/>
  <c r="Z40" i="105" s="1"/>
  <c r="L40" i="105"/>
  <c r="N40" i="105" s="1"/>
  <c r="B40" i="105"/>
  <c r="Z39" i="105"/>
  <c r="X39" i="105"/>
  <c r="N39" i="105"/>
  <c r="L39" i="105"/>
  <c r="B39" i="105"/>
  <c r="Z38" i="105"/>
  <c r="X38" i="105"/>
  <c r="L38" i="105"/>
  <c r="N38" i="105" s="1"/>
  <c r="B38" i="105"/>
  <c r="Z37" i="105"/>
  <c r="X37" i="105"/>
  <c r="L37" i="105"/>
  <c r="N37" i="105" s="1"/>
  <c r="B37" i="105"/>
  <c r="X36" i="105"/>
  <c r="Z36" i="105" s="1"/>
  <c r="L36" i="105"/>
  <c r="N36" i="105" s="1"/>
  <c r="B36" i="105"/>
  <c r="Z35" i="105"/>
  <c r="X35" i="105"/>
  <c r="N35" i="105"/>
  <c r="L35" i="105"/>
  <c r="B35" i="105"/>
  <c r="T34" i="105"/>
  <c r="P34" i="105"/>
  <c r="X34" i="105" s="1"/>
  <c r="Z34" i="105" s="1"/>
  <c r="L34" i="105"/>
  <c r="N34" i="105" s="1"/>
  <c r="H34" i="105"/>
  <c r="D34" i="105"/>
  <c r="B34" i="105"/>
  <c r="X33" i="105"/>
  <c r="Z33" i="105" s="1"/>
  <c r="N33" i="105"/>
  <c r="L33" i="105"/>
  <c r="B33" i="105"/>
  <c r="X32" i="105"/>
  <c r="Z32" i="105" s="1"/>
  <c r="N32" i="105"/>
  <c r="L32" i="105"/>
  <c r="B32" i="105"/>
  <c r="X31" i="105"/>
  <c r="Z31" i="105" s="1"/>
  <c r="L31" i="105"/>
  <c r="N31" i="105" s="1"/>
  <c r="B31" i="105"/>
  <c r="X30" i="105"/>
  <c r="Z30" i="105" s="1"/>
  <c r="N30" i="105"/>
  <c r="L30" i="105"/>
  <c r="B30" i="105"/>
  <c r="X29" i="105"/>
  <c r="Z29" i="105" s="1"/>
  <c r="N29" i="105"/>
  <c r="L29" i="105"/>
  <c r="B29" i="105"/>
  <c r="X28" i="105"/>
  <c r="Z28" i="105" s="1"/>
  <c r="N28" i="105"/>
  <c r="L28" i="105"/>
  <c r="B28" i="105"/>
  <c r="Z27" i="105"/>
  <c r="X27" i="105"/>
  <c r="L27" i="105"/>
  <c r="N27" i="105" s="1"/>
  <c r="B27" i="105"/>
  <c r="X26" i="105"/>
  <c r="Z26" i="105" s="1"/>
  <c r="N26" i="105"/>
  <c r="L26" i="105"/>
  <c r="B26" i="105"/>
  <c r="X25" i="105"/>
  <c r="Z25" i="105" s="1"/>
  <c r="N25" i="105"/>
  <c r="L25" i="105"/>
  <c r="B25" i="105"/>
  <c r="X24" i="105"/>
  <c r="T24" i="105"/>
  <c r="Z24" i="105" s="1"/>
  <c r="P24" i="105"/>
  <c r="H24" i="105"/>
  <c r="F24" i="105"/>
  <c r="D24" i="105"/>
  <c r="B24" i="105"/>
  <c r="T23" i="105"/>
  <c r="P23" i="105"/>
  <c r="H23" i="105"/>
  <c r="D23" i="105"/>
  <c r="X19" i="105"/>
  <c r="Z19" i="105" s="1"/>
  <c r="L19" i="105"/>
  <c r="N19" i="105" s="1"/>
  <c r="B19" i="105"/>
  <c r="Z18" i="105"/>
  <c r="X18" i="105"/>
  <c r="N18" i="105"/>
  <c r="L18" i="105"/>
  <c r="B18" i="105"/>
  <c r="T17" i="105"/>
  <c r="P17" i="105"/>
  <c r="H17" i="105"/>
  <c r="D17" i="105"/>
  <c r="T15" i="105"/>
  <c r="P15" i="105"/>
  <c r="X15" i="105" s="1"/>
  <c r="H15" i="105"/>
  <c r="N15" i="105" s="1"/>
  <c r="D15" i="105"/>
  <c r="L15" i="105" s="1"/>
  <c r="B15" i="105"/>
  <c r="T14" i="105"/>
  <c r="P14" i="105"/>
  <c r="X14" i="105" s="1"/>
  <c r="Z14" i="105" s="1"/>
  <c r="H14" i="105"/>
  <c r="D14" i="105"/>
  <c r="B14" i="105"/>
  <c r="T13" i="105"/>
  <c r="P13" i="105"/>
  <c r="H13" i="105"/>
  <c r="H12" i="105" s="1"/>
  <c r="D13" i="105"/>
  <c r="D12" i="105" s="1"/>
  <c r="B13" i="105"/>
  <c r="D6" i="105"/>
  <c r="D4" i="105"/>
  <c r="X46" i="104"/>
  <c r="Z46" i="104" s="1"/>
  <c r="L46" i="104"/>
  <c r="N46" i="104" s="1"/>
  <c r="T42" i="104"/>
  <c r="Z42" i="104" s="1"/>
  <c r="P42" i="104"/>
  <c r="X42" i="104" s="1"/>
  <c r="N42" i="104"/>
  <c r="H42" i="104"/>
  <c r="D42" i="104"/>
  <c r="L42" i="104" s="1"/>
  <c r="Z40" i="104"/>
  <c r="X40" i="104"/>
  <c r="L40" i="104"/>
  <c r="N40" i="104" s="1"/>
  <c r="J40" i="104"/>
  <c r="B40" i="104"/>
  <c r="T39" i="104"/>
  <c r="P39" i="104"/>
  <c r="H39" i="104"/>
  <c r="D39" i="104"/>
  <c r="B39" i="104"/>
  <c r="Z38" i="104"/>
  <c r="X38" i="104"/>
  <c r="L38" i="104"/>
  <c r="N38" i="104" s="1"/>
  <c r="B38" i="104"/>
  <c r="X37" i="104"/>
  <c r="Z37" i="104" s="1"/>
  <c r="L37" i="104"/>
  <c r="N37" i="104" s="1"/>
  <c r="B37" i="104"/>
  <c r="X36" i="104"/>
  <c r="Z36" i="104" s="1"/>
  <c r="T36" i="104"/>
  <c r="P36" i="104"/>
  <c r="H36" i="104"/>
  <c r="D36" i="104"/>
  <c r="L36" i="104" s="1"/>
  <c r="N36" i="104" s="1"/>
  <c r="B36" i="104"/>
  <c r="X35" i="104"/>
  <c r="Z35" i="104" s="1"/>
  <c r="L35" i="104"/>
  <c r="N35" i="104" s="1"/>
  <c r="B35" i="104"/>
  <c r="X34" i="104"/>
  <c r="T34" i="104"/>
  <c r="R34" i="104"/>
  <c r="P34" i="104"/>
  <c r="L34" i="104"/>
  <c r="H34" i="104"/>
  <c r="N34" i="104" s="1"/>
  <c r="D34" i="104"/>
  <c r="B34" i="104"/>
  <c r="Z33" i="104"/>
  <c r="X33" i="104"/>
  <c r="R33" i="104"/>
  <c r="L33" i="104"/>
  <c r="N33" i="104" s="1"/>
  <c r="B33" i="104"/>
  <c r="T32" i="104"/>
  <c r="P32" i="104"/>
  <c r="N32" i="104"/>
  <c r="H32" i="104"/>
  <c r="D32" i="104"/>
  <c r="L32" i="104" s="1"/>
  <c r="B32" i="104"/>
  <c r="Z31" i="104"/>
  <c r="X31" i="104"/>
  <c r="N31" i="104"/>
  <c r="L31" i="104"/>
  <c r="B31" i="104"/>
  <c r="T30" i="104"/>
  <c r="P30" i="104"/>
  <c r="X30" i="104" s="1"/>
  <c r="Z30" i="104" s="1"/>
  <c r="L30" i="104"/>
  <c r="N30" i="104" s="1"/>
  <c r="J30" i="104"/>
  <c r="H30" i="104"/>
  <c r="D30" i="104"/>
  <c r="B30" i="104"/>
  <c r="X29" i="104"/>
  <c r="Z29" i="104" s="1"/>
  <c r="N29" i="104"/>
  <c r="L29" i="104"/>
  <c r="B29" i="104"/>
  <c r="X28" i="104"/>
  <c r="Z28" i="104" s="1"/>
  <c r="N28" i="104"/>
  <c r="L28" i="104"/>
  <c r="B28" i="104"/>
  <c r="X27" i="104"/>
  <c r="Z27" i="104" s="1"/>
  <c r="T27" i="104"/>
  <c r="P27" i="104"/>
  <c r="L27" i="104"/>
  <c r="N27" i="104" s="1"/>
  <c r="H27" i="104"/>
  <c r="D27" i="104"/>
  <c r="B27" i="104"/>
  <c r="Z26" i="104"/>
  <c r="X26" i="104"/>
  <c r="N26" i="104"/>
  <c r="L26" i="104"/>
  <c r="B26" i="104"/>
  <c r="Z25" i="104"/>
  <c r="X25" i="104"/>
  <c r="L25" i="104"/>
  <c r="N25" i="104" s="1"/>
  <c r="B25" i="104"/>
  <c r="Z24" i="104"/>
  <c r="X24" i="104"/>
  <c r="R24" i="104"/>
  <c r="L24" i="104"/>
  <c r="N24" i="104" s="1"/>
  <c r="B24" i="104"/>
  <c r="T23" i="104"/>
  <c r="P23" i="104"/>
  <c r="H23" i="104"/>
  <c r="L23" i="104" s="1"/>
  <c r="D23" i="104"/>
  <c r="B23" i="104"/>
  <c r="T22" i="104"/>
  <c r="P22" i="104"/>
  <c r="X22" i="104" s="1"/>
  <c r="Z22" i="104" s="1"/>
  <c r="L22" i="104"/>
  <c r="H22" i="104"/>
  <c r="N22" i="104" s="1"/>
  <c r="D22" i="104"/>
  <c r="P20" i="104"/>
  <c r="P44" i="104" s="1"/>
  <c r="Z18" i="104"/>
  <c r="X18" i="104"/>
  <c r="L18" i="104"/>
  <c r="N18" i="104" s="1"/>
  <c r="B18" i="104"/>
  <c r="Z17" i="104"/>
  <c r="X17" i="104"/>
  <c r="L17" i="104"/>
  <c r="N17" i="104" s="1"/>
  <c r="B17" i="104"/>
  <c r="X16" i="104"/>
  <c r="T16" i="104"/>
  <c r="P16" i="104"/>
  <c r="H16" i="104"/>
  <c r="D16" i="104"/>
  <c r="L16" i="104" s="1"/>
  <c r="N16" i="104" s="1"/>
  <c r="X14" i="104"/>
  <c r="T14" i="104"/>
  <c r="P14" i="104"/>
  <c r="L14" i="104"/>
  <c r="H14" i="104"/>
  <c r="N14" i="104" s="1"/>
  <c r="D14" i="104"/>
  <c r="B14" i="104"/>
  <c r="T13" i="104"/>
  <c r="P13" i="104"/>
  <c r="P12" i="104" s="1"/>
  <c r="N13" i="104"/>
  <c r="L13" i="104"/>
  <c r="H13" i="104"/>
  <c r="H12" i="104" s="1"/>
  <c r="J24" i="104" s="1"/>
  <c r="D13" i="104"/>
  <c r="B13" i="104"/>
  <c r="D12" i="104"/>
  <c r="D6" i="104"/>
  <c r="D4" i="104"/>
  <c r="X82" i="103"/>
  <c r="Z82" i="103" s="1"/>
  <c r="N82" i="103"/>
  <c r="L82" i="103"/>
  <c r="T78" i="103"/>
  <c r="Z78" i="103" s="1"/>
  <c r="P78" i="103"/>
  <c r="N78" i="103"/>
  <c r="H78" i="103"/>
  <c r="D78" i="103"/>
  <c r="L78" i="103" s="1"/>
  <c r="X76" i="103"/>
  <c r="Z76" i="103" s="1"/>
  <c r="N76" i="103"/>
  <c r="L76" i="103"/>
  <c r="B76" i="103"/>
  <c r="T75" i="103"/>
  <c r="Z75" i="103" s="1"/>
  <c r="R75" i="103"/>
  <c r="P75" i="103"/>
  <c r="X75" i="103" s="1"/>
  <c r="N75" i="103"/>
  <c r="H75" i="103"/>
  <c r="D75" i="103"/>
  <c r="L75" i="103" s="1"/>
  <c r="B75" i="103"/>
  <c r="X74" i="103"/>
  <c r="Z74" i="103" s="1"/>
  <c r="L74" i="103"/>
  <c r="N74" i="103" s="1"/>
  <c r="B74" i="103"/>
  <c r="X73" i="103"/>
  <c r="Z73" i="103" s="1"/>
  <c r="T73" i="103"/>
  <c r="P73" i="103"/>
  <c r="L73" i="103"/>
  <c r="N73" i="103" s="1"/>
  <c r="H73" i="103"/>
  <c r="D73" i="103"/>
  <c r="B73" i="103"/>
  <c r="Z72" i="103"/>
  <c r="X72" i="103"/>
  <c r="L72" i="103"/>
  <c r="N72" i="103" s="1"/>
  <c r="B72" i="103"/>
  <c r="Z71" i="103"/>
  <c r="T71" i="103"/>
  <c r="X71" i="103" s="1"/>
  <c r="P71" i="103"/>
  <c r="L71" i="103"/>
  <c r="N71" i="103" s="1"/>
  <c r="H71" i="103"/>
  <c r="D71" i="103"/>
  <c r="B71" i="103"/>
  <c r="Z70" i="103"/>
  <c r="X70" i="103"/>
  <c r="N70" i="103"/>
  <c r="L70" i="103"/>
  <c r="B70" i="103"/>
  <c r="Z69" i="103"/>
  <c r="X69" i="103"/>
  <c r="L69" i="103"/>
  <c r="N69" i="103" s="1"/>
  <c r="B69" i="103"/>
  <c r="Z68" i="103"/>
  <c r="X68" i="103"/>
  <c r="L68" i="103"/>
  <c r="N68" i="103" s="1"/>
  <c r="B68" i="103"/>
  <c r="Z67" i="103"/>
  <c r="X67" i="103"/>
  <c r="N67" i="103"/>
  <c r="L67" i="103"/>
  <c r="B67" i="103"/>
  <c r="X66" i="103"/>
  <c r="Z66" i="103" s="1"/>
  <c r="L66" i="103"/>
  <c r="N66" i="103" s="1"/>
  <c r="B66" i="103"/>
  <c r="Z65" i="103"/>
  <c r="X65" i="103"/>
  <c r="L65" i="103"/>
  <c r="N65" i="103" s="1"/>
  <c r="B65" i="103"/>
  <c r="Z64" i="103"/>
  <c r="X64" i="103"/>
  <c r="N64" i="103"/>
  <c r="L64" i="103"/>
  <c r="B64" i="103"/>
  <c r="T63" i="103"/>
  <c r="P63" i="103"/>
  <c r="N63" i="103"/>
  <c r="H63" i="103"/>
  <c r="D63" i="103"/>
  <c r="L63" i="103" s="1"/>
  <c r="B63" i="103"/>
  <c r="X62" i="103"/>
  <c r="Z62" i="103" s="1"/>
  <c r="L62" i="103"/>
  <c r="N62" i="103" s="1"/>
  <c r="B62" i="103"/>
  <c r="X61" i="103"/>
  <c r="Z61" i="103" s="1"/>
  <c r="N61" i="103"/>
  <c r="L61" i="103"/>
  <c r="B61" i="103"/>
  <c r="X60" i="103"/>
  <c r="Z60" i="103" s="1"/>
  <c r="N60" i="103"/>
  <c r="L60" i="103"/>
  <c r="B60" i="103"/>
  <c r="T59" i="103"/>
  <c r="P59" i="103"/>
  <c r="X59" i="103" s="1"/>
  <c r="Z59" i="103" s="1"/>
  <c r="L59" i="103"/>
  <c r="N59" i="103" s="1"/>
  <c r="H59" i="103"/>
  <c r="D59" i="103"/>
  <c r="B59" i="103"/>
  <c r="Z58" i="103"/>
  <c r="X58" i="103"/>
  <c r="N58" i="103"/>
  <c r="L58" i="103"/>
  <c r="B58" i="103"/>
  <c r="Z57" i="103"/>
  <c r="X57" i="103"/>
  <c r="T57" i="103"/>
  <c r="P57" i="103"/>
  <c r="N57" i="103"/>
  <c r="L57" i="103"/>
  <c r="H57" i="103"/>
  <c r="D57" i="103"/>
  <c r="B57" i="103"/>
  <c r="Z56" i="103"/>
  <c r="X56" i="103"/>
  <c r="L56" i="103"/>
  <c r="N56" i="103" s="1"/>
  <c r="B56" i="103"/>
  <c r="T55" i="103"/>
  <c r="P55" i="103"/>
  <c r="X55" i="103" s="1"/>
  <c r="N55" i="103"/>
  <c r="H55" i="103"/>
  <c r="D55" i="103"/>
  <c r="L55" i="103" s="1"/>
  <c r="B55" i="103"/>
  <c r="X54" i="103"/>
  <c r="Z54" i="103" s="1"/>
  <c r="L54" i="103"/>
  <c r="N54" i="103" s="1"/>
  <c r="B54" i="103"/>
  <c r="Z53" i="103"/>
  <c r="T53" i="103"/>
  <c r="P53" i="103"/>
  <c r="X53" i="103" s="1"/>
  <c r="H53" i="103"/>
  <c r="D53" i="103"/>
  <c r="L53" i="103" s="1"/>
  <c r="N53" i="103" s="1"/>
  <c r="B53" i="103"/>
  <c r="Z52" i="103"/>
  <c r="X52" i="103"/>
  <c r="N52" i="103"/>
  <c r="L52" i="103"/>
  <c r="B52" i="103"/>
  <c r="T51" i="103"/>
  <c r="P51" i="103"/>
  <c r="H51" i="103"/>
  <c r="L51" i="103" s="1"/>
  <c r="D51" i="103"/>
  <c r="B51" i="103"/>
  <c r="X50" i="103"/>
  <c r="Z50" i="103" s="1"/>
  <c r="L50" i="103"/>
  <c r="N50" i="103" s="1"/>
  <c r="B50" i="103"/>
  <c r="T49" i="103"/>
  <c r="P49" i="103"/>
  <c r="H49" i="103"/>
  <c r="D49" i="103"/>
  <c r="L49" i="103" s="1"/>
  <c r="B49" i="103"/>
  <c r="Z48" i="103"/>
  <c r="X48" i="103"/>
  <c r="N48" i="103"/>
  <c r="L48" i="103"/>
  <c r="B48" i="103"/>
  <c r="Z47" i="103"/>
  <c r="X47" i="103"/>
  <c r="T47" i="103"/>
  <c r="P47" i="103"/>
  <c r="N47" i="103"/>
  <c r="L47" i="103"/>
  <c r="H47" i="103"/>
  <c r="D47" i="103"/>
  <c r="B47" i="103"/>
  <c r="X46" i="103"/>
  <c r="Z46" i="103" s="1"/>
  <c r="R46" i="103"/>
  <c r="N46" i="103"/>
  <c r="L46" i="103"/>
  <c r="B46" i="103"/>
  <c r="Z45" i="103"/>
  <c r="X45" i="103"/>
  <c r="T45" i="103"/>
  <c r="P45" i="103"/>
  <c r="L45" i="103"/>
  <c r="N45" i="103" s="1"/>
  <c r="H45" i="103"/>
  <c r="D45" i="103"/>
  <c r="B45" i="103"/>
  <c r="Z44" i="103"/>
  <c r="X44" i="103"/>
  <c r="N44" i="103"/>
  <c r="L44" i="103"/>
  <c r="B44" i="103"/>
  <c r="T43" i="103"/>
  <c r="P43" i="103"/>
  <c r="X43" i="103" s="1"/>
  <c r="N43" i="103"/>
  <c r="H43" i="103"/>
  <c r="D43" i="103"/>
  <c r="L43" i="103" s="1"/>
  <c r="B43" i="103"/>
  <c r="X42" i="103"/>
  <c r="Z42" i="103" s="1"/>
  <c r="N42" i="103"/>
  <c r="L42" i="103"/>
  <c r="B42" i="103"/>
  <c r="T41" i="103"/>
  <c r="P41" i="103"/>
  <c r="L41" i="103"/>
  <c r="H41" i="103"/>
  <c r="N41" i="103" s="1"/>
  <c r="D41" i="103"/>
  <c r="B41" i="103"/>
  <c r="X40" i="103"/>
  <c r="Z40" i="103" s="1"/>
  <c r="N40" i="103"/>
  <c r="L40" i="103"/>
  <c r="B40" i="103"/>
  <c r="Z39" i="103"/>
  <c r="X39" i="103"/>
  <c r="L39" i="103"/>
  <c r="N39" i="103" s="1"/>
  <c r="B39" i="103"/>
  <c r="Z38" i="103"/>
  <c r="X38" i="103"/>
  <c r="N38" i="103"/>
  <c r="L38" i="103"/>
  <c r="B38" i="103"/>
  <c r="Z37" i="103"/>
  <c r="X37" i="103"/>
  <c r="N37" i="103"/>
  <c r="L37" i="103"/>
  <c r="B37" i="103"/>
  <c r="X36" i="103"/>
  <c r="Z36" i="103" s="1"/>
  <c r="N36" i="103"/>
  <c r="L36" i="103"/>
  <c r="B36" i="103"/>
  <c r="Z35" i="103"/>
  <c r="X35" i="103"/>
  <c r="L35" i="103"/>
  <c r="N35" i="103" s="1"/>
  <c r="B35" i="103"/>
  <c r="Z34" i="103"/>
  <c r="X34" i="103"/>
  <c r="T34" i="103"/>
  <c r="P34" i="103"/>
  <c r="H34" i="103"/>
  <c r="D34" i="103"/>
  <c r="B34" i="103"/>
  <c r="Z33" i="103"/>
  <c r="X33" i="103"/>
  <c r="L33" i="103"/>
  <c r="N33" i="103" s="1"/>
  <c r="B33" i="103"/>
  <c r="Z32" i="103"/>
  <c r="X32" i="103"/>
  <c r="L32" i="103"/>
  <c r="N32" i="103" s="1"/>
  <c r="B32" i="103"/>
  <c r="X31" i="103"/>
  <c r="Z31" i="103" s="1"/>
  <c r="L31" i="103"/>
  <c r="N31" i="103" s="1"/>
  <c r="B31" i="103"/>
  <c r="Z30" i="103"/>
  <c r="X30" i="103"/>
  <c r="N30" i="103"/>
  <c r="L30" i="103"/>
  <c r="B30" i="103"/>
  <c r="Z29" i="103"/>
  <c r="X29" i="103"/>
  <c r="L29" i="103"/>
  <c r="N29" i="103" s="1"/>
  <c r="F29" i="103"/>
  <c r="B29" i="103"/>
  <c r="Z28" i="103"/>
  <c r="X28" i="103"/>
  <c r="L28" i="103"/>
  <c r="N28" i="103" s="1"/>
  <c r="B28" i="103"/>
  <c r="X27" i="103"/>
  <c r="Z27" i="103" s="1"/>
  <c r="L27" i="103"/>
  <c r="N27" i="103" s="1"/>
  <c r="B27" i="103"/>
  <c r="Z26" i="103"/>
  <c r="X26" i="103"/>
  <c r="N26" i="103"/>
  <c r="L26" i="103"/>
  <c r="B26" i="103"/>
  <c r="Z25" i="103"/>
  <c r="X25" i="103"/>
  <c r="L25" i="103"/>
  <c r="N25" i="103" s="1"/>
  <c r="B25" i="103"/>
  <c r="T24" i="103"/>
  <c r="P24" i="103"/>
  <c r="X24" i="103" s="1"/>
  <c r="H24" i="103"/>
  <c r="N24" i="103" s="1"/>
  <c r="D24" i="103"/>
  <c r="L24" i="103" s="1"/>
  <c r="B24" i="103"/>
  <c r="X23" i="103"/>
  <c r="T23" i="103"/>
  <c r="P23" i="103"/>
  <c r="H23" i="103"/>
  <c r="D23" i="103"/>
  <c r="X19" i="103"/>
  <c r="Z19" i="103" s="1"/>
  <c r="N19" i="103"/>
  <c r="L19" i="103"/>
  <c r="B19" i="103"/>
  <c r="Z18" i="103"/>
  <c r="X18" i="103"/>
  <c r="N18" i="103"/>
  <c r="L18" i="103"/>
  <c r="B18" i="103"/>
  <c r="T17" i="103"/>
  <c r="P17" i="103"/>
  <c r="L17" i="103"/>
  <c r="H17" i="103"/>
  <c r="N17" i="103" s="1"/>
  <c r="D17" i="103"/>
  <c r="T15" i="103"/>
  <c r="P15" i="103"/>
  <c r="H15" i="103"/>
  <c r="D15" i="103"/>
  <c r="L15" i="103" s="1"/>
  <c r="N15" i="103" s="1"/>
  <c r="B15" i="103"/>
  <c r="Z14" i="103"/>
  <c r="X14" i="103"/>
  <c r="T14" i="103"/>
  <c r="P14" i="103"/>
  <c r="H14" i="103"/>
  <c r="D14" i="103"/>
  <c r="D12" i="103" s="1"/>
  <c r="F25" i="103" s="1"/>
  <c r="B14" i="103"/>
  <c r="X13" i="103"/>
  <c r="T13" i="103"/>
  <c r="Z13" i="103" s="1"/>
  <c r="P13" i="103"/>
  <c r="P12" i="103" s="1"/>
  <c r="R40" i="103" s="1"/>
  <c r="H13" i="103"/>
  <c r="D13" i="103"/>
  <c r="L13" i="103" s="1"/>
  <c r="N13" i="103" s="1"/>
  <c r="B13" i="103"/>
  <c r="D6" i="103"/>
  <c r="D4" i="103"/>
  <c r="V48" i="102"/>
  <c r="Z46" i="102"/>
  <c r="X46" i="102"/>
  <c r="R46" i="102"/>
  <c r="N46" i="102"/>
  <c r="L46" i="102"/>
  <c r="J46" i="102"/>
  <c r="Z42" i="102"/>
  <c r="T42" i="102"/>
  <c r="P42" i="102"/>
  <c r="X42" i="102" s="1"/>
  <c r="N42" i="102"/>
  <c r="L42" i="102"/>
  <c r="H42" i="102"/>
  <c r="D42" i="102"/>
  <c r="Z40" i="102"/>
  <c r="X40" i="102"/>
  <c r="L40" i="102"/>
  <c r="N40" i="102" s="1"/>
  <c r="J40" i="102"/>
  <c r="B40" i="102"/>
  <c r="X39" i="102"/>
  <c r="T39" i="102"/>
  <c r="P39" i="102"/>
  <c r="J39" i="102"/>
  <c r="H39" i="102"/>
  <c r="D39" i="102"/>
  <c r="B39" i="102"/>
  <c r="Z38" i="102"/>
  <c r="X38" i="102"/>
  <c r="N38" i="102"/>
  <c r="L38" i="102"/>
  <c r="F38" i="102"/>
  <c r="B38" i="102"/>
  <c r="T37" i="102"/>
  <c r="P37" i="102"/>
  <c r="N37" i="102"/>
  <c r="H37" i="102"/>
  <c r="F37" i="102"/>
  <c r="D37" i="102"/>
  <c r="L37" i="102" s="1"/>
  <c r="B37" i="102"/>
  <c r="Z36" i="102"/>
  <c r="X36" i="102"/>
  <c r="V36" i="102"/>
  <c r="N36" i="102"/>
  <c r="L36" i="102"/>
  <c r="B36" i="102"/>
  <c r="V35" i="102"/>
  <c r="T35" i="102"/>
  <c r="P35" i="102"/>
  <c r="X35" i="102" s="1"/>
  <c r="Z35" i="102" s="1"/>
  <c r="N35" i="102"/>
  <c r="L35" i="102"/>
  <c r="H35" i="102"/>
  <c r="D35" i="102"/>
  <c r="B35" i="102"/>
  <c r="Z34" i="102"/>
  <c r="X34" i="102"/>
  <c r="N34" i="102"/>
  <c r="L34" i="102"/>
  <c r="B34" i="102"/>
  <c r="Z33" i="102"/>
  <c r="X33" i="102"/>
  <c r="R33" i="102"/>
  <c r="N33" i="102"/>
  <c r="L33" i="102"/>
  <c r="B33" i="102"/>
  <c r="T32" i="102"/>
  <c r="P32" i="102"/>
  <c r="X32" i="102" s="1"/>
  <c r="Z32" i="102" s="1"/>
  <c r="L32" i="102"/>
  <c r="N32" i="102" s="1"/>
  <c r="H32" i="102"/>
  <c r="F32" i="102"/>
  <c r="D32" i="102"/>
  <c r="B32" i="102"/>
  <c r="Z31" i="102"/>
  <c r="X31" i="102"/>
  <c r="N31" i="102"/>
  <c r="L31" i="102"/>
  <c r="J31" i="102"/>
  <c r="B31" i="102"/>
  <c r="Z30" i="102"/>
  <c r="X30" i="102"/>
  <c r="T30" i="102"/>
  <c r="P30" i="102"/>
  <c r="J30" i="102"/>
  <c r="H30" i="102"/>
  <c r="N30" i="102" s="1"/>
  <c r="D30" i="102"/>
  <c r="B30" i="102"/>
  <c r="X29" i="102"/>
  <c r="Z29" i="102" s="1"/>
  <c r="L29" i="102"/>
  <c r="N29" i="102" s="1"/>
  <c r="J29" i="102"/>
  <c r="B29" i="102"/>
  <c r="V28" i="102"/>
  <c r="T28" i="102"/>
  <c r="Z28" i="102" s="1"/>
  <c r="R28" i="102"/>
  <c r="P28" i="102"/>
  <c r="X28" i="102" s="1"/>
  <c r="H28" i="102"/>
  <c r="F28" i="102"/>
  <c r="D28" i="102"/>
  <c r="B28" i="102"/>
  <c r="X27" i="102"/>
  <c r="Z27" i="102" s="1"/>
  <c r="R27" i="102"/>
  <c r="N27" i="102"/>
  <c r="L27" i="102"/>
  <c r="B27" i="102"/>
  <c r="Z26" i="102"/>
  <c r="X26" i="102"/>
  <c r="N26" i="102"/>
  <c r="L26" i="102"/>
  <c r="J26" i="102"/>
  <c r="B26" i="102"/>
  <c r="X25" i="102"/>
  <c r="Z25" i="102" s="1"/>
  <c r="R25" i="102"/>
  <c r="N25" i="102"/>
  <c r="L25" i="102"/>
  <c r="F25" i="102"/>
  <c r="B25" i="102"/>
  <c r="Z24" i="102"/>
  <c r="X24" i="102"/>
  <c r="L24" i="102"/>
  <c r="N24" i="102" s="1"/>
  <c r="J24" i="102"/>
  <c r="B24" i="102"/>
  <c r="X23" i="102"/>
  <c r="Z23" i="102" s="1"/>
  <c r="R23" i="102"/>
  <c r="N23" i="102"/>
  <c r="L23" i="102"/>
  <c r="B23" i="102"/>
  <c r="Z22" i="102"/>
  <c r="X22" i="102"/>
  <c r="L22" i="102"/>
  <c r="N22" i="102" s="1"/>
  <c r="J22" i="102"/>
  <c r="B22" i="102"/>
  <c r="X21" i="102"/>
  <c r="Z21" i="102" s="1"/>
  <c r="R21" i="102"/>
  <c r="N21" i="102"/>
  <c r="L21" i="102"/>
  <c r="F21" i="102"/>
  <c r="B21" i="102"/>
  <c r="Z20" i="102"/>
  <c r="X20" i="102"/>
  <c r="L20" i="102"/>
  <c r="N20" i="102" s="1"/>
  <c r="J20" i="102"/>
  <c r="F20" i="102"/>
  <c r="B20" i="102"/>
  <c r="V19" i="102"/>
  <c r="T19" i="102"/>
  <c r="P19" i="102"/>
  <c r="J19" i="102"/>
  <c r="H19" i="102"/>
  <c r="D19" i="102"/>
  <c r="B19" i="102"/>
  <c r="X18" i="102"/>
  <c r="Z18" i="102" s="1"/>
  <c r="T18" i="102"/>
  <c r="P18" i="102"/>
  <c r="J18" i="102"/>
  <c r="H18" i="102"/>
  <c r="D18" i="102"/>
  <c r="V16" i="102"/>
  <c r="J16" i="102"/>
  <c r="Z14" i="102"/>
  <c r="X14" i="102"/>
  <c r="V14" i="102"/>
  <c r="T14" i="102"/>
  <c r="P14" i="102"/>
  <c r="J14" i="102"/>
  <c r="H14" i="102"/>
  <c r="N14" i="102" s="1"/>
  <c r="D14" i="102"/>
  <c r="Z12" i="102"/>
  <c r="X12" i="102"/>
  <c r="T12" i="102"/>
  <c r="V51" i="102" s="1"/>
  <c r="P12" i="102"/>
  <c r="R35" i="102" s="1"/>
  <c r="H12" i="102"/>
  <c r="J33" i="102" s="1"/>
  <c r="D12" i="102"/>
  <c r="F44" i="102" s="1"/>
  <c r="D6" i="102"/>
  <c r="D4" i="102"/>
  <c r="Z74" i="101"/>
  <c r="X74" i="101"/>
  <c r="N74" i="101"/>
  <c r="L74" i="101"/>
  <c r="T70" i="101"/>
  <c r="P70" i="101"/>
  <c r="N70" i="101"/>
  <c r="H70" i="101"/>
  <c r="H69" i="101" s="1"/>
  <c r="D70" i="101"/>
  <c r="B70" i="101"/>
  <c r="P69" i="101"/>
  <c r="N69" i="101"/>
  <c r="L69" i="101"/>
  <c r="D69" i="101"/>
  <c r="X67" i="101"/>
  <c r="Z67" i="101" s="1"/>
  <c r="N67" i="101"/>
  <c r="L67" i="101"/>
  <c r="B67" i="101"/>
  <c r="T66" i="101"/>
  <c r="P66" i="101"/>
  <c r="X66" i="101" s="1"/>
  <c r="H66" i="101"/>
  <c r="N66" i="101" s="1"/>
  <c r="D66" i="101"/>
  <c r="L66" i="101" s="1"/>
  <c r="B66" i="101"/>
  <c r="X65" i="101"/>
  <c r="Z65" i="101" s="1"/>
  <c r="N65" i="101"/>
  <c r="L65" i="101"/>
  <c r="B65" i="101"/>
  <c r="T64" i="101"/>
  <c r="P64" i="101"/>
  <c r="X64" i="101" s="1"/>
  <c r="Z64" i="101" s="1"/>
  <c r="L64" i="101"/>
  <c r="N64" i="101" s="1"/>
  <c r="H64" i="101"/>
  <c r="D64" i="101"/>
  <c r="B64" i="101"/>
  <c r="Z63" i="101"/>
  <c r="X63" i="101"/>
  <c r="N63" i="101"/>
  <c r="L63" i="101"/>
  <c r="B63" i="101"/>
  <c r="X62" i="101"/>
  <c r="Z62" i="101" s="1"/>
  <c r="N62" i="101"/>
  <c r="L62" i="101"/>
  <c r="B62" i="101"/>
  <c r="Z61" i="101"/>
  <c r="X61" i="101"/>
  <c r="L61" i="101"/>
  <c r="N61" i="101" s="1"/>
  <c r="B61" i="101"/>
  <c r="T60" i="101"/>
  <c r="P60" i="101"/>
  <c r="H60" i="101"/>
  <c r="L60" i="101" s="1"/>
  <c r="N60" i="101" s="1"/>
  <c r="D60" i="101"/>
  <c r="B60" i="101"/>
  <c r="Z59" i="101"/>
  <c r="X59" i="101"/>
  <c r="L59" i="101"/>
  <c r="N59" i="101" s="1"/>
  <c r="B59" i="101"/>
  <c r="Z58" i="101"/>
  <c r="X58" i="101"/>
  <c r="L58" i="101"/>
  <c r="N58" i="101" s="1"/>
  <c r="B58" i="101"/>
  <c r="T57" i="101"/>
  <c r="P57" i="101"/>
  <c r="X57" i="101" s="1"/>
  <c r="Z57" i="101" s="1"/>
  <c r="H57" i="101"/>
  <c r="D57" i="101"/>
  <c r="L57" i="101" s="1"/>
  <c r="N57" i="101" s="1"/>
  <c r="B57" i="101"/>
  <c r="Z56" i="101"/>
  <c r="X56" i="101"/>
  <c r="L56" i="101"/>
  <c r="N56" i="101" s="1"/>
  <c r="B56" i="101"/>
  <c r="T55" i="101"/>
  <c r="P55" i="101"/>
  <c r="H55" i="101"/>
  <c r="L55" i="101" s="1"/>
  <c r="D55" i="101"/>
  <c r="B55" i="101"/>
  <c r="Z54" i="101"/>
  <c r="X54" i="101"/>
  <c r="N54" i="101"/>
  <c r="L54" i="101"/>
  <c r="B54" i="101"/>
  <c r="Z53" i="101"/>
  <c r="X53" i="101"/>
  <c r="N53" i="101"/>
  <c r="L53" i="101"/>
  <c r="B53" i="101"/>
  <c r="X52" i="101"/>
  <c r="Z52" i="101" s="1"/>
  <c r="T52" i="101"/>
  <c r="P52" i="101"/>
  <c r="N52" i="101"/>
  <c r="L52" i="101"/>
  <c r="H52" i="101"/>
  <c r="D52" i="101"/>
  <c r="B52" i="101"/>
  <c r="X51" i="101"/>
  <c r="Z51" i="101" s="1"/>
  <c r="L51" i="101"/>
  <c r="N51" i="101" s="1"/>
  <c r="B51" i="101"/>
  <c r="T50" i="101"/>
  <c r="P50" i="101"/>
  <c r="H50" i="101"/>
  <c r="D50" i="101"/>
  <c r="L50" i="101" s="1"/>
  <c r="B50" i="101"/>
  <c r="X49" i="101"/>
  <c r="Z49" i="101" s="1"/>
  <c r="N49" i="101"/>
  <c r="L49" i="101"/>
  <c r="B49" i="101"/>
  <c r="X48" i="101"/>
  <c r="Z48" i="101" s="1"/>
  <c r="T48" i="101"/>
  <c r="P48" i="101"/>
  <c r="H48" i="101"/>
  <c r="D48" i="101"/>
  <c r="L48" i="101" s="1"/>
  <c r="N48" i="101" s="1"/>
  <c r="B48" i="101"/>
  <c r="Z47" i="101"/>
  <c r="X47" i="101"/>
  <c r="L47" i="101"/>
  <c r="N47" i="101" s="1"/>
  <c r="B47" i="101"/>
  <c r="X46" i="101"/>
  <c r="T46" i="101"/>
  <c r="Z46" i="101" s="1"/>
  <c r="P46" i="101"/>
  <c r="H46" i="101"/>
  <c r="D46" i="101"/>
  <c r="B46" i="101"/>
  <c r="X45" i="101"/>
  <c r="Z45" i="101" s="1"/>
  <c r="L45" i="101"/>
  <c r="N45" i="101" s="1"/>
  <c r="B45" i="101"/>
  <c r="T44" i="101"/>
  <c r="P44" i="101"/>
  <c r="X44" i="101" s="1"/>
  <c r="H44" i="101"/>
  <c r="D44" i="101"/>
  <c r="L44" i="101" s="1"/>
  <c r="B44" i="101"/>
  <c r="X43" i="101"/>
  <c r="Z43" i="101" s="1"/>
  <c r="N43" i="101"/>
  <c r="L43" i="101"/>
  <c r="B43" i="101"/>
  <c r="T42" i="101"/>
  <c r="P42" i="101"/>
  <c r="X42" i="101" s="1"/>
  <c r="Z42" i="101" s="1"/>
  <c r="H42" i="101"/>
  <c r="D42" i="101"/>
  <c r="L42" i="101" s="1"/>
  <c r="N42" i="101" s="1"/>
  <c r="B42" i="101"/>
  <c r="Z41" i="101"/>
  <c r="X41" i="101"/>
  <c r="L41" i="101"/>
  <c r="N41" i="101" s="1"/>
  <c r="B41" i="101"/>
  <c r="T40" i="101"/>
  <c r="P40" i="101"/>
  <c r="H40" i="101"/>
  <c r="L40" i="101" s="1"/>
  <c r="N40" i="101" s="1"/>
  <c r="D40" i="101"/>
  <c r="B40" i="101"/>
  <c r="Z39" i="101"/>
  <c r="X39" i="101"/>
  <c r="L39" i="101"/>
  <c r="N39" i="101" s="1"/>
  <c r="B39" i="101"/>
  <c r="T38" i="101"/>
  <c r="P38" i="101"/>
  <c r="X38" i="101" s="1"/>
  <c r="H38" i="101"/>
  <c r="D38" i="101"/>
  <c r="B38" i="101"/>
  <c r="X37" i="101"/>
  <c r="Z37" i="101" s="1"/>
  <c r="N37" i="101"/>
  <c r="L37" i="101"/>
  <c r="B37" i="101"/>
  <c r="X36" i="101"/>
  <c r="Z36" i="101" s="1"/>
  <c r="N36" i="101"/>
  <c r="L36" i="101"/>
  <c r="B36" i="101"/>
  <c r="X35" i="101"/>
  <c r="Z35" i="101" s="1"/>
  <c r="N35" i="101"/>
  <c r="L35" i="101"/>
  <c r="B35" i="101"/>
  <c r="Z34" i="101"/>
  <c r="X34" i="101"/>
  <c r="L34" i="101"/>
  <c r="N34" i="101" s="1"/>
  <c r="B34" i="101"/>
  <c r="X33" i="101"/>
  <c r="Z33" i="101" s="1"/>
  <c r="N33" i="101"/>
  <c r="L33" i="101"/>
  <c r="B33" i="101"/>
  <c r="X32" i="101"/>
  <c r="Z32" i="101" s="1"/>
  <c r="T32" i="101"/>
  <c r="P32" i="101"/>
  <c r="H32" i="101"/>
  <c r="D32" i="101"/>
  <c r="L32" i="101" s="1"/>
  <c r="N32" i="101" s="1"/>
  <c r="B32" i="101"/>
  <c r="Z31" i="101"/>
  <c r="X31" i="101"/>
  <c r="L31" i="101"/>
  <c r="N31" i="101" s="1"/>
  <c r="B31" i="101"/>
  <c r="X30" i="101"/>
  <c r="Z30" i="101" s="1"/>
  <c r="N30" i="101"/>
  <c r="L30" i="101"/>
  <c r="B30" i="101"/>
  <c r="Z29" i="101"/>
  <c r="X29" i="101"/>
  <c r="L29" i="101"/>
  <c r="N29" i="101" s="1"/>
  <c r="B29" i="101"/>
  <c r="Z28" i="101"/>
  <c r="X28" i="101"/>
  <c r="N28" i="101"/>
  <c r="L28" i="101"/>
  <c r="B28" i="101"/>
  <c r="Z27" i="101"/>
  <c r="X27" i="101"/>
  <c r="N27" i="101"/>
  <c r="L27" i="101"/>
  <c r="B27" i="101"/>
  <c r="Z26" i="101"/>
  <c r="X26" i="101"/>
  <c r="N26" i="101"/>
  <c r="L26" i="101"/>
  <c r="B26" i="101"/>
  <c r="Z25" i="101"/>
  <c r="X25" i="101"/>
  <c r="N25" i="101"/>
  <c r="L25" i="101"/>
  <c r="B25" i="101"/>
  <c r="X24" i="101"/>
  <c r="Z24" i="101" s="1"/>
  <c r="N24" i="101"/>
  <c r="L24" i="101"/>
  <c r="B24" i="101"/>
  <c r="Z23" i="101"/>
  <c r="T23" i="101"/>
  <c r="P23" i="101"/>
  <c r="X23" i="101" s="1"/>
  <c r="H23" i="101"/>
  <c r="D23" i="101"/>
  <c r="B23" i="101"/>
  <c r="T22" i="101"/>
  <c r="P22" i="101"/>
  <c r="X22" i="101" s="1"/>
  <c r="H22" i="101"/>
  <c r="D22" i="101"/>
  <c r="L22" i="101" s="1"/>
  <c r="Z18" i="101"/>
  <c r="X18" i="101"/>
  <c r="L18" i="101"/>
  <c r="N18" i="101" s="1"/>
  <c r="B18" i="101"/>
  <c r="X17" i="101"/>
  <c r="Z17" i="101" s="1"/>
  <c r="L17" i="101"/>
  <c r="N17" i="101" s="1"/>
  <c r="B17" i="101"/>
  <c r="T16" i="101"/>
  <c r="P16" i="101"/>
  <c r="H16" i="101"/>
  <c r="D16" i="101"/>
  <c r="L16" i="101" s="1"/>
  <c r="T14" i="101"/>
  <c r="P14" i="101"/>
  <c r="N14" i="101"/>
  <c r="L14" i="101"/>
  <c r="H14" i="101"/>
  <c r="D14" i="101"/>
  <c r="B14" i="101"/>
  <c r="Z13" i="101"/>
  <c r="X13" i="101"/>
  <c r="T13" i="101"/>
  <c r="P13" i="101"/>
  <c r="H13" i="101"/>
  <c r="D13" i="101"/>
  <c r="B13" i="101"/>
  <c r="D6" i="101"/>
  <c r="D4" i="101"/>
  <c r="F58" i="100"/>
  <c r="Z56" i="100"/>
  <c r="X56" i="100"/>
  <c r="L56" i="100"/>
  <c r="N56" i="100" s="1"/>
  <c r="Z52" i="100"/>
  <c r="T52" i="100"/>
  <c r="P52" i="100"/>
  <c r="X52" i="100" s="1"/>
  <c r="H52" i="100"/>
  <c r="D52" i="100"/>
  <c r="B52" i="100"/>
  <c r="T51" i="100"/>
  <c r="D51" i="100"/>
  <c r="X49" i="100"/>
  <c r="Z49" i="100" s="1"/>
  <c r="L49" i="100"/>
  <c r="N49" i="100" s="1"/>
  <c r="B49" i="100"/>
  <c r="X48" i="100"/>
  <c r="Z48" i="100" s="1"/>
  <c r="V48" i="100"/>
  <c r="T48" i="100"/>
  <c r="P48" i="100"/>
  <c r="L48" i="100"/>
  <c r="N48" i="100" s="1"/>
  <c r="H48" i="100"/>
  <c r="D48" i="100"/>
  <c r="B48" i="100"/>
  <c r="X47" i="100"/>
  <c r="Z47" i="100" s="1"/>
  <c r="N47" i="100"/>
  <c r="L47" i="100"/>
  <c r="F47" i="100"/>
  <c r="B47" i="100"/>
  <c r="T46" i="100"/>
  <c r="X46" i="100" s="1"/>
  <c r="Z46" i="100" s="1"/>
  <c r="P46" i="100"/>
  <c r="H46" i="100"/>
  <c r="L46" i="100" s="1"/>
  <c r="N46" i="100" s="1"/>
  <c r="D46" i="100"/>
  <c r="B46" i="100"/>
  <c r="Z45" i="100"/>
  <c r="X45" i="100"/>
  <c r="L45" i="100"/>
  <c r="N45" i="100" s="1"/>
  <c r="J45" i="100"/>
  <c r="B45" i="100"/>
  <c r="T44" i="100"/>
  <c r="P44" i="100"/>
  <c r="H44" i="100"/>
  <c r="N44" i="100" s="1"/>
  <c r="D44" i="100"/>
  <c r="L44" i="100" s="1"/>
  <c r="B44" i="100"/>
  <c r="X43" i="100"/>
  <c r="Z43" i="100" s="1"/>
  <c r="N43" i="100"/>
  <c r="L43" i="100"/>
  <c r="B43" i="100"/>
  <c r="Z42" i="100"/>
  <c r="X42" i="100"/>
  <c r="V42" i="100"/>
  <c r="N42" i="100"/>
  <c r="L42" i="100"/>
  <c r="B42" i="100"/>
  <c r="X41" i="100"/>
  <c r="T41" i="100"/>
  <c r="P41" i="100"/>
  <c r="H41" i="100"/>
  <c r="D41" i="100"/>
  <c r="B41" i="100"/>
  <c r="Z40" i="100"/>
  <c r="X40" i="100"/>
  <c r="N40" i="100"/>
  <c r="L40" i="100"/>
  <c r="B40" i="100"/>
  <c r="T39" i="100"/>
  <c r="P39" i="100"/>
  <c r="X39" i="100" s="1"/>
  <c r="N39" i="100"/>
  <c r="H39" i="100"/>
  <c r="D39" i="100"/>
  <c r="L39" i="100" s="1"/>
  <c r="B39" i="100"/>
  <c r="Z38" i="100"/>
  <c r="X38" i="100"/>
  <c r="L38" i="100"/>
  <c r="N38" i="100" s="1"/>
  <c r="B38" i="100"/>
  <c r="T37" i="100"/>
  <c r="P37" i="100"/>
  <c r="X37" i="100" s="1"/>
  <c r="H37" i="100"/>
  <c r="D37" i="100"/>
  <c r="L37" i="100" s="1"/>
  <c r="B37" i="100"/>
  <c r="Z36" i="100"/>
  <c r="X36" i="100"/>
  <c r="N36" i="100"/>
  <c r="L36" i="100"/>
  <c r="B36" i="100"/>
  <c r="T35" i="100"/>
  <c r="P35" i="100"/>
  <c r="H35" i="100"/>
  <c r="N35" i="100" s="1"/>
  <c r="F35" i="100"/>
  <c r="D35" i="100"/>
  <c r="L35" i="100" s="1"/>
  <c r="B35" i="100"/>
  <c r="X34" i="100"/>
  <c r="Z34" i="100" s="1"/>
  <c r="V34" i="100"/>
  <c r="N34" i="100"/>
  <c r="L34" i="100"/>
  <c r="B34" i="100"/>
  <c r="Z33" i="100"/>
  <c r="X33" i="100"/>
  <c r="T33" i="100"/>
  <c r="P33" i="100"/>
  <c r="N33" i="100"/>
  <c r="L33" i="100"/>
  <c r="H33" i="100"/>
  <c r="D33" i="100"/>
  <c r="B33" i="100"/>
  <c r="Z32" i="100"/>
  <c r="X32" i="100"/>
  <c r="N32" i="100"/>
  <c r="L32" i="100"/>
  <c r="J32" i="100"/>
  <c r="F32" i="100"/>
  <c r="B32" i="100"/>
  <c r="T31" i="100"/>
  <c r="P31" i="100"/>
  <c r="L31" i="100"/>
  <c r="H31" i="100"/>
  <c r="D31" i="100"/>
  <c r="B31" i="100"/>
  <c r="X30" i="100"/>
  <c r="Z30" i="100" s="1"/>
  <c r="N30" i="100"/>
  <c r="L30" i="100"/>
  <c r="B30" i="100"/>
  <c r="T29" i="100"/>
  <c r="P29" i="100"/>
  <c r="X29" i="100" s="1"/>
  <c r="Z29" i="100" s="1"/>
  <c r="N29" i="100"/>
  <c r="H29" i="100"/>
  <c r="D29" i="100"/>
  <c r="L29" i="100" s="1"/>
  <c r="B29" i="100"/>
  <c r="Z28" i="100"/>
  <c r="X28" i="100"/>
  <c r="L28" i="100"/>
  <c r="N28" i="100" s="1"/>
  <c r="B28" i="100"/>
  <c r="X27" i="100"/>
  <c r="Z27" i="100" s="1"/>
  <c r="L27" i="100"/>
  <c r="N27" i="100" s="1"/>
  <c r="B27" i="100"/>
  <c r="Z26" i="100"/>
  <c r="X26" i="100"/>
  <c r="L26" i="100"/>
  <c r="N26" i="100" s="1"/>
  <c r="B26" i="100"/>
  <c r="Z25" i="100"/>
  <c r="X25" i="100"/>
  <c r="V25" i="100"/>
  <c r="L25" i="100"/>
  <c r="N25" i="100" s="1"/>
  <c r="B25" i="100"/>
  <c r="T24" i="100"/>
  <c r="P24" i="100"/>
  <c r="X24" i="100" s="1"/>
  <c r="J24" i="100"/>
  <c r="H24" i="100"/>
  <c r="D24" i="100"/>
  <c r="L24" i="100" s="1"/>
  <c r="B24" i="100"/>
  <c r="X23" i="100"/>
  <c r="Z23" i="100" s="1"/>
  <c r="V23" i="100"/>
  <c r="N23" i="100"/>
  <c r="L23" i="100"/>
  <c r="B23" i="100"/>
  <c r="T22" i="100"/>
  <c r="P22" i="100"/>
  <c r="X22" i="100" s="1"/>
  <c r="Z22" i="100" s="1"/>
  <c r="L22" i="100"/>
  <c r="N22" i="100" s="1"/>
  <c r="H22" i="100"/>
  <c r="D22" i="100"/>
  <c r="B22" i="100"/>
  <c r="T21" i="100"/>
  <c r="P21" i="100"/>
  <c r="H21" i="100"/>
  <c r="D21" i="100"/>
  <c r="Z17" i="100"/>
  <c r="X17" i="100"/>
  <c r="N17" i="100"/>
  <c r="L17" i="100"/>
  <c r="B17" i="100"/>
  <c r="X16" i="100"/>
  <c r="Z16" i="100" s="1"/>
  <c r="V16" i="100"/>
  <c r="N16" i="100"/>
  <c r="L16" i="100"/>
  <c r="J16" i="100"/>
  <c r="B16" i="100"/>
  <c r="T15" i="100"/>
  <c r="P15" i="100"/>
  <c r="X15" i="100" s="1"/>
  <c r="Z15" i="100" s="1"/>
  <c r="H15" i="100"/>
  <c r="H19" i="100" s="1"/>
  <c r="D15" i="100"/>
  <c r="Z13" i="100"/>
  <c r="T13" i="100"/>
  <c r="P13" i="100"/>
  <c r="X13" i="100" s="1"/>
  <c r="N13" i="100"/>
  <c r="L13" i="100"/>
  <c r="H13" i="100"/>
  <c r="D13" i="100"/>
  <c r="B13" i="100"/>
  <c r="T12" i="100"/>
  <c r="H12" i="100"/>
  <c r="J36" i="100" s="1"/>
  <c r="D12" i="100"/>
  <c r="F51" i="100" s="1"/>
  <c r="D6" i="100"/>
  <c r="D4" i="100"/>
  <c r="R50" i="99"/>
  <c r="R47" i="99"/>
  <c r="F47" i="99"/>
  <c r="Z45" i="99"/>
  <c r="X45" i="99"/>
  <c r="R45" i="99"/>
  <c r="N45" i="99"/>
  <c r="L45" i="99"/>
  <c r="T41" i="99"/>
  <c r="T40" i="99" s="1"/>
  <c r="P41" i="99"/>
  <c r="H41" i="99"/>
  <c r="H40" i="99" s="1"/>
  <c r="D41" i="99"/>
  <c r="B41" i="99"/>
  <c r="Z40" i="99"/>
  <c r="P40" i="99"/>
  <c r="X40" i="99" s="1"/>
  <c r="D40" i="99"/>
  <c r="L40" i="99" s="1"/>
  <c r="N40" i="99" s="1"/>
  <c r="X38" i="99"/>
  <c r="Z38" i="99" s="1"/>
  <c r="L38" i="99"/>
  <c r="N38" i="99" s="1"/>
  <c r="B38" i="99"/>
  <c r="T37" i="99"/>
  <c r="R37" i="99"/>
  <c r="P37" i="99"/>
  <c r="X37" i="99" s="1"/>
  <c r="H37" i="99"/>
  <c r="F37" i="99"/>
  <c r="D37" i="99"/>
  <c r="L37" i="99" s="1"/>
  <c r="B37" i="99"/>
  <c r="X36" i="99"/>
  <c r="Z36" i="99" s="1"/>
  <c r="R36" i="99"/>
  <c r="N36" i="99"/>
  <c r="L36" i="99"/>
  <c r="B36" i="99"/>
  <c r="T35" i="99"/>
  <c r="R35" i="99"/>
  <c r="P35" i="99"/>
  <c r="X35" i="99" s="1"/>
  <c r="Z35" i="99" s="1"/>
  <c r="H35" i="99"/>
  <c r="F35" i="99"/>
  <c r="D35" i="99"/>
  <c r="L35" i="99" s="1"/>
  <c r="N35" i="99" s="1"/>
  <c r="B35" i="99"/>
  <c r="Z34" i="99"/>
  <c r="X34" i="99"/>
  <c r="R34" i="99"/>
  <c r="N34" i="99"/>
  <c r="L34" i="99"/>
  <c r="B34" i="99"/>
  <c r="T33" i="99"/>
  <c r="X33" i="99" s="1"/>
  <c r="P33" i="99"/>
  <c r="N33" i="99"/>
  <c r="H33" i="99"/>
  <c r="L33" i="99" s="1"/>
  <c r="D33" i="99"/>
  <c r="B33" i="99"/>
  <c r="Z32" i="99"/>
  <c r="X32" i="99"/>
  <c r="N32" i="99"/>
  <c r="L32" i="99"/>
  <c r="F32" i="99"/>
  <c r="B32" i="99"/>
  <c r="T31" i="99"/>
  <c r="R31" i="99"/>
  <c r="P31" i="99"/>
  <c r="X31" i="99" s="1"/>
  <c r="H31" i="99"/>
  <c r="N31" i="99" s="1"/>
  <c r="D31" i="99"/>
  <c r="L31" i="99" s="1"/>
  <c r="B31" i="99"/>
  <c r="X30" i="99"/>
  <c r="Z30" i="99" s="1"/>
  <c r="V30" i="99"/>
  <c r="R30" i="99"/>
  <c r="N30" i="99"/>
  <c r="L30" i="99"/>
  <c r="F30" i="99"/>
  <c r="B30" i="99"/>
  <c r="T29" i="99"/>
  <c r="R29" i="99"/>
  <c r="P29" i="99"/>
  <c r="X29" i="99" s="1"/>
  <c r="Z29" i="99" s="1"/>
  <c r="L29" i="99"/>
  <c r="N29" i="99" s="1"/>
  <c r="H29" i="99"/>
  <c r="D29" i="99"/>
  <c r="B29" i="99"/>
  <c r="Z28" i="99"/>
  <c r="X28" i="99"/>
  <c r="R28" i="99"/>
  <c r="L28" i="99"/>
  <c r="N28" i="99" s="1"/>
  <c r="B28" i="99"/>
  <c r="Z27" i="99"/>
  <c r="X27" i="99"/>
  <c r="R27" i="99"/>
  <c r="N27" i="99"/>
  <c r="L27" i="99"/>
  <c r="B27" i="99"/>
  <c r="Z26" i="99"/>
  <c r="X26" i="99"/>
  <c r="R26" i="99"/>
  <c r="N26" i="99"/>
  <c r="L26" i="99"/>
  <c r="B26" i="99"/>
  <c r="X25" i="99"/>
  <c r="Z25" i="99" s="1"/>
  <c r="V25" i="99"/>
  <c r="R25" i="99"/>
  <c r="L25" i="99"/>
  <c r="N25" i="99" s="1"/>
  <c r="F25" i="99"/>
  <c r="B25" i="99"/>
  <c r="Z24" i="99"/>
  <c r="X24" i="99"/>
  <c r="R24" i="99"/>
  <c r="N24" i="99"/>
  <c r="L24" i="99"/>
  <c r="B24" i="99"/>
  <c r="Z23" i="99"/>
  <c r="X23" i="99"/>
  <c r="R23" i="99"/>
  <c r="N23" i="99"/>
  <c r="L23" i="99"/>
  <c r="B23" i="99"/>
  <c r="Z22" i="99"/>
  <c r="X22" i="99"/>
  <c r="R22" i="99"/>
  <c r="N22" i="99"/>
  <c r="L22" i="99"/>
  <c r="B22" i="99"/>
  <c r="X21" i="99"/>
  <c r="Z21" i="99" s="1"/>
  <c r="R21" i="99"/>
  <c r="L21" i="99"/>
  <c r="N21" i="99" s="1"/>
  <c r="F21" i="99"/>
  <c r="B21" i="99"/>
  <c r="T20" i="99"/>
  <c r="R20" i="99"/>
  <c r="P20" i="99"/>
  <c r="X20" i="99" s="1"/>
  <c r="Z20" i="99" s="1"/>
  <c r="H20" i="99"/>
  <c r="D20" i="99"/>
  <c r="B20" i="99"/>
  <c r="T19" i="99"/>
  <c r="R19" i="99"/>
  <c r="P19" i="99"/>
  <c r="H19" i="99"/>
  <c r="F19" i="99"/>
  <c r="D19" i="99"/>
  <c r="V17" i="99"/>
  <c r="R17" i="99"/>
  <c r="P17" i="99"/>
  <c r="F17" i="99"/>
  <c r="Z15" i="99"/>
  <c r="X15" i="99"/>
  <c r="V15" i="99"/>
  <c r="R15" i="99"/>
  <c r="N15" i="99"/>
  <c r="L15" i="99"/>
  <c r="B15" i="99"/>
  <c r="Z14" i="99"/>
  <c r="X14" i="99"/>
  <c r="V14" i="99"/>
  <c r="T14" i="99"/>
  <c r="P14" i="99"/>
  <c r="H14" i="99"/>
  <c r="D14" i="99"/>
  <c r="L14" i="99" s="1"/>
  <c r="N14" i="99" s="1"/>
  <c r="T12" i="99"/>
  <c r="V38" i="99" s="1"/>
  <c r="P12" i="99"/>
  <c r="R43" i="99" s="1"/>
  <c r="H12" i="99"/>
  <c r="J50" i="99" s="1"/>
  <c r="D12" i="99"/>
  <c r="D6" i="99"/>
  <c r="D4" i="99"/>
  <c r="R29" i="98"/>
  <c r="F29" i="98"/>
  <c r="X26" i="98"/>
  <c r="R26" i="98"/>
  <c r="Z24" i="98"/>
  <c r="X24" i="98"/>
  <c r="R24" i="98"/>
  <c r="N24" i="98"/>
  <c r="L24" i="98"/>
  <c r="P22" i="98"/>
  <c r="P26" i="98" s="1"/>
  <c r="P29" i="98" s="1"/>
  <c r="Z20" i="98"/>
  <c r="X20" i="98"/>
  <c r="T20" i="98"/>
  <c r="P20" i="98"/>
  <c r="N20" i="98"/>
  <c r="L20" i="98"/>
  <c r="H20" i="98"/>
  <c r="D20" i="98"/>
  <c r="Z18" i="98"/>
  <c r="X18" i="98"/>
  <c r="V18" i="98"/>
  <c r="T18" i="98"/>
  <c r="P18" i="98"/>
  <c r="N18" i="98"/>
  <c r="H18" i="98"/>
  <c r="D18" i="98"/>
  <c r="L18" i="98" s="1"/>
  <c r="V16" i="98"/>
  <c r="P16" i="98"/>
  <c r="X16" i="98" s="1"/>
  <c r="Z14" i="98"/>
  <c r="X14" i="98"/>
  <c r="T14" i="98"/>
  <c r="P14" i="98"/>
  <c r="N14" i="98"/>
  <c r="H14" i="98"/>
  <c r="D14" i="98"/>
  <c r="T12" i="98"/>
  <c r="T16" i="98" s="1"/>
  <c r="T22" i="98" s="1"/>
  <c r="T26" i="98" s="1"/>
  <c r="P12" i="98"/>
  <c r="R22" i="98" s="1"/>
  <c r="H12" i="98"/>
  <c r="J29" i="98" s="1"/>
  <c r="D12" i="98"/>
  <c r="D6" i="98"/>
  <c r="D4" i="98"/>
  <c r="X78" i="97"/>
  <c r="Z78" i="97" s="1"/>
  <c r="N78" i="97"/>
  <c r="L78" i="97"/>
  <c r="Z74" i="97"/>
  <c r="T74" i="97"/>
  <c r="T73" i="97" s="1"/>
  <c r="Z73" i="97" s="1"/>
  <c r="P74" i="97"/>
  <c r="X74" i="97" s="1"/>
  <c r="N74" i="97"/>
  <c r="L74" i="97"/>
  <c r="H74" i="97"/>
  <c r="H73" i="97" s="1"/>
  <c r="D74" i="97"/>
  <c r="D73" i="97" s="1"/>
  <c r="B74" i="97"/>
  <c r="X73" i="97"/>
  <c r="P73" i="97"/>
  <c r="N73" i="97"/>
  <c r="L73" i="97"/>
  <c r="X71" i="97"/>
  <c r="Z71" i="97" s="1"/>
  <c r="N71" i="97"/>
  <c r="L71" i="97"/>
  <c r="B71" i="97"/>
  <c r="T70" i="97"/>
  <c r="P70" i="97"/>
  <c r="L70" i="97"/>
  <c r="H70" i="97"/>
  <c r="N70" i="97" s="1"/>
  <c r="D70" i="97"/>
  <c r="B70" i="97"/>
  <c r="Z69" i="97"/>
  <c r="X69" i="97"/>
  <c r="N69" i="97"/>
  <c r="L69" i="97"/>
  <c r="B69" i="97"/>
  <c r="Z68" i="97"/>
  <c r="T68" i="97"/>
  <c r="P68" i="97"/>
  <c r="X68" i="97" s="1"/>
  <c r="N68" i="97"/>
  <c r="L68" i="97"/>
  <c r="H68" i="97"/>
  <c r="D68" i="97"/>
  <c r="B68" i="97"/>
  <c r="X67" i="97"/>
  <c r="Z67" i="97" s="1"/>
  <c r="L67" i="97"/>
  <c r="N67" i="97" s="1"/>
  <c r="B67" i="97"/>
  <c r="Z66" i="97"/>
  <c r="X66" i="97"/>
  <c r="N66" i="97"/>
  <c r="L66" i="97"/>
  <c r="B66" i="97"/>
  <c r="Z65" i="97"/>
  <c r="X65" i="97"/>
  <c r="N65" i="97"/>
  <c r="L65" i="97"/>
  <c r="B65" i="97"/>
  <c r="Z64" i="97"/>
  <c r="X64" i="97"/>
  <c r="L64" i="97"/>
  <c r="N64" i="97" s="1"/>
  <c r="B64" i="97"/>
  <c r="X63" i="97"/>
  <c r="T63" i="97"/>
  <c r="Z63" i="97" s="1"/>
  <c r="P63" i="97"/>
  <c r="H63" i="97"/>
  <c r="D63" i="97"/>
  <c r="L63" i="97" s="1"/>
  <c r="B63" i="97"/>
  <c r="X62" i="97"/>
  <c r="Z62" i="97" s="1"/>
  <c r="N62" i="97"/>
  <c r="L62" i="97"/>
  <c r="B62" i="97"/>
  <c r="X61" i="97"/>
  <c r="Z61" i="97" s="1"/>
  <c r="T61" i="97"/>
  <c r="P61" i="97"/>
  <c r="H61" i="97"/>
  <c r="D61" i="97"/>
  <c r="L61" i="97" s="1"/>
  <c r="N61" i="97" s="1"/>
  <c r="B61" i="97"/>
  <c r="X60" i="97"/>
  <c r="Z60" i="97" s="1"/>
  <c r="L60" i="97"/>
  <c r="N60" i="97" s="1"/>
  <c r="B60" i="97"/>
  <c r="X59" i="97"/>
  <c r="Z59" i="97" s="1"/>
  <c r="N59" i="97"/>
  <c r="L59" i="97"/>
  <c r="B59" i="97"/>
  <c r="X58" i="97"/>
  <c r="Z58" i="97" s="1"/>
  <c r="L58" i="97"/>
  <c r="N58" i="97" s="1"/>
  <c r="B58" i="97"/>
  <c r="T57" i="97"/>
  <c r="X57" i="97" s="1"/>
  <c r="P57" i="97"/>
  <c r="H57" i="97"/>
  <c r="N57" i="97" s="1"/>
  <c r="D57" i="97"/>
  <c r="L57" i="97" s="1"/>
  <c r="B57" i="97"/>
  <c r="X56" i="97"/>
  <c r="Z56" i="97" s="1"/>
  <c r="L56" i="97"/>
  <c r="N56" i="97" s="1"/>
  <c r="B56" i="97"/>
  <c r="Z55" i="97"/>
  <c r="X55" i="97"/>
  <c r="N55" i="97"/>
  <c r="L55" i="97"/>
  <c r="B55" i="97"/>
  <c r="T54" i="97"/>
  <c r="Z54" i="97" s="1"/>
  <c r="P54" i="97"/>
  <c r="X54" i="97" s="1"/>
  <c r="N54" i="97"/>
  <c r="H54" i="97"/>
  <c r="D54" i="97"/>
  <c r="L54" i="97" s="1"/>
  <c r="B54" i="97"/>
  <c r="Z53" i="97"/>
  <c r="X53" i="97"/>
  <c r="N53" i="97"/>
  <c r="L53" i="97"/>
  <c r="B53" i="97"/>
  <c r="X52" i="97"/>
  <c r="Z52" i="97" s="1"/>
  <c r="N52" i="97"/>
  <c r="L52" i="97"/>
  <c r="B52" i="97"/>
  <c r="Z51" i="97"/>
  <c r="X51" i="97"/>
  <c r="T51" i="97"/>
  <c r="P51" i="97"/>
  <c r="L51" i="97"/>
  <c r="N51" i="97" s="1"/>
  <c r="H51" i="97"/>
  <c r="D51" i="97"/>
  <c r="B51" i="97"/>
  <c r="Z50" i="97"/>
  <c r="X50" i="97"/>
  <c r="N50" i="97"/>
  <c r="L50" i="97"/>
  <c r="B50" i="97"/>
  <c r="T49" i="97"/>
  <c r="P49" i="97"/>
  <c r="L49" i="97"/>
  <c r="H49" i="97"/>
  <c r="N49" i="97" s="1"/>
  <c r="D49" i="97"/>
  <c r="B49" i="97"/>
  <c r="X48" i="97"/>
  <c r="Z48" i="97" s="1"/>
  <c r="L48" i="97"/>
  <c r="N48" i="97" s="1"/>
  <c r="B48" i="97"/>
  <c r="T47" i="97"/>
  <c r="P47" i="97"/>
  <c r="X47" i="97" s="1"/>
  <c r="H47" i="97"/>
  <c r="N47" i="97" s="1"/>
  <c r="D47" i="97"/>
  <c r="L47" i="97" s="1"/>
  <c r="B47" i="97"/>
  <c r="X46" i="97"/>
  <c r="Z46" i="97" s="1"/>
  <c r="N46" i="97"/>
  <c r="L46" i="97"/>
  <c r="B46" i="97"/>
  <c r="X45" i="97"/>
  <c r="Z45" i="97" s="1"/>
  <c r="N45" i="97"/>
  <c r="L45" i="97"/>
  <c r="J45" i="97"/>
  <c r="B45" i="97"/>
  <c r="X44" i="97"/>
  <c r="T44" i="97"/>
  <c r="Z44" i="97" s="1"/>
  <c r="P44" i="97"/>
  <c r="H44" i="97"/>
  <c r="D44" i="97"/>
  <c r="B44" i="97"/>
  <c r="X43" i="97"/>
  <c r="Z43" i="97" s="1"/>
  <c r="N43" i="97"/>
  <c r="L43" i="97"/>
  <c r="B43" i="97"/>
  <c r="Z42" i="97"/>
  <c r="T42" i="97"/>
  <c r="P42" i="97"/>
  <c r="X42" i="97" s="1"/>
  <c r="H42" i="97"/>
  <c r="D42" i="97"/>
  <c r="L42" i="97" s="1"/>
  <c r="B42" i="97"/>
  <c r="Z41" i="97"/>
  <c r="X41" i="97"/>
  <c r="L41" i="97"/>
  <c r="N41" i="97" s="1"/>
  <c r="B41" i="97"/>
  <c r="X40" i="97"/>
  <c r="Z40" i="97" s="1"/>
  <c r="T40" i="97"/>
  <c r="P40" i="97"/>
  <c r="H40" i="97"/>
  <c r="D40" i="97"/>
  <c r="L40" i="97" s="1"/>
  <c r="N40" i="97" s="1"/>
  <c r="B40" i="97"/>
  <c r="X39" i="97"/>
  <c r="Z39" i="97" s="1"/>
  <c r="L39" i="97"/>
  <c r="N39" i="97" s="1"/>
  <c r="B39" i="97"/>
  <c r="T38" i="97"/>
  <c r="P38" i="97"/>
  <c r="L38" i="97"/>
  <c r="H38" i="97"/>
  <c r="N38" i="97" s="1"/>
  <c r="D38" i="97"/>
  <c r="B38" i="97"/>
  <c r="Z37" i="97"/>
  <c r="X37" i="97"/>
  <c r="N37" i="97"/>
  <c r="L37" i="97"/>
  <c r="B37" i="97"/>
  <c r="Z36" i="97"/>
  <c r="X36" i="97"/>
  <c r="L36" i="97"/>
  <c r="N36" i="97" s="1"/>
  <c r="J36" i="97"/>
  <c r="B36" i="97"/>
  <c r="X35" i="97"/>
  <c r="Z35" i="97" s="1"/>
  <c r="N35" i="97"/>
  <c r="L35" i="97"/>
  <c r="B35" i="97"/>
  <c r="Z34" i="97"/>
  <c r="X34" i="97"/>
  <c r="N34" i="97"/>
  <c r="L34" i="97"/>
  <c r="B34" i="97"/>
  <c r="Z33" i="97"/>
  <c r="X33" i="97"/>
  <c r="R33" i="97"/>
  <c r="L33" i="97"/>
  <c r="N33" i="97" s="1"/>
  <c r="B33" i="97"/>
  <c r="T32" i="97"/>
  <c r="P32" i="97"/>
  <c r="N32" i="97"/>
  <c r="H32" i="97"/>
  <c r="D32" i="97"/>
  <c r="L32" i="97" s="1"/>
  <c r="B32" i="97"/>
  <c r="Z31" i="97"/>
  <c r="X31" i="97"/>
  <c r="N31" i="97"/>
  <c r="L31" i="97"/>
  <c r="B31" i="97"/>
  <c r="Z30" i="97"/>
  <c r="X30" i="97"/>
  <c r="L30" i="97"/>
  <c r="N30" i="97" s="1"/>
  <c r="B30" i="97"/>
  <c r="X29" i="97"/>
  <c r="Z29" i="97" s="1"/>
  <c r="L29" i="97"/>
  <c r="N29" i="97" s="1"/>
  <c r="B29" i="97"/>
  <c r="X28" i="97"/>
  <c r="Z28" i="97" s="1"/>
  <c r="L28" i="97"/>
  <c r="N28" i="97" s="1"/>
  <c r="B28" i="97"/>
  <c r="Z27" i="97"/>
  <c r="X27" i="97"/>
  <c r="N27" i="97"/>
  <c r="L27" i="97"/>
  <c r="B27" i="97"/>
  <c r="Z26" i="97"/>
  <c r="X26" i="97"/>
  <c r="L26" i="97"/>
  <c r="N26" i="97" s="1"/>
  <c r="B26" i="97"/>
  <c r="X25" i="97"/>
  <c r="Z25" i="97" s="1"/>
  <c r="L25" i="97"/>
  <c r="N25" i="97" s="1"/>
  <c r="B25" i="97"/>
  <c r="X24" i="97"/>
  <c r="Z24" i="97" s="1"/>
  <c r="L24" i="97"/>
  <c r="N24" i="97" s="1"/>
  <c r="B24" i="97"/>
  <c r="T23" i="97"/>
  <c r="R23" i="97"/>
  <c r="P23" i="97"/>
  <c r="X23" i="97" s="1"/>
  <c r="H23" i="97"/>
  <c r="N23" i="97" s="1"/>
  <c r="D23" i="97"/>
  <c r="L23" i="97" s="1"/>
  <c r="B23" i="97"/>
  <c r="X22" i="97"/>
  <c r="T22" i="97"/>
  <c r="P22" i="97"/>
  <c r="L22" i="97"/>
  <c r="H22" i="97"/>
  <c r="N22" i="97" s="1"/>
  <c r="D22" i="97"/>
  <c r="X18" i="97"/>
  <c r="Z18" i="97" s="1"/>
  <c r="R18" i="97"/>
  <c r="N18" i="97"/>
  <c r="L18" i="97"/>
  <c r="B18" i="97"/>
  <c r="X17" i="97"/>
  <c r="Z17" i="97" s="1"/>
  <c r="N17" i="97"/>
  <c r="L17" i="97"/>
  <c r="J17" i="97"/>
  <c r="B17" i="97"/>
  <c r="T16" i="97"/>
  <c r="P16" i="97"/>
  <c r="L16" i="97"/>
  <c r="H16" i="97"/>
  <c r="D16" i="97"/>
  <c r="T14" i="97"/>
  <c r="P14" i="97"/>
  <c r="X14" i="97" s="1"/>
  <c r="H14" i="97"/>
  <c r="D14" i="97"/>
  <c r="L14" i="97" s="1"/>
  <c r="N14" i="97" s="1"/>
  <c r="B14" i="97"/>
  <c r="Z13" i="97"/>
  <c r="X13" i="97"/>
  <c r="T13" i="97"/>
  <c r="P13" i="97"/>
  <c r="H13" i="97"/>
  <c r="H12" i="97" s="1"/>
  <c r="J53" i="97" s="1"/>
  <c r="D13" i="97"/>
  <c r="B13" i="97"/>
  <c r="P12" i="97"/>
  <c r="R59" i="97" s="1"/>
  <c r="D6" i="97"/>
  <c r="D4" i="97"/>
  <c r="Z85" i="95"/>
  <c r="X85" i="95"/>
  <c r="N85" i="95"/>
  <c r="L85" i="95"/>
  <c r="T81" i="95"/>
  <c r="R81" i="95"/>
  <c r="P81" i="95"/>
  <c r="H81" i="95"/>
  <c r="N81" i="95" s="1"/>
  <c r="D81" i="95"/>
  <c r="X79" i="95"/>
  <c r="Z79" i="95" s="1"/>
  <c r="N79" i="95"/>
  <c r="L79" i="95"/>
  <c r="B79" i="95"/>
  <c r="X78" i="95"/>
  <c r="Z78" i="95" s="1"/>
  <c r="T78" i="95"/>
  <c r="P78" i="95"/>
  <c r="N78" i="95"/>
  <c r="L78" i="95"/>
  <c r="H78" i="95"/>
  <c r="D78" i="95"/>
  <c r="B78" i="95"/>
  <c r="Z77" i="95"/>
  <c r="X77" i="95"/>
  <c r="L77" i="95"/>
  <c r="N77" i="95" s="1"/>
  <c r="B77" i="95"/>
  <c r="T76" i="95"/>
  <c r="P76" i="95"/>
  <c r="N76" i="95"/>
  <c r="H76" i="95"/>
  <c r="L76" i="95" s="1"/>
  <c r="D76" i="95"/>
  <c r="B76" i="95"/>
  <c r="Z75" i="95"/>
  <c r="X75" i="95"/>
  <c r="L75" i="95"/>
  <c r="N75" i="95" s="1"/>
  <c r="B75" i="95"/>
  <c r="Z74" i="95"/>
  <c r="X74" i="95"/>
  <c r="L74" i="95"/>
  <c r="N74" i="95" s="1"/>
  <c r="B74" i="95"/>
  <c r="X73" i="95"/>
  <c r="Z73" i="95" s="1"/>
  <c r="L73" i="95"/>
  <c r="N73" i="95" s="1"/>
  <c r="B73" i="95"/>
  <c r="Z72" i="95"/>
  <c r="X72" i="95"/>
  <c r="N72" i="95"/>
  <c r="L72" i="95"/>
  <c r="B72" i="95"/>
  <c r="Z71" i="95"/>
  <c r="X71" i="95"/>
  <c r="L71" i="95"/>
  <c r="N71" i="95" s="1"/>
  <c r="F71" i="95"/>
  <c r="B71" i="95"/>
  <c r="Z70" i="95"/>
  <c r="X70" i="95"/>
  <c r="N70" i="95"/>
  <c r="L70" i="95"/>
  <c r="B70" i="95"/>
  <c r="Z69" i="95"/>
  <c r="X69" i="95"/>
  <c r="N69" i="95"/>
  <c r="L69" i="95"/>
  <c r="B69" i="95"/>
  <c r="T68" i="95"/>
  <c r="Z68" i="95" s="1"/>
  <c r="P68" i="95"/>
  <c r="X68" i="95" s="1"/>
  <c r="H68" i="95"/>
  <c r="D68" i="95"/>
  <c r="L68" i="95" s="1"/>
  <c r="B68" i="95"/>
  <c r="X67" i="95"/>
  <c r="Z67" i="95" s="1"/>
  <c r="R67" i="95"/>
  <c r="N67" i="95"/>
  <c r="L67" i="95"/>
  <c r="B67" i="95"/>
  <c r="X66" i="95"/>
  <c r="Z66" i="95" s="1"/>
  <c r="T66" i="95"/>
  <c r="P66" i="95"/>
  <c r="L66" i="95"/>
  <c r="N66" i="95" s="1"/>
  <c r="H66" i="95"/>
  <c r="D66" i="95"/>
  <c r="B66" i="95"/>
  <c r="Z65" i="95"/>
  <c r="X65" i="95"/>
  <c r="L65" i="95"/>
  <c r="N65" i="95" s="1"/>
  <c r="B65" i="95"/>
  <c r="X64" i="95"/>
  <c r="Z64" i="95" s="1"/>
  <c r="N64" i="95"/>
  <c r="L64" i="95"/>
  <c r="B64" i="95"/>
  <c r="Z63" i="95"/>
  <c r="X63" i="95"/>
  <c r="N63" i="95"/>
  <c r="L63" i="95"/>
  <c r="B63" i="95"/>
  <c r="Z62" i="95"/>
  <c r="X62" i="95"/>
  <c r="N62" i="95"/>
  <c r="L62" i="95"/>
  <c r="F62" i="95"/>
  <c r="B62" i="95"/>
  <c r="Z61" i="95"/>
  <c r="X61" i="95"/>
  <c r="L61" i="95"/>
  <c r="N61" i="95" s="1"/>
  <c r="B61" i="95"/>
  <c r="X60" i="95"/>
  <c r="T60" i="95"/>
  <c r="P60" i="95"/>
  <c r="N60" i="95"/>
  <c r="H60" i="95"/>
  <c r="L60" i="95" s="1"/>
  <c r="D60" i="95"/>
  <c r="B60" i="95"/>
  <c r="X59" i="95"/>
  <c r="Z59" i="95" s="1"/>
  <c r="L59" i="95"/>
  <c r="N59" i="95" s="1"/>
  <c r="B59" i="95"/>
  <c r="Z58" i="95"/>
  <c r="X58" i="95"/>
  <c r="N58" i="95"/>
  <c r="L58" i="95"/>
  <c r="B58" i="95"/>
  <c r="X57" i="95"/>
  <c r="Z57" i="95" s="1"/>
  <c r="T57" i="95"/>
  <c r="P57" i="95"/>
  <c r="N57" i="95"/>
  <c r="L57" i="95"/>
  <c r="H57" i="95"/>
  <c r="D57" i="95"/>
  <c r="B57" i="95"/>
  <c r="Z56" i="95"/>
  <c r="X56" i="95"/>
  <c r="L56" i="95"/>
  <c r="N56" i="95" s="1"/>
  <c r="B56" i="95"/>
  <c r="X55" i="95"/>
  <c r="T55" i="95"/>
  <c r="R55" i="95"/>
  <c r="P55" i="95"/>
  <c r="H55" i="95"/>
  <c r="L55" i="95" s="1"/>
  <c r="D55" i="95"/>
  <c r="B55" i="95"/>
  <c r="Z54" i="95"/>
  <c r="X54" i="95"/>
  <c r="L54" i="95"/>
  <c r="N54" i="95" s="1"/>
  <c r="B54" i="95"/>
  <c r="T53" i="95"/>
  <c r="P53" i="95"/>
  <c r="H53" i="95"/>
  <c r="D53" i="95"/>
  <c r="L53" i="95" s="1"/>
  <c r="N53" i="95" s="1"/>
  <c r="B53" i="95"/>
  <c r="Z52" i="95"/>
  <c r="X52" i="95"/>
  <c r="N52" i="95"/>
  <c r="L52" i="95"/>
  <c r="B52" i="95"/>
  <c r="T51" i="95"/>
  <c r="P51" i="95"/>
  <c r="X51" i="95" s="1"/>
  <c r="Z51" i="95" s="1"/>
  <c r="N51" i="95"/>
  <c r="L51" i="95"/>
  <c r="H51" i="95"/>
  <c r="D51" i="95"/>
  <c r="B51" i="95"/>
  <c r="Z50" i="95"/>
  <c r="X50" i="95"/>
  <c r="N50" i="95"/>
  <c r="L50" i="95"/>
  <c r="B50" i="95"/>
  <c r="X49" i="95"/>
  <c r="T49" i="95"/>
  <c r="P49" i="95"/>
  <c r="L49" i="95"/>
  <c r="H49" i="95"/>
  <c r="D49" i="95"/>
  <c r="B49" i="95"/>
  <c r="Z48" i="95"/>
  <c r="X48" i="95"/>
  <c r="R48" i="95"/>
  <c r="N48" i="95"/>
  <c r="L48" i="95"/>
  <c r="B48" i="95"/>
  <c r="T47" i="95"/>
  <c r="P47" i="95"/>
  <c r="X47" i="95" s="1"/>
  <c r="Z47" i="95" s="1"/>
  <c r="N47" i="95"/>
  <c r="H47" i="95"/>
  <c r="D47" i="95"/>
  <c r="L47" i="95" s="1"/>
  <c r="B47" i="95"/>
  <c r="Z46" i="95"/>
  <c r="X46" i="95"/>
  <c r="N46" i="95"/>
  <c r="L46" i="95"/>
  <c r="B46" i="95"/>
  <c r="X45" i="95"/>
  <c r="Z45" i="95" s="1"/>
  <c r="L45" i="95"/>
  <c r="N45" i="95" s="1"/>
  <c r="F45" i="95"/>
  <c r="B45" i="95"/>
  <c r="T44" i="95"/>
  <c r="P44" i="95"/>
  <c r="H44" i="95"/>
  <c r="D44" i="95"/>
  <c r="L44" i="95" s="1"/>
  <c r="B44" i="95"/>
  <c r="X43" i="95"/>
  <c r="Z43" i="95" s="1"/>
  <c r="N43" i="95"/>
  <c r="L43" i="95"/>
  <c r="B43" i="95"/>
  <c r="T42" i="95"/>
  <c r="P42" i="95"/>
  <c r="X42" i="95" s="1"/>
  <c r="Z42" i="95" s="1"/>
  <c r="L42" i="95"/>
  <c r="N42" i="95" s="1"/>
  <c r="H42" i="95"/>
  <c r="D42" i="95"/>
  <c r="B42" i="95"/>
  <c r="Z41" i="95"/>
  <c r="X41" i="95"/>
  <c r="L41" i="95"/>
  <c r="N41" i="95" s="1"/>
  <c r="B41" i="95"/>
  <c r="T40" i="95"/>
  <c r="X40" i="95" s="1"/>
  <c r="Z40" i="95" s="1"/>
  <c r="P40" i="95"/>
  <c r="H40" i="95"/>
  <c r="D40" i="95"/>
  <c r="B40" i="95"/>
  <c r="Z39" i="95"/>
  <c r="X39" i="95"/>
  <c r="L39" i="95"/>
  <c r="N39" i="95" s="1"/>
  <c r="B39" i="95"/>
  <c r="T38" i="95"/>
  <c r="P38" i="95"/>
  <c r="X38" i="95" s="1"/>
  <c r="H38" i="95"/>
  <c r="F38" i="95"/>
  <c r="D38" i="95"/>
  <c r="B38" i="95"/>
  <c r="X37" i="95"/>
  <c r="Z37" i="95" s="1"/>
  <c r="N37" i="95"/>
  <c r="L37" i="95"/>
  <c r="F37" i="95"/>
  <c r="B37" i="95"/>
  <c r="X36" i="95"/>
  <c r="Z36" i="95" s="1"/>
  <c r="N36" i="95"/>
  <c r="L36" i="95"/>
  <c r="F36" i="95"/>
  <c r="B36" i="95"/>
  <c r="X35" i="95"/>
  <c r="Z35" i="95" s="1"/>
  <c r="N35" i="95"/>
  <c r="L35" i="95"/>
  <c r="F35" i="95"/>
  <c r="B35" i="95"/>
  <c r="Z34" i="95"/>
  <c r="X34" i="95"/>
  <c r="L34" i="95"/>
  <c r="N34" i="95" s="1"/>
  <c r="B34" i="95"/>
  <c r="X33" i="95"/>
  <c r="Z33" i="95" s="1"/>
  <c r="N33" i="95"/>
  <c r="L33" i="95"/>
  <c r="F33" i="95"/>
  <c r="B33" i="95"/>
  <c r="X32" i="95"/>
  <c r="Z32" i="95" s="1"/>
  <c r="T32" i="95"/>
  <c r="P32" i="95"/>
  <c r="H32" i="95"/>
  <c r="D32" i="95"/>
  <c r="B32" i="95"/>
  <c r="Z31" i="95"/>
  <c r="X31" i="95"/>
  <c r="N31" i="95"/>
  <c r="L31" i="95"/>
  <c r="B31" i="95"/>
  <c r="X30" i="95"/>
  <c r="Z30" i="95" s="1"/>
  <c r="R30" i="95"/>
  <c r="N30" i="95"/>
  <c r="L30" i="95"/>
  <c r="F30" i="95"/>
  <c r="B30" i="95"/>
  <c r="Z29" i="95"/>
  <c r="X29" i="95"/>
  <c r="L29" i="95"/>
  <c r="N29" i="95" s="1"/>
  <c r="B29" i="95"/>
  <c r="Z28" i="95"/>
  <c r="X28" i="95"/>
  <c r="N28" i="95"/>
  <c r="L28" i="95"/>
  <c r="B28" i="95"/>
  <c r="Z27" i="95"/>
  <c r="X27" i="95"/>
  <c r="R27" i="95"/>
  <c r="N27" i="95"/>
  <c r="L27" i="95"/>
  <c r="B27" i="95"/>
  <c r="Z26" i="95"/>
  <c r="X26" i="95"/>
  <c r="N26" i="95"/>
  <c r="L26" i="95"/>
  <c r="F26" i="95"/>
  <c r="B26" i="95"/>
  <c r="Z25" i="95"/>
  <c r="X25" i="95"/>
  <c r="N25" i="95"/>
  <c r="L25" i="95"/>
  <c r="B25" i="95"/>
  <c r="X24" i="95"/>
  <c r="Z24" i="95" s="1"/>
  <c r="R24" i="95"/>
  <c r="N24" i="95"/>
  <c r="L24" i="95"/>
  <c r="F24" i="95"/>
  <c r="B24" i="95"/>
  <c r="T23" i="95"/>
  <c r="P23" i="95"/>
  <c r="X23" i="95" s="1"/>
  <c r="Z23" i="95" s="1"/>
  <c r="H23" i="95"/>
  <c r="D23" i="95"/>
  <c r="L23" i="95" s="1"/>
  <c r="N23" i="95" s="1"/>
  <c r="B23" i="95"/>
  <c r="T22" i="95"/>
  <c r="P22" i="95"/>
  <c r="H22" i="95"/>
  <c r="D22" i="95"/>
  <c r="L22" i="95" s="1"/>
  <c r="Z18" i="95"/>
  <c r="X18" i="95"/>
  <c r="R18" i="95"/>
  <c r="L18" i="95"/>
  <c r="N18" i="95" s="1"/>
  <c r="B18" i="95"/>
  <c r="Z17" i="95"/>
  <c r="X17" i="95"/>
  <c r="L17" i="95"/>
  <c r="N17" i="95" s="1"/>
  <c r="B17" i="95"/>
  <c r="T16" i="95"/>
  <c r="P16" i="95"/>
  <c r="H16" i="95"/>
  <c r="D16" i="95"/>
  <c r="L16" i="95" s="1"/>
  <c r="T14" i="95"/>
  <c r="P14" i="95"/>
  <c r="X14" i="95" s="1"/>
  <c r="N14" i="95"/>
  <c r="L14" i="95"/>
  <c r="H14" i="95"/>
  <c r="D14" i="95"/>
  <c r="B14" i="95"/>
  <c r="Z13" i="95"/>
  <c r="X13" i="95"/>
  <c r="T13" i="95"/>
  <c r="T12" i="95" s="1"/>
  <c r="V75" i="95" s="1"/>
  <c r="P13" i="95"/>
  <c r="L13" i="95"/>
  <c r="H13" i="95"/>
  <c r="D13" i="95"/>
  <c r="D12" i="95" s="1"/>
  <c r="F49" i="95" s="1"/>
  <c r="B13" i="95"/>
  <c r="P12" i="95"/>
  <c r="R62" i="95" s="1"/>
  <c r="D6" i="95"/>
  <c r="D4" i="95"/>
  <c r="Z72" i="94"/>
  <c r="X72" i="94"/>
  <c r="L72" i="94"/>
  <c r="N72" i="94" s="1"/>
  <c r="T68" i="94"/>
  <c r="Z68" i="94" s="1"/>
  <c r="P68" i="94"/>
  <c r="H68" i="94"/>
  <c r="N68" i="94" s="1"/>
  <c r="D68" i="94"/>
  <c r="Z66" i="94"/>
  <c r="X66" i="94"/>
  <c r="N66" i="94"/>
  <c r="L66" i="94"/>
  <c r="B66" i="94"/>
  <c r="X65" i="94"/>
  <c r="Z65" i="94" s="1"/>
  <c r="T65" i="94"/>
  <c r="P65" i="94"/>
  <c r="N65" i="94"/>
  <c r="L65" i="94"/>
  <c r="H65" i="94"/>
  <c r="D65" i="94"/>
  <c r="B65" i="94"/>
  <c r="Z64" i="94"/>
  <c r="X64" i="94"/>
  <c r="N64" i="94"/>
  <c r="L64" i="94"/>
  <c r="B64" i="94"/>
  <c r="X63" i="94"/>
  <c r="Z63" i="94" s="1"/>
  <c r="N63" i="94"/>
  <c r="L63" i="94"/>
  <c r="B63" i="94"/>
  <c r="X62" i="94"/>
  <c r="Z62" i="94" s="1"/>
  <c r="N62" i="94"/>
  <c r="L62" i="94"/>
  <c r="B62" i="94"/>
  <c r="X61" i="94"/>
  <c r="Z61" i="94" s="1"/>
  <c r="N61" i="94"/>
  <c r="L61" i="94"/>
  <c r="B61" i="94"/>
  <c r="X60" i="94"/>
  <c r="Z60" i="94" s="1"/>
  <c r="N60" i="94"/>
  <c r="L60" i="94"/>
  <c r="B60" i="94"/>
  <c r="X59" i="94"/>
  <c r="Z59" i="94" s="1"/>
  <c r="N59" i="94"/>
  <c r="L59" i="94"/>
  <c r="B59" i="94"/>
  <c r="X58" i="94"/>
  <c r="Z58" i="94" s="1"/>
  <c r="L58" i="94"/>
  <c r="N58" i="94" s="1"/>
  <c r="B58" i="94"/>
  <c r="T57" i="94"/>
  <c r="P57" i="94"/>
  <c r="X57" i="94" s="1"/>
  <c r="H57" i="94"/>
  <c r="L57" i="94" s="1"/>
  <c r="D57" i="94"/>
  <c r="B57" i="94"/>
  <c r="X56" i="94"/>
  <c r="Z56" i="94" s="1"/>
  <c r="L56" i="94"/>
  <c r="N56" i="94" s="1"/>
  <c r="B56" i="94"/>
  <c r="T55" i="94"/>
  <c r="P55" i="94"/>
  <c r="X55" i="94" s="1"/>
  <c r="H55" i="94"/>
  <c r="D55" i="94"/>
  <c r="B55" i="94"/>
  <c r="Z54" i="94"/>
  <c r="X54" i="94"/>
  <c r="N54" i="94"/>
  <c r="L54" i="94"/>
  <c r="B54" i="94"/>
  <c r="X53" i="94"/>
  <c r="Z53" i="94" s="1"/>
  <c r="T53" i="94"/>
  <c r="P53" i="94"/>
  <c r="H53" i="94"/>
  <c r="D53" i="94"/>
  <c r="L53" i="94" s="1"/>
  <c r="N53" i="94" s="1"/>
  <c r="B53" i="94"/>
  <c r="X52" i="94"/>
  <c r="Z52" i="94" s="1"/>
  <c r="N52" i="94"/>
  <c r="L52" i="94"/>
  <c r="B52" i="94"/>
  <c r="T51" i="94"/>
  <c r="P51" i="94"/>
  <c r="L51" i="94"/>
  <c r="H51" i="94"/>
  <c r="N51" i="94" s="1"/>
  <c r="D51" i="94"/>
  <c r="B51" i="94"/>
  <c r="Z50" i="94"/>
  <c r="X50" i="94"/>
  <c r="N50" i="94"/>
  <c r="L50" i="94"/>
  <c r="B50" i="94"/>
  <c r="Z49" i="94"/>
  <c r="X49" i="94"/>
  <c r="N49" i="94"/>
  <c r="L49" i="94"/>
  <c r="B49" i="94"/>
  <c r="Z48" i="94"/>
  <c r="T48" i="94"/>
  <c r="P48" i="94"/>
  <c r="X48" i="94" s="1"/>
  <c r="H48" i="94"/>
  <c r="D48" i="94"/>
  <c r="B48" i="94"/>
  <c r="Z47" i="94"/>
  <c r="X47" i="94"/>
  <c r="N47" i="94"/>
  <c r="L47" i="94"/>
  <c r="B47" i="94"/>
  <c r="T46" i="94"/>
  <c r="P46" i="94"/>
  <c r="H46" i="94"/>
  <c r="D46" i="94"/>
  <c r="L46" i="94" s="1"/>
  <c r="N46" i="94" s="1"/>
  <c r="B46" i="94"/>
  <c r="X45" i="94"/>
  <c r="Z45" i="94" s="1"/>
  <c r="N45" i="94"/>
  <c r="L45" i="94"/>
  <c r="B45" i="94"/>
  <c r="T44" i="94"/>
  <c r="P44" i="94"/>
  <c r="X44" i="94" s="1"/>
  <c r="Z44" i="94" s="1"/>
  <c r="H44" i="94"/>
  <c r="D44" i="94"/>
  <c r="B44" i="94"/>
  <c r="X43" i="94"/>
  <c r="Z43" i="94" s="1"/>
  <c r="L43" i="94"/>
  <c r="N43" i="94" s="1"/>
  <c r="B43" i="94"/>
  <c r="T42" i="94"/>
  <c r="X42" i="94" s="1"/>
  <c r="Z42" i="94" s="1"/>
  <c r="P42" i="94"/>
  <c r="N42" i="94"/>
  <c r="H42" i="94"/>
  <c r="L42" i="94" s="1"/>
  <c r="D42" i="94"/>
  <c r="B42" i="94"/>
  <c r="X41" i="94"/>
  <c r="Z41" i="94" s="1"/>
  <c r="L41" i="94"/>
  <c r="N41" i="94" s="1"/>
  <c r="B41" i="94"/>
  <c r="T40" i="94"/>
  <c r="Z40" i="94" s="1"/>
  <c r="P40" i="94"/>
  <c r="X40" i="94" s="1"/>
  <c r="H40" i="94"/>
  <c r="D40" i="94"/>
  <c r="L40" i="94" s="1"/>
  <c r="B40" i="94"/>
  <c r="X39" i="94"/>
  <c r="Z39" i="94" s="1"/>
  <c r="N39" i="94"/>
  <c r="L39" i="94"/>
  <c r="B39" i="94"/>
  <c r="Z38" i="94"/>
  <c r="X38" i="94"/>
  <c r="T38" i="94"/>
  <c r="P38" i="94"/>
  <c r="H38" i="94"/>
  <c r="N38" i="94" s="1"/>
  <c r="D38" i="94"/>
  <c r="L38" i="94" s="1"/>
  <c r="B38" i="94"/>
  <c r="Z37" i="94"/>
  <c r="X37" i="94"/>
  <c r="L37" i="94"/>
  <c r="N37" i="94" s="1"/>
  <c r="B37" i="94"/>
  <c r="T36" i="94"/>
  <c r="P36" i="94"/>
  <c r="H36" i="94"/>
  <c r="D36" i="94"/>
  <c r="L36" i="94" s="1"/>
  <c r="N36" i="94" s="1"/>
  <c r="B36" i="94"/>
  <c r="X35" i="94"/>
  <c r="Z35" i="94" s="1"/>
  <c r="L35" i="94"/>
  <c r="N35" i="94" s="1"/>
  <c r="B35" i="94"/>
  <c r="X34" i="94"/>
  <c r="Z34" i="94" s="1"/>
  <c r="L34" i="94"/>
  <c r="N34" i="94" s="1"/>
  <c r="B34" i="94"/>
  <c r="X33" i="94"/>
  <c r="Z33" i="94" s="1"/>
  <c r="L33" i="94"/>
  <c r="N33" i="94" s="1"/>
  <c r="B33" i="94"/>
  <c r="Z32" i="94"/>
  <c r="X32" i="94"/>
  <c r="N32" i="94"/>
  <c r="L32" i="94"/>
  <c r="B32" i="94"/>
  <c r="T31" i="94"/>
  <c r="P31" i="94"/>
  <c r="X31" i="94" s="1"/>
  <c r="Z31" i="94" s="1"/>
  <c r="H31" i="94"/>
  <c r="D31" i="94"/>
  <c r="L31" i="94" s="1"/>
  <c r="N31" i="94" s="1"/>
  <c r="B31" i="94"/>
  <c r="X30" i="94"/>
  <c r="Z30" i="94" s="1"/>
  <c r="N30" i="94"/>
  <c r="L30" i="94"/>
  <c r="B30" i="94"/>
  <c r="X29" i="94"/>
  <c r="Z29" i="94" s="1"/>
  <c r="N29" i="94"/>
  <c r="L29" i="94"/>
  <c r="B29" i="94"/>
  <c r="Z28" i="94"/>
  <c r="X28" i="94"/>
  <c r="N28" i="94"/>
  <c r="L28" i="94"/>
  <c r="B28" i="94"/>
  <c r="X27" i="94"/>
  <c r="Z27" i="94" s="1"/>
  <c r="N27" i="94"/>
  <c r="L27" i="94"/>
  <c r="F27" i="94"/>
  <c r="B27" i="94"/>
  <c r="X26" i="94"/>
  <c r="Z26" i="94" s="1"/>
  <c r="N26" i="94"/>
  <c r="L26" i="94"/>
  <c r="B26" i="94"/>
  <c r="X25" i="94"/>
  <c r="Z25" i="94" s="1"/>
  <c r="N25" i="94"/>
  <c r="L25" i="94"/>
  <c r="B25" i="94"/>
  <c r="Z24" i="94"/>
  <c r="X24" i="94"/>
  <c r="N24" i="94"/>
  <c r="L24" i="94"/>
  <c r="B24" i="94"/>
  <c r="X23" i="94"/>
  <c r="T23" i="94"/>
  <c r="P23" i="94"/>
  <c r="L23" i="94"/>
  <c r="H23" i="94"/>
  <c r="N23" i="94" s="1"/>
  <c r="D23" i="94"/>
  <c r="B23" i="94"/>
  <c r="T22" i="94"/>
  <c r="P22" i="94"/>
  <c r="X22" i="94" s="1"/>
  <c r="Z22" i="94" s="1"/>
  <c r="H22" i="94"/>
  <c r="L22" i="94" s="1"/>
  <c r="N22" i="94" s="1"/>
  <c r="D22" i="94"/>
  <c r="Z18" i="94"/>
  <c r="X18" i="94"/>
  <c r="L18" i="94"/>
  <c r="N18" i="94" s="1"/>
  <c r="B18" i="94"/>
  <c r="Z17" i="94"/>
  <c r="X17" i="94"/>
  <c r="L17" i="94"/>
  <c r="N17" i="94" s="1"/>
  <c r="B17" i="94"/>
  <c r="X16" i="94"/>
  <c r="T16" i="94"/>
  <c r="Z16" i="94" s="1"/>
  <c r="P16" i="94"/>
  <c r="N16" i="94"/>
  <c r="H16" i="94"/>
  <c r="D16" i="94"/>
  <c r="L16" i="94" s="1"/>
  <c r="T14" i="94"/>
  <c r="P14" i="94"/>
  <c r="X14" i="94" s="1"/>
  <c r="H14" i="94"/>
  <c r="D14" i="94"/>
  <c r="L14" i="94" s="1"/>
  <c r="B14" i="94"/>
  <c r="T13" i="94"/>
  <c r="P13" i="94"/>
  <c r="H13" i="94"/>
  <c r="L13" i="94" s="1"/>
  <c r="N13" i="94" s="1"/>
  <c r="D13" i="94"/>
  <c r="B13" i="94"/>
  <c r="D12" i="94"/>
  <c r="F41" i="94" s="1"/>
  <c r="D6" i="94"/>
  <c r="D4" i="94"/>
  <c r="F67" i="93"/>
  <c r="Z65" i="93"/>
  <c r="X65" i="93"/>
  <c r="N65" i="93"/>
  <c r="L65" i="93"/>
  <c r="X61" i="93"/>
  <c r="T61" i="93"/>
  <c r="T60" i="93" s="1"/>
  <c r="P61" i="93"/>
  <c r="H61" i="93"/>
  <c r="H60" i="93" s="1"/>
  <c r="D61" i="93"/>
  <c r="L61" i="93" s="1"/>
  <c r="N61" i="93" s="1"/>
  <c r="B61" i="93"/>
  <c r="X60" i="93"/>
  <c r="Z60" i="93" s="1"/>
  <c r="P60" i="93"/>
  <c r="X58" i="93"/>
  <c r="Z58" i="93" s="1"/>
  <c r="L58" i="93"/>
  <c r="N58" i="93" s="1"/>
  <c r="B58" i="93"/>
  <c r="T57" i="93"/>
  <c r="P57" i="93"/>
  <c r="H57" i="93"/>
  <c r="D57" i="93"/>
  <c r="L57" i="93" s="1"/>
  <c r="B57" i="93"/>
  <c r="X56" i="93"/>
  <c r="Z56" i="93" s="1"/>
  <c r="N56" i="93"/>
  <c r="L56" i="93"/>
  <c r="B56" i="93"/>
  <c r="X55" i="93"/>
  <c r="Z55" i="93" s="1"/>
  <c r="L55" i="93"/>
  <c r="N55" i="93" s="1"/>
  <c r="B55" i="93"/>
  <c r="X54" i="93"/>
  <c r="Z54" i="93" s="1"/>
  <c r="N54" i="93"/>
  <c r="L54" i="93"/>
  <c r="B54" i="93"/>
  <c r="X53" i="93"/>
  <c r="Z53" i="93" s="1"/>
  <c r="N53" i="93"/>
  <c r="L53" i="93"/>
  <c r="B53" i="93"/>
  <c r="T52" i="93"/>
  <c r="P52" i="93"/>
  <c r="L52" i="93"/>
  <c r="H52" i="93"/>
  <c r="D52" i="93"/>
  <c r="B52" i="93"/>
  <c r="X51" i="93"/>
  <c r="Z51" i="93" s="1"/>
  <c r="N51" i="93"/>
  <c r="L51" i="93"/>
  <c r="B51" i="93"/>
  <c r="Z50" i="93"/>
  <c r="X50" i="93"/>
  <c r="N50" i="93"/>
  <c r="L50" i="93"/>
  <c r="B50" i="93"/>
  <c r="Z49" i="93"/>
  <c r="T49" i="93"/>
  <c r="P49" i="93"/>
  <c r="X49" i="93" s="1"/>
  <c r="L49" i="93"/>
  <c r="H49" i="93"/>
  <c r="N49" i="93" s="1"/>
  <c r="D49" i="93"/>
  <c r="B49" i="93"/>
  <c r="X48" i="93"/>
  <c r="Z48" i="93" s="1"/>
  <c r="L48" i="93"/>
  <c r="N48" i="93" s="1"/>
  <c r="J48" i="93"/>
  <c r="F48" i="93"/>
  <c r="B48" i="93"/>
  <c r="Z47" i="93"/>
  <c r="X47" i="93"/>
  <c r="N47" i="93"/>
  <c r="L47" i="93"/>
  <c r="B47" i="93"/>
  <c r="T46" i="93"/>
  <c r="P46" i="93"/>
  <c r="X46" i="93" s="1"/>
  <c r="Z46" i="93" s="1"/>
  <c r="H46" i="93"/>
  <c r="D46" i="93"/>
  <c r="L46" i="93" s="1"/>
  <c r="N46" i="93" s="1"/>
  <c r="B46" i="93"/>
  <c r="Z45" i="93"/>
  <c r="X45" i="93"/>
  <c r="N45" i="93"/>
  <c r="L45" i="93"/>
  <c r="B45" i="93"/>
  <c r="Z44" i="93"/>
  <c r="X44" i="93"/>
  <c r="T44" i="93"/>
  <c r="P44" i="93"/>
  <c r="L44" i="93"/>
  <c r="H44" i="93"/>
  <c r="N44" i="93" s="1"/>
  <c r="F44" i="93"/>
  <c r="D44" i="93"/>
  <c r="B44" i="93"/>
  <c r="Z43" i="93"/>
  <c r="X43" i="93"/>
  <c r="N43" i="93"/>
  <c r="L43" i="93"/>
  <c r="B43" i="93"/>
  <c r="T42" i="93"/>
  <c r="Z42" i="93" s="1"/>
  <c r="P42" i="93"/>
  <c r="X42" i="93" s="1"/>
  <c r="H42" i="93"/>
  <c r="D42" i="93"/>
  <c r="B42" i="93"/>
  <c r="X41" i="93"/>
  <c r="Z41" i="93" s="1"/>
  <c r="L41" i="93"/>
  <c r="N41" i="93" s="1"/>
  <c r="B41" i="93"/>
  <c r="X40" i="93"/>
  <c r="Z40" i="93" s="1"/>
  <c r="T40" i="93"/>
  <c r="P40" i="93"/>
  <c r="H40" i="93"/>
  <c r="D40" i="93"/>
  <c r="L40" i="93" s="1"/>
  <c r="N40" i="93" s="1"/>
  <c r="B40" i="93"/>
  <c r="X39" i="93"/>
  <c r="Z39" i="93" s="1"/>
  <c r="N39" i="93"/>
  <c r="L39" i="93"/>
  <c r="B39" i="93"/>
  <c r="T38" i="93"/>
  <c r="P38" i="93"/>
  <c r="H38" i="93"/>
  <c r="D38" i="93"/>
  <c r="B38" i="93"/>
  <c r="Z37" i="93"/>
  <c r="X37" i="93"/>
  <c r="L37" i="93"/>
  <c r="N37" i="93" s="1"/>
  <c r="B37" i="93"/>
  <c r="T36" i="93"/>
  <c r="P36" i="93"/>
  <c r="H36" i="93"/>
  <c r="D36" i="93"/>
  <c r="B36" i="93"/>
  <c r="Z35" i="93"/>
  <c r="X35" i="93"/>
  <c r="N35" i="93"/>
  <c r="L35" i="93"/>
  <c r="B35" i="93"/>
  <c r="X34" i="93"/>
  <c r="Z34" i="93" s="1"/>
  <c r="L34" i="93"/>
  <c r="N34" i="93" s="1"/>
  <c r="F34" i="93"/>
  <c r="B34" i="93"/>
  <c r="X33" i="93"/>
  <c r="Z33" i="93" s="1"/>
  <c r="N33" i="93"/>
  <c r="L33" i="93"/>
  <c r="B33" i="93"/>
  <c r="T32" i="93"/>
  <c r="P32" i="93"/>
  <c r="X32" i="93" s="1"/>
  <c r="Z32" i="93" s="1"/>
  <c r="H32" i="93"/>
  <c r="D32" i="93"/>
  <c r="L32" i="93" s="1"/>
  <c r="N32" i="93" s="1"/>
  <c r="B32" i="93"/>
  <c r="Z31" i="93"/>
  <c r="X31" i="93"/>
  <c r="N31" i="93"/>
  <c r="L31" i="93"/>
  <c r="B31" i="93"/>
  <c r="X30" i="93"/>
  <c r="Z30" i="93" s="1"/>
  <c r="N30" i="93"/>
  <c r="L30" i="93"/>
  <c r="B30" i="93"/>
  <c r="Z29" i="93"/>
  <c r="X29" i="93"/>
  <c r="N29" i="93"/>
  <c r="L29" i="93"/>
  <c r="J29" i="93"/>
  <c r="F29" i="93"/>
  <c r="B29" i="93"/>
  <c r="X28" i="93"/>
  <c r="Z28" i="93" s="1"/>
  <c r="N28" i="93"/>
  <c r="L28" i="93"/>
  <c r="F28" i="93"/>
  <c r="B28" i="93"/>
  <c r="X27" i="93"/>
  <c r="Z27" i="93" s="1"/>
  <c r="N27" i="93"/>
  <c r="L27" i="93"/>
  <c r="B27" i="93"/>
  <c r="X26" i="93"/>
  <c r="Z26" i="93" s="1"/>
  <c r="N26" i="93"/>
  <c r="L26" i="93"/>
  <c r="F26" i="93"/>
  <c r="B26" i="93"/>
  <c r="Z25" i="93"/>
  <c r="X25" i="93"/>
  <c r="L25" i="93"/>
  <c r="N25" i="93" s="1"/>
  <c r="B25" i="93"/>
  <c r="X24" i="93"/>
  <c r="Z24" i="93" s="1"/>
  <c r="N24" i="93"/>
  <c r="L24" i="93"/>
  <c r="B24" i="93"/>
  <c r="X23" i="93"/>
  <c r="Z23" i="93" s="1"/>
  <c r="T23" i="93"/>
  <c r="P23" i="93"/>
  <c r="L23" i="93"/>
  <c r="N23" i="93" s="1"/>
  <c r="H23" i="93"/>
  <c r="D23" i="93"/>
  <c r="B23" i="93"/>
  <c r="T22" i="93"/>
  <c r="P22" i="93"/>
  <c r="X22" i="93" s="1"/>
  <c r="Z22" i="93" s="1"/>
  <c r="H22" i="93"/>
  <c r="D22" i="93"/>
  <c r="F20" i="93"/>
  <c r="D20" i="93"/>
  <c r="Z18" i="93"/>
  <c r="X18" i="93"/>
  <c r="L18" i="93"/>
  <c r="N18" i="93" s="1"/>
  <c r="F18" i="93"/>
  <c r="B18" i="93"/>
  <c r="X17" i="93"/>
  <c r="Z17" i="93" s="1"/>
  <c r="L17" i="93"/>
  <c r="N17" i="93" s="1"/>
  <c r="B17" i="93"/>
  <c r="T16" i="93"/>
  <c r="P16" i="93"/>
  <c r="H16" i="93"/>
  <c r="D16" i="93"/>
  <c r="X14" i="93"/>
  <c r="Z14" i="93" s="1"/>
  <c r="T14" i="93"/>
  <c r="P14" i="93"/>
  <c r="N14" i="93"/>
  <c r="L14" i="93"/>
  <c r="H14" i="93"/>
  <c r="D14" i="93"/>
  <c r="B14" i="93"/>
  <c r="T13" i="93"/>
  <c r="X13" i="93" s="1"/>
  <c r="Z13" i="93" s="1"/>
  <c r="P13" i="93"/>
  <c r="H13" i="93"/>
  <c r="H12" i="93" s="1"/>
  <c r="J38" i="93" s="1"/>
  <c r="D13" i="93"/>
  <c r="B13" i="93"/>
  <c r="P12" i="93"/>
  <c r="R33" i="93" s="1"/>
  <c r="D12" i="93"/>
  <c r="F30" i="93" s="1"/>
  <c r="D6" i="93"/>
  <c r="D4" i="93"/>
  <c r="Z71" i="92"/>
  <c r="X71" i="92"/>
  <c r="N71" i="92"/>
  <c r="L71" i="92"/>
  <c r="X67" i="92"/>
  <c r="V67" i="92"/>
  <c r="T67" i="92"/>
  <c r="Z67" i="92" s="1"/>
  <c r="P67" i="92"/>
  <c r="L67" i="92"/>
  <c r="H67" i="92"/>
  <c r="N67" i="92" s="1"/>
  <c r="D67" i="92"/>
  <c r="X65" i="92"/>
  <c r="Z65" i="92" s="1"/>
  <c r="L65" i="92"/>
  <c r="N65" i="92" s="1"/>
  <c r="B65" i="92"/>
  <c r="T64" i="92"/>
  <c r="P64" i="92"/>
  <c r="X64" i="92" s="1"/>
  <c r="Z64" i="92" s="1"/>
  <c r="H64" i="92"/>
  <c r="D64" i="92"/>
  <c r="L64" i="92" s="1"/>
  <c r="N64" i="92" s="1"/>
  <c r="B64" i="92"/>
  <c r="Z63" i="92"/>
  <c r="X63" i="92"/>
  <c r="N63" i="92"/>
  <c r="L63" i="92"/>
  <c r="B63" i="92"/>
  <c r="T62" i="92"/>
  <c r="P62" i="92"/>
  <c r="N62" i="92"/>
  <c r="L62" i="92"/>
  <c r="H62" i="92"/>
  <c r="D62" i="92"/>
  <c r="B62" i="92"/>
  <c r="Z61" i="92"/>
  <c r="X61" i="92"/>
  <c r="L61" i="92"/>
  <c r="N61" i="92" s="1"/>
  <c r="B61" i="92"/>
  <c r="Z60" i="92"/>
  <c r="X60" i="92"/>
  <c r="L60" i="92"/>
  <c r="N60" i="92" s="1"/>
  <c r="B60" i="92"/>
  <c r="Z59" i="92"/>
  <c r="X59" i="92"/>
  <c r="L59" i="92"/>
  <c r="N59" i="92" s="1"/>
  <c r="B59" i="92"/>
  <c r="Z58" i="92"/>
  <c r="X58" i="92"/>
  <c r="N58" i="92"/>
  <c r="L58" i="92"/>
  <c r="B58" i="92"/>
  <c r="Z57" i="92"/>
  <c r="X57" i="92"/>
  <c r="N57" i="92"/>
  <c r="L57" i="92"/>
  <c r="B57" i="92"/>
  <c r="T56" i="92"/>
  <c r="P56" i="92"/>
  <c r="X56" i="92" s="1"/>
  <c r="H56" i="92"/>
  <c r="D56" i="92"/>
  <c r="L56" i="92" s="1"/>
  <c r="B56" i="92"/>
  <c r="X55" i="92"/>
  <c r="Z55" i="92" s="1"/>
  <c r="N55" i="92"/>
  <c r="L55" i="92"/>
  <c r="B55" i="92"/>
  <c r="Z54" i="92"/>
  <c r="X54" i="92"/>
  <c r="L54" i="92"/>
  <c r="N54" i="92" s="1"/>
  <c r="B54" i="92"/>
  <c r="X53" i="92"/>
  <c r="V53" i="92"/>
  <c r="T53" i="92"/>
  <c r="Z53" i="92" s="1"/>
  <c r="P53" i="92"/>
  <c r="L53" i="92"/>
  <c r="H53" i="92"/>
  <c r="N53" i="92" s="1"/>
  <c r="D53" i="92"/>
  <c r="B53" i="92"/>
  <c r="Z52" i="92"/>
  <c r="X52" i="92"/>
  <c r="N52" i="92"/>
  <c r="L52" i="92"/>
  <c r="B52" i="92"/>
  <c r="Z51" i="92"/>
  <c r="X51" i="92"/>
  <c r="N51" i="92"/>
  <c r="L51" i="92"/>
  <c r="B51" i="92"/>
  <c r="T50" i="92"/>
  <c r="P50" i="92"/>
  <c r="L50" i="92"/>
  <c r="N50" i="92" s="1"/>
  <c r="H50" i="92"/>
  <c r="D50" i="92"/>
  <c r="B50" i="92"/>
  <c r="Z49" i="92"/>
  <c r="X49" i="92"/>
  <c r="L49" i="92"/>
  <c r="N49" i="92" s="1"/>
  <c r="B49" i="92"/>
  <c r="T48" i="92"/>
  <c r="P48" i="92"/>
  <c r="X48" i="92" s="1"/>
  <c r="H48" i="92"/>
  <c r="D48" i="92"/>
  <c r="B48" i="92"/>
  <c r="X47" i="92"/>
  <c r="Z47" i="92" s="1"/>
  <c r="N47" i="92"/>
  <c r="L47" i="92"/>
  <c r="B47" i="92"/>
  <c r="T46" i="92"/>
  <c r="P46" i="92"/>
  <c r="X46" i="92" s="1"/>
  <c r="Z46" i="92" s="1"/>
  <c r="H46" i="92"/>
  <c r="D46" i="92"/>
  <c r="L46" i="92" s="1"/>
  <c r="N46" i="92" s="1"/>
  <c r="B46" i="92"/>
  <c r="X45" i="92"/>
  <c r="Z45" i="92" s="1"/>
  <c r="N45" i="92"/>
  <c r="L45" i="92"/>
  <c r="B45" i="92"/>
  <c r="Z44" i="92"/>
  <c r="X44" i="92"/>
  <c r="T44" i="92"/>
  <c r="P44" i="92"/>
  <c r="H44" i="92"/>
  <c r="D44" i="92"/>
  <c r="B44" i="92"/>
  <c r="Z43" i="92"/>
  <c r="X43" i="92"/>
  <c r="L43" i="92"/>
  <c r="N43" i="92" s="1"/>
  <c r="B43" i="92"/>
  <c r="T42" i="92"/>
  <c r="P42" i="92"/>
  <c r="H42" i="92"/>
  <c r="D42" i="92"/>
  <c r="L42" i="92" s="1"/>
  <c r="B42" i="92"/>
  <c r="X41" i="92"/>
  <c r="Z41" i="92" s="1"/>
  <c r="V41" i="92"/>
  <c r="L41" i="92"/>
  <c r="N41" i="92" s="1"/>
  <c r="B41" i="92"/>
  <c r="T40" i="92"/>
  <c r="P40" i="92"/>
  <c r="X40" i="92" s="1"/>
  <c r="Z40" i="92" s="1"/>
  <c r="H40" i="92"/>
  <c r="D40" i="92"/>
  <c r="L40" i="92" s="1"/>
  <c r="N40" i="92" s="1"/>
  <c r="B40" i="92"/>
  <c r="Z39" i="92"/>
  <c r="X39" i="92"/>
  <c r="N39" i="92"/>
  <c r="L39" i="92"/>
  <c r="B39" i="92"/>
  <c r="T38" i="92"/>
  <c r="P38" i="92"/>
  <c r="N38" i="92"/>
  <c r="L38" i="92"/>
  <c r="H38" i="92"/>
  <c r="D38" i="92"/>
  <c r="B38" i="92"/>
  <c r="Z37" i="92"/>
  <c r="X37" i="92"/>
  <c r="L37" i="92"/>
  <c r="N37" i="92" s="1"/>
  <c r="B37" i="92"/>
  <c r="Z36" i="92"/>
  <c r="X36" i="92"/>
  <c r="L36" i="92"/>
  <c r="N36" i="92" s="1"/>
  <c r="B36" i="92"/>
  <c r="Z35" i="92"/>
  <c r="X35" i="92"/>
  <c r="N35" i="92"/>
  <c r="L35" i="92"/>
  <c r="B35" i="92"/>
  <c r="Z34" i="92"/>
  <c r="X34" i="92"/>
  <c r="N34" i="92"/>
  <c r="L34" i="92"/>
  <c r="B34" i="92"/>
  <c r="Z33" i="92"/>
  <c r="X33" i="92"/>
  <c r="L33" i="92"/>
  <c r="N33" i="92" s="1"/>
  <c r="B33" i="92"/>
  <c r="Z32" i="92"/>
  <c r="X32" i="92"/>
  <c r="L32" i="92"/>
  <c r="N32" i="92" s="1"/>
  <c r="B32" i="92"/>
  <c r="Z31" i="92"/>
  <c r="T31" i="92"/>
  <c r="X31" i="92" s="1"/>
  <c r="P31" i="92"/>
  <c r="H31" i="92"/>
  <c r="D31" i="92"/>
  <c r="L31" i="92" s="1"/>
  <c r="N31" i="92" s="1"/>
  <c r="B31" i="92"/>
  <c r="Z30" i="92"/>
  <c r="X30" i="92"/>
  <c r="L30" i="92"/>
  <c r="N30" i="92" s="1"/>
  <c r="B30" i="92"/>
  <c r="X29" i="92"/>
  <c r="Z29" i="92" s="1"/>
  <c r="V29" i="92"/>
  <c r="L29" i="92"/>
  <c r="N29" i="92" s="1"/>
  <c r="B29" i="92"/>
  <c r="X28" i="92"/>
  <c r="Z28" i="92" s="1"/>
  <c r="N28" i="92"/>
  <c r="L28" i="92"/>
  <c r="B28" i="92"/>
  <c r="X27" i="92"/>
  <c r="Z27" i="92" s="1"/>
  <c r="N27" i="92"/>
  <c r="L27" i="92"/>
  <c r="F27" i="92"/>
  <c r="B27" i="92"/>
  <c r="Z26" i="92"/>
  <c r="X26" i="92"/>
  <c r="L26" i="92"/>
  <c r="N26" i="92" s="1"/>
  <c r="B26" i="92"/>
  <c r="X25" i="92"/>
  <c r="Z25" i="92" s="1"/>
  <c r="L25" i="92"/>
  <c r="N25" i="92" s="1"/>
  <c r="B25" i="92"/>
  <c r="X24" i="92"/>
  <c r="Z24" i="92" s="1"/>
  <c r="N24" i="92"/>
  <c r="L24" i="92"/>
  <c r="B24" i="92"/>
  <c r="X23" i="92"/>
  <c r="Z23" i="92" s="1"/>
  <c r="N23" i="92"/>
  <c r="L23" i="92"/>
  <c r="F23" i="92"/>
  <c r="B23" i="92"/>
  <c r="T22" i="92"/>
  <c r="P22" i="92"/>
  <c r="X22" i="92" s="1"/>
  <c r="Z22" i="92" s="1"/>
  <c r="H22" i="92"/>
  <c r="D22" i="92"/>
  <c r="L22" i="92" s="1"/>
  <c r="N22" i="92" s="1"/>
  <c r="B22" i="92"/>
  <c r="T21" i="92"/>
  <c r="P21" i="92"/>
  <c r="H21" i="92"/>
  <c r="F21" i="92"/>
  <c r="D21" i="92"/>
  <c r="X17" i="92"/>
  <c r="Z17" i="92" s="1"/>
  <c r="N17" i="92"/>
  <c r="L17" i="92"/>
  <c r="B17" i="92"/>
  <c r="Z16" i="92"/>
  <c r="X16" i="92"/>
  <c r="T16" i="92"/>
  <c r="P16" i="92"/>
  <c r="H16" i="92"/>
  <c r="D16" i="92"/>
  <c r="Z14" i="92"/>
  <c r="X14" i="92"/>
  <c r="T14" i="92"/>
  <c r="T12" i="92" s="1"/>
  <c r="V65" i="92" s="1"/>
  <c r="P14" i="92"/>
  <c r="H14" i="92"/>
  <c r="D14" i="92"/>
  <c r="L14" i="92" s="1"/>
  <c r="B14" i="92"/>
  <c r="T13" i="92"/>
  <c r="P13" i="92"/>
  <c r="N13" i="92"/>
  <c r="L13" i="92"/>
  <c r="H13" i="92"/>
  <c r="D13" i="92"/>
  <c r="B13" i="92"/>
  <c r="H12" i="92"/>
  <c r="J33" i="92" s="1"/>
  <c r="D12" i="92"/>
  <c r="F46" i="92" s="1"/>
  <c r="D6" i="92"/>
  <c r="D4" i="92"/>
  <c r="Z83" i="91"/>
  <c r="X83" i="91"/>
  <c r="N83" i="91"/>
  <c r="L83" i="91"/>
  <c r="X79" i="91"/>
  <c r="Z79" i="91" s="1"/>
  <c r="T79" i="91"/>
  <c r="P79" i="91"/>
  <c r="H79" i="91"/>
  <c r="N79" i="91" s="1"/>
  <c r="D79" i="91"/>
  <c r="B79" i="91"/>
  <c r="Z78" i="91"/>
  <c r="X78" i="91"/>
  <c r="T78" i="91"/>
  <c r="T77" i="91" s="1"/>
  <c r="P78" i="91"/>
  <c r="H78" i="91"/>
  <c r="H77" i="91" s="1"/>
  <c r="D78" i="91"/>
  <c r="L78" i="91" s="1"/>
  <c r="N78" i="91" s="1"/>
  <c r="B78" i="91"/>
  <c r="P77" i="91"/>
  <c r="X77" i="91" s="1"/>
  <c r="D77" i="91"/>
  <c r="L77" i="91" s="1"/>
  <c r="Z75" i="91"/>
  <c r="X75" i="91"/>
  <c r="N75" i="91"/>
  <c r="L75" i="91"/>
  <c r="B75" i="91"/>
  <c r="X74" i="91"/>
  <c r="V74" i="91"/>
  <c r="T74" i="91"/>
  <c r="P74" i="91"/>
  <c r="H74" i="91"/>
  <c r="N74" i="91" s="1"/>
  <c r="D74" i="91"/>
  <c r="L74" i="91" s="1"/>
  <c r="B74" i="91"/>
  <c r="Z73" i="91"/>
  <c r="X73" i="91"/>
  <c r="N73" i="91"/>
  <c r="L73" i="91"/>
  <c r="B73" i="91"/>
  <c r="Z72" i="91"/>
  <c r="X72" i="91"/>
  <c r="N72" i="91"/>
  <c r="L72" i="91"/>
  <c r="B72" i="91"/>
  <c r="X71" i="91"/>
  <c r="Z71" i="91" s="1"/>
  <c r="N71" i="91"/>
  <c r="L71" i="91"/>
  <c r="B71" i="91"/>
  <c r="T70" i="91"/>
  <c r="P70" i="91"/>
  <c r="H70" i="91"/>
  <c r="F70" i="91"/>
  <c r="D70" i="91"/>
  <c r="L70" i="91" s="1"/>
  <c r="N70" i="91" s="1"/>
  <c r="B70" i="91"/>
  <c r="Z69" i="91"/>
  <c r="X69" i="91"/>
  <c r="N69" i="91"/>
  <c r="L69" i="91"/>
  <c r="B69" i="91"/>
  <c r="Z68" i="91"/>
  <c r="X68" i="91"/>
  <c r="T68" i="91"/>
  <c r="P68" i="91"/>
  <c r="N68" i="91"/>
  <c r="H68" i="91"/>
  <c r="D68" i="91"/>
  <c r="L68" i="91" s="1"/>
  <c r="B68" i="91"/>
  <c r="Z67" i="91"/>
  <c r="X67" i="91"/>
  <c r="L67" i="91"/>
  <c r="N67" i="91" s="1"/>
  <c r="B67" i="91"/>
  <c r="X66" i="91"/>
  <c r="V66" i="91"/>
  <c r="T66" i="91"/>
  <c r="Z66" i="91" s="1"/>
  <c r="P66" i="91"/>
  <c r="H66" i="91"/>
  <c r="N66" i="91" s="1"/>
  <c r="D66" i="91"/>
  <c r="L66" i="91" s="1"/>
  <c r="B66" i="91"/>
  <c r="X65" i="91"/>
  <c r="Z65" i="91" s="1"/>
  <c r="N65" i="91"/>
  <c r="L65" i="91"/>
  <c r="B65" i="91"/>
  <c r="Z64" i="91"/>
  <c r="X64" i="91"/>
  <c r="R64" i="91"/>
  <c r="N64" i="91"/>
  <c r="L64" i="91"/>
  <c r="B64" i="91"/>
  <c r="X63" i="91"/>
  <c r="Z63" i="91" s="1"/>
  <c r="N63" i="91"/>
  <c r="L63" i="91"/>
  <c r="B63" i="91"/>
  <c r="X62" i="91"/>
  <c r="Z62" i="91" s="1"/>
  <c r="N62" i="91"/>
  <c r="L62" i="91"/>
  <c r="B62" i="91"/>
  <c r="X61" i="91"/>
  <c r="Z61" i="91" s="1"/>
  <c r="T61" i="91"/>
  <c r="P61" i="91"/>
  <c r="H61" i="91"/>
  <c r="D61" i="91"/>
  <c r="B61" i="91"/>
  <c r="Z60" i="91"/>
  <c r="X60" i="91"/>
  <c r="L60" i="91"/>
  <c r="N60" i="91" s="1"/>
  <c r="B60" i="91"/>
  <c r="Z59" i="91"/>
  <c r="X59" i="91"/>
  <c r="V59" i="91"/>
  <c r="N59" i="91"/>
  <c r="L59" i="91"/>
  <c r="B59" i="91"/>
  <c r="Z58" i="91"/>
  <c r="X58" i="91"/>
  <c r="V58" i="91"/>
  <c r="N58" i="91"/>
  <c r="L58" i="91"/>
  <c r="B58" i="91"/>
  <c r="Z57" i="91"/>
  <c r="X57" i="91"/>
  <c r="L57" i="91"/>
  <c r="N57" i="91" s="1"/>
  <c r="B57" i="91"/>
  <c r="Z56" i="91"/>
  <c r="X56" i="91"/>
  <c r="L56" i="91"/>
  <c r="N56" i="91" s="1"/>
  <c r="B56" i="91"/>
  <c r="V55" i="91"/>
  <c r="T55" i="91"/>
  <c r="P55" i="91"/>
  <c r="X55" i="91" s="1"/>
  <c r="H55" i="91"/>
  <c r="D55" i="91"/>
  <c r="B55" i="91"/>
  <c r="X54" i="91"/>
  <c r="Z54" i="91" s="1"/>
  <c r="V54" i="91"/>
  <c r="N54" i="91"/>
  <c r="L54" i="91"/>
  <c r="B54" i="91"/>
  <c r="X53" i="91"/>
  <c r="Z53" i="91" s="1"/>
  <c r="N53" i="91"/>
  <c r="L53" i="91"/>
  <c r="B53" i="91"/>
  <c r="V52" i="91"/>
  <c r="T52" i="91"/>
  <c r="P52" i="91"/>
  <c r="X52" i="91" s="1"/>
  <c r="L52" i="91"/>
  <c r="H52" i="91"/>
  <c r="N52" i="91" s="1"/>
  <c r="D52" i="91"/>
  <c r="B52" i="91"/>
  <c r="X51" i="91"/>
  <c r="Z51" i="91" s="1"/>
  <c r="N51" i="91"/>
  <c r="L51" i="91"/>
  <c r="B51" i="91"/>
  <c r="T50" i="91"/>
  <c r="R50" i="91"/>
  <c r="P50" i="91"/>
  <c r="H50" i="91"/>
  <c r="D50" i="91"/>
  <c r="B50" i="91"/>
  <c r="Z49" i="91"/>
  <c r="X49" i="91"/>
  <c r="L49" i="91"/>
  <c r="N49" i="91" s="1"/>
  <c r="B49" i="91"/>
  <c r="Z48" i="91"/>
  <c r="X48" i="91"/>
  <c r="T48" i="91"/>
  <c r="P48" i="91"/>
  <c r="H48" i="91"/>
  <c r="D48" i="91"/>
  <c r="L48" i="91" s="1"/>
  <c r="N48" i="91" s="1"/>
  <c r="B48" i="91"/>
  <c r="Z47" i="91"/>
  <c r="X47" i="91"/>
  <c r="L47" i="91"/>
  <c r="N47" i="91" s="1"/>
  <c r="F47" i="91"/>
  <c r="B47" i="91"/>
  <c r="X46" i="91"/>
  <c r="V46" i="91"/>
  <c r="T46" i="91"/>
  <c r="P46" i="91"/>
  <c r="H46" i="91"/>
  <c r="D46" i="91"/>
  <c r="L46" i="91" s="1"/>
  <c r="B46" i="91"/>
  <c r="X45" i="91"/>
  <c r="Z45" i="91" s="1"/>
  <c r="V45" i="91"/>
  <c r="N45" i="91"/>
  <c r="L45" i="91"/>
  <c r="B45" i="91"/>
  <c r="T44" i="91"/>
  <c r="Z44" i="91" s="1"/>
  <c r="P44" i="91"/>
  <c r="X44" i="91" s="1"/>
  <c r="H44" i="91"/>
  <c r="D44" i="91"/>
  <c r="B44" i="91"/>
  <c r="Z43" i="91"/>
  <c r="X43" i="91"/>
  <c r="V43" i="91"/>
  <c r="N43" i="91"/>
  <c r="L43" i="91"/>
  <c r="B43" i="91"/>
  <c r="Z42" i="91"/>
  <c r="X42" i="91"/>
  <c r="V42" i="91"/>
  <c r="L42" i="91"/>
  <c r="N42" i="91" s="1"/>
  <c r="B42" i="91"/>
  <c r="Z41" i="91"/>
  <c r="X41" i="91"/>
  <c r="V41" i="91"/>
  <c r="L41" i="91"/>
  <c r="N41" i="91" s="1"/>
  <c r="B41" i="91"/>
  <c r="Z40" i="91"/>
  <c r="X40" i="91"/>
  <c r="T40" i="91"/>
  <c r="P40" i="91"/>
  <c r="N40" i="91"/>
  <c r="H40" i="91"/>
  <c r="D40" i="91"/>
  <c r="L40" i="91" s="1"/>
  <c r="B40" i="91"/>
  <c r="Z39" i="91"/>
  <c r="X39" i="91"/>
  <c r="N39" i="91"/>
  <c r="L39" i="91"/>
  <c r="B39" i="91"/>
  <c r="X38" i="91"/>
  <c r="V38" i="91"/>
  <c r="T38" i="91"/>
  <c r="Z38" i="91" s="1"/>
  <c r="P38" i="91"/>
  <c r="H38" i="91"/>
  <c r="N38" i="91" s="1"/>
  <c r="D38" i="91"/>
  <c r="L38" i="91" s="1"/>
  <c r="B38" i="91"/>
  <c r="Z37" i="91"/>
  <c r="X37" i="91"/>
  <c r="V37" i="91"/>
  <c r="N37" i="91"/>
  <c r="L37" i="91"/>
  <c r="B37" i="91"/>
  <c r="T36" i="91"/>
  <c r="P36" i="91"/>
  <c r="X36" i="91" s="1"/>
  <c r="Z36" i="91" s="1"/>
  <c r="H36" i="91"/>
  <c r="D36" i="91"/>
  <c r="B36" i="91"/>
  <c r="Z35" i="91"/>
  <c r="X35" i="91"/>
  <c r="V35" i="91"/>
  <c r="N35" i="91"/>
  <c r="L35" i="91"/>
  <c r="B35" i="91"/>
  <c r="Z34" i="91"/>
  <c r="X34" i="91"/>
  <c r="V34" i="91"/>
  <c r="L34" i="91"/>
  <c r="N34" i="91" s="1"/>
  <c r="B34" i="91"/>
  <c r="Z33" i="91"/>
  <c r="X33" i="91"/>
  <c r="V33" i="91"/>
  <c r="L33" i="91"/>
  <c r="N33" i="91" s="1"/>
  <c r="B33" i="91"/>
  <c r="Z32" i="91"/>
  <c r="X32" i="91"/>
  <c r="V32" i="91"/>
  <c r="L32" i="91"/>
  <c r="N32" i="91" s="1"/>
  <c r="B32" i="91"/>
  <c r="Z31" i="91"/>
  <c r="X31" i="91"/>
  <c r="V31" i="91"/>
  <c r="N31" i="91"/>
  <c r="L31" i="91"/>
  <c r="B31" i="91"/>
  <c r="Z30" i="91"/>
  <c r="X30" i="91"/>
  <c r="V30" i="91"/>
  <c r="L30" i="91"/>
  <c r="N30" i="91" s="1"/>
  <c r="F30" i="91"/>
  <c r="B30" i="91"/>
  <c r="V29" i="91"/>
  <c r="T29" i="91"/>
  <c r="P29" i="91"/>
  <c r="H29" i="91"/>
  <c r="D29" i="91"/>
  <c r="L29" i="91" s="1"/>
  <c r="N29" i="91" s="1"/>
  <c r="B29" i="91"/>
  <c r="X28" i="91"/>
  <c r="Z28" i="91" s="1"/>
  <c r="V28" i="91"/>
  <c r="N28" i="91"/>
  <c r="L28" i="91"/>
  <c r="B28" i="91"/>
  <c r="X27" i="91"/>
  <c r="Z27" i="91" s="1"/>
  <c r="V27" i="91"/>
  <c r="N27" i="91"/>
  <c r="L27" i="91"/>
  <c r="B27" i="91"/>
  <c r="X26" i="91"/>
  <c r="Z26" i="91" s="1"/>
  <c r="V26" i="91"/>
  <c r="N26" i="91"/>
  <c r="L26" i="91"/>
  <c r="B26" i="91"/>
  <c r="X25" i="91"/>
  <c r="Z25" i="91" s="1"/>
  <c r="V25" i="91"/>
  <c r="N25" i="91"/>
  <c r="L25" i="91"/>
  <c r="F25" i="91"/>
  <c r="B25" i="91"/>
  <c r="X24" i="91"/>
  <c r="Z24" i="91" s="1"/>
  <c r="V24" i="91"/>
  <c r="L24" i="91"/>
  <c r="N24" i="91" s="1"/>
  <c r="B24" i="91"/>
  <c r="Z23" i="91"/>
  <c r="X23" i="91"/>
  <c r="V23" i="91"/>
  <c r="N23" i="91"/>
  <c r="L23" i="91"/>
  <c r="B23" i="91"/>
  <c r="X22" i="91"/>
  <c r="Z22" i="91" s="1"/>
  <c r="V22" i="91"/>
  <c r="N22" i="91"/>
  <c r="L22" i="91"/>
  <c r="B22" i="91"/>
  <c r="X21" i="91"/>
  <c r="Z21" i="91" s="1"/>
  <c r="V21" i="91"/>
  <c r="N21" i="91"/>
  <c r="L21" i="91"/>
  <c r="B21" i="91"/>
  <c r="X20" i="91"/>
  <c r="Z20" i="91" s="1"/>
  <c r="V20" i="91"/>
  <c r="L20" i="91"/>
  <c r="N20" i="91" s="1"/>
  <c r="B20" i="91"/>
  <c r="Z19" i="91"/>
  <c r="X19" i="91"/>
  <c r="V19" i="91"/>
  <c r="T19" i="91"/>
  <c r="P19" i="91"/>
  <c r="H19" i="91"/>
  <c r="D19" i="91"/>
  <c r="L19" i="91" s="1"/>
  <c r="N19" i="91" s="1"/>
  <c r="B19" i="91"/>
  <c r="Z18" i="91"/>
  <c r="X18" i="91"/>
  <c r="T18" i="91"/>
  <c r="P18" i="91"/>
  <c r="H18" i="91"/>
  <c r="N18" i="91" s="1"/>
  <c r="D18" i="91"/>
  <c r="L18" i="91" s="1"/>
  <c r="T16" i="91"/>
  <c r="R16" i="91"/>
  <c r="T14" i="91"/>
  <c r="Z14" i="91" s="1"/>
  <c r="P14" i="91"/>
  <c r="X14" i="91" s="1"/>
  <c r="N14" i="91"/>
  <c r="L14" i="91"/>
  <c r="H14" i="91"/>
  <c r="D14" i="91"/>
  <c r="Z12" i="91"/>
  <c r="T12" i="91"/>
  <c r="V78" i="91" s="1"/>
  <c r="P12" i="91"/>
  <c r="R14" i="91" s="1"/>
  <c r="H12" i="91"/>
  <c r="J30" i="91" s="1"/>
  <c r="D12" i="91"/>
  <c r="D6" i="91"/>
  <c r="D4" i="91"/>
  <c r="Z70" i="88"/>
  <c r="X70" i="88"/>
  <c r="L70" i="88"/>
  <c r="N70" i="88" s="1"/>
  <c r="Z66" i="88"/>
  <c r="X66" i="88"/>
  <c r="T66" i="88"/>
  <c r="P66" i="88"/>
  <c r="H66" i="88"/>
  <c r="N66" i="88" s="1"/>
  <c r="D66" i="88"/>
  <c r="Z64" i="88"/>
  <c r="X64" i="88"/>
  <c r="N64" i="88"/>
  <c r="L64" i="88"/>
  <c r="B64" i="88"/>
  <c r="T63" i="88"/>
  <c r="P63" i="88"/>
  <c r="N63" i="88"/>
  <c r="H63" i="88"/>
  <c r="L63" i="88" s="1"/>
  <c r="D63" i="88"/>
  <c r="B63" i="88"/>
  <c r="X62" i="88"/>
  <c r="Z62" i="88" s="1"/>
  <c r="L62" i="88"/>
  <c r="N62" i="88" s="1"/>
  <c r="B62" i="88"/>
  <c r="T61" i="88"/>
  <c r="P61" i="88"/>
  <c r="X61" i="88" s="1"/>
  <c r="Z61" i="88" s="1"/>
  <c r="N61" i="88"/>
  <c r="L61" i="88"/>
  <c r="H61" i="88"/>
  <c r="D61" i="88"/>
  <c r="B61" i="88"/>
  <c r="X60" i="88"/>
  <c r="Z60" i="88" s="1"/>
  <c r="N60" i="88"/>
  <c r="L60" i="88"/>
  <c r="B60" i="88"/>
  <c r="X59" i="88"/>
  <c r="Z59" i="88" s="1"/>
  <c r="N59" i="88"/>
  <c r="L59" i="88"/>
  <c r="B59" i="88"/>
  <c r="Z58" i="88"/>
  <c r="X58" i="88"/>
  <c r="L58" i="88"/>
  <c r="N58" i="88" s="1"/>
  <c r="B58" i="88"/>
  <c r="X57" i="88"/>
  <c r="Z57" i="88" s="1"/>
  <c r="N57" i="88"/>
  <c r="L57" i="88"/>
  <c r="B57" i="88"/>
  <c r="X56" i="88"/>
  <c r="Z56" i="88" s="1"/>
  <c r="L56" i="88"/>
  <c r="N56" i="88" s="1"/>
  <c r="B56" i="88"/>
  <c r="T55" i="88"/>
  <c r="Z55" i="88" s="1"/>
  <c r="P55" i="88"/>
  <c r="X55" i="88" s="1"/>
  <c r="L55" i="88"/>
  <c r="N55" i="88" s="1"/>
  <c r="H55" i="88"/>
  <c r="D55" i="88"/>
  <c r="B55" i="88"/>
  <c r="X54" i="88"/>
  <c r="Z54" i="88" s="1"/>
  <c r="L54" i="88"/>
  <c r="N54" i="88" s="1"/>
  <c r="B54" i="88"/>
  <c r="T53" i="88"/>
  <c r="X53" i="88" s="1"/>
  <c r="Z53" i="88" s="1"/>
  <c r="P53" i="88"/>
  <c r="H53" i="88"/>
  <c r="D53" i="88"/>
  <c r="B53" i="88"/>
  <c r="Z52" i="88"/>
  <c r="X52" i="88"/>
  <c r="L52" i="88"/>
  <c r="N52" i="88" s="1"/>
  <c r="B52" i="88"/>
  <c r="Z51" i="88"/>
  <c r="X51" i="88"/>
  <c r="N51" i="88"/>
  <c r="L51" i="88"/>
  <c r="B51" i="88"/>
  <c r="T50" i="88"/>
  <c r="P50" i="88"/>
  <c r="H50" i="88"/>
  <c r="N50" i="88" s="1"/>
  <c r="D50" i="88"/>
  <c r="L50" i="88" s="1"/>
  <c r="B50" i="88"/>
  <c r="X49" i="88"/>
  <c r="Z49" i="88" s="1"/>
  <c r="N49" i="88"/>
  <c r="L49" i="88"/>
  <c r="B49" i="88"/>
  <c r="T48" i="88"/>
  <c r="P48" i="88"/>
  <c r="X48" i="88" s="1"/>
  <c r="N48" i="88"/>
  <c r="H48" i="88"/>
  <c r="D48" i="88"/>
  <c r="L48" i="88" s="1"/>
  <c r="B48" i="88"/>
  <c r="Z47" i="88"/>
  <c r="X47" i="88"/>
  <c r="N47" i="88"/>
  <c r="L47" i="88"/>
  <c r="B47" i="88"/>
  <c r="T46" i="88"/>
  <c r="P46" i="88"/>
  <c r="N46" i="88"/>
  <c r="L46" i="88"/>
  <c r="H46" i="88"/>
  <c r="D46" i="88"/>
  <c r="B46" i="88"/>
  <c r="Z45" i="88"/>
  <c r="X45" i="88"/>
  <c r="L45" i="88"/>
  <c r="N45" i="88" s="1"/>
  <c r="B45" i="88"/>
  <c r="T44" i="88"/>
  <c r="P44" i="88"/>
  <c r="X44" i="88" s="1"/>
  <c r="H44" i="88"/>
  <c r="D44" i="88"/>
  <c r="B44" i="88"/>
  <c r="X43" i="88"/>
  <c r="Z43" i="88" s="1"/>
  <c r="N43" i="88"/>
  <c r="L43" i="88"/>
  <c r="B43" i="88"/>
  <c r="T42" i="88"/>
  <c r="P42" i="88"/>
  <c r="X42" i="88" s="1"/>
  <c r="Z42" i="88" s="1"/>
  <c r="L42" i="88"/>
  <c r="H42" i="88"/>
  <c r="D42" i="88"/>
  <c r="B42" i="88"/>
  <c r="Z41" i="88"/>
  <c r="X41" i="88"/>
  <c r="N41" i="88"/>
  <c r="L41" i="88"/>
  <c r="B41" i="88"/>
  <c r="Z40" i="88"/>
  <c r="X40" i="88"/>
  <c r="T40" i="88"/>
  <c r="P40" i="88"/>
  <c r="L40" i="88"/>
  <c r="H40" i="88"/>
  <c r="D40" i="88"/>
  <c r="B40" i="88"/>
  <c r="Z39" i="88"/>
  <c r="X39" i="88"/>
  <c r="L39" i="88"/>
  <c r="N39" i="88" s="1"/>
  <c r="B39" i="88"/>
  <c r="T38" i="88"/>
  <c r="P38" i="88"/>
  <c r="H38" i="88"/>
  <c r="D38" i="88"/>
  <c r="B38" i="88"/>
  <c r="X37" i="88"/>
  <c r="Z37" i="88" s="1"/>
  <c r="N37" i="88"/>
  <c r="L37" i="88"/>
  <c r="B37" i="88"/>
  <c r="X36" i="88"/>
  <c r="Z36" i="88" s="1"/>
  <c r="N36" i="88"/>
  <c r="L36" i="88"/>
  <c r="B36" i="88"/>
  <c r="X35" i="88"/>
  <c r="Z35" i="88" s="1"/>
  <c r="N35" i="88"/>
  <c r="L35" i="88"/>
  <c r="B35" i="88"/>
  <c r="X34" i="88"/>
  <c r="Z34" i="88" s="1"/>
  <c r="L34" i="88"/>
  <c r="N34" i="88" s="1"/>
  <c r="F34" i="88"/>
  <c r="B34" i="88"/>
  <c r="X33" i="88"/>
  <c r="Z33" i="88" s="1"/>
  <c r="N33" i="88"/>
  <c r="L33" i="88"/>
  <c r="B33" i="88"/>
  <c r="T32" i="88"/>
  <c r="P32" i="88"/>
  <c r="X32" i="88" s="1"/>
  <c r="H32" i="88"/>
  <c r="D32" i="88"/>
  <c r="L32" i="88" s="1"/>
  <c r="N32" i="88" s="1"/>
  <c r="B32" i="88"/>
  <c r="Z31" i="88"/>
  <c r="X31" i="88"/>
  <c r="N31" i="88"/>
  <c r="L31" i="88"/>
  <c r="B31" i="88"/>
  <c r="X30" i="88"/>
  <c r="Z30" i="88" s="1"/>
  <c r="L30" i="88"/>
  <c r="N30" i="88" s="1"/>
  <c r="F30" i="88"/>
  <c r="B30" i="88"/>
  <c r="Z29" i="88"/>
  <c r="X29" i="88"/>
  <c r="N29" i="88"/>
  <c r="L29" i="88"/>
  <c r="B29" i="88"/>
  <c r="X28" i="88"/>
  <c r="Z28" i="88" s="1"/>
  <c r="N28" i="88"/>
  <c r="L28" i="88"/>
  <c r="F28" i="88"/>
  <c r="B28" i="88"/>
  <c r="Z27" i="88"/>
  <c r="X27" i="88"/>
  <c r="N27" i="88"/>
  <c r="L27" i="88"/>
  <c r="B27" i="88"/>
  <c r="X26" i="88"/>
  <c r="Z26" i="88" s="1"/>
  <c r="L26" i="88"/>
  <c r="N26" i="88" s="1"/>
  <c r="F26" i="88"/>
  <c r="B26" i="88"/>
  <c r="Z25" i="88"/>
  <c r="X25" i="88"/>
  <c r="N25" i="88"/>
  <c r="L25" i="88"/>
  <c r="B25" i="88"/>
  <c r="X24" i="88"/>
  <c r="Z24" i="88" s="1"/>
  <c r="N24" i="88"/>
  <c r="L24" i="88"/>
  <c r="F24" i="88"/>
  <c r="B24" i="88"/>
  <c r="Z23" i="88"/>
  <c r="T23" i="88"/>
  <c r="P23" i="88"/>
  <c r="X23" i="88" s="1"/>
  <c r="H23" i="88"/>
  <c r="L23" i="88" s="1"/>
  <c r="N23" i="88" s="1"/>
  <c r="D23" i="88"/>
  <c r="B23" i="88"/>
  <c r="T22" i="88"/>
  <c r="P22" i="88"/>
  <c r="X22" i="88" s="1"/>
  <c r="H22" i="88"/>
  <c r="D22" i="88"/>
  <c r="X18" i="88"/>
  <c r="Z18" i="88" s="1"/>
  <c r="L18" i="88"/>
  <c r="N18" i="88" s="1"/>
  <c r="B18" i="88"/>
  <c r="Z17" i="88"/>
  <c r="X17" i="88"/>
  <c r="L17" i="88"/>
  <c r="N17" i="88" s="1"/>
  <c r="B17" i="88"/>
  <c r="T16" i="88"/>
  <c r="P16" i="88"/>
  <c r="X16" i="88" s="1"/>
  <c r="H16" i="88"/>
  <c r="D16" i="88"/>
  <c r="T14" i="88"/>
  <c r="P14" i="88"/>
  <c r="X14" i="88" s="1"/>
  <c r="L14" i="88"/>
  <c r="H14" i="88"/>
  <c r="D14" i="88"/>
  <c r="B14" i="88"/>
  <c r="T13" i="88"/>
  <c r="X13" i="88" s="1"/>
  <c r="P13" i="88"/>
  <c r="H13" i="88"/>
  <c r="D13" i="88"/>
  <c r="D12" i="88" s="1"/>
  <c r="F53" i="88" s="1"/>
  <c r="B13" i="88"/>
  <c r="T12" i="88"/>
  <c r="V38" i="88" s="1"/>
  <c r="D6" i="88"/>
  <c r="D4" i="88"/>
  <c r="X81" i="87"/>
  <c r="Z81" i="87" s="1"/>
  <c r="N81" i="87"/>
  <c r="L81" i="87"/>
  <c r="F81" i="87"/>
  <c r="T77" i="87"/>
  <c r="Z77" i="87" s="1"/>
  <c r="P77" i="87"/>
  <c r="H77" i="87"/>
  <c r="N77" i="87" s="1"/>
  <c r="D77" i="87"/>
  <c r="L77" i="87" s="1"/>
  <c r="Z75" i="87"/>
  <c r="X75" i="87"/>
  <c r="N75" i="87"/>
  <c r="L75" i="87"/>
  <c r="B75" i="87"/>
  <c r="Z74" i="87"/>
  <c r="X74" i="87"/>
  <c r="T74" i="87"/>
  <c r="P74" i="87"/>
  <c r="N74" i="87"/>
  <c r="H74" i="87"/>
  <c r="F74" i="87"/>
  <c r="D74" i="87"/>
  <c r="L74" i="87" s="1"/>
  <c r="B74" i="87"/>
  <c r="X73" i="87"/>
  <c r="Z73" i="87" s="1"/>
  <c r="N73" i="87"/>
  <c r="L73" i="87"/>
  <c r="B73" i="87"/>
  <c r="Z72" i="87"/>
  <c r="X72" i="87"/>
  <c r="T72" i="87"/>
  <c r="P72" i="87"/>
  <c r="H72" i="87"/>
  <c r="N72" i="87" s="1"/>
  <c r="D72" i="87"/>
  <c r="L72" i="87" s="1"/>
  <c r="B72" i="87"/>
  <c r="X71" i="87"/>
  <c r="Z71" i="87" s="1"/>
  <c r="N71" i="87"/>
  <c r="L71" i="87"/>
  <c r="F71" i="87"/>
  <c r="B71" i="87"/>
  <c r="T70" i="87"/>
  <c r="X70" i="87" s="1"/>
  <c r="P70" i="87"/>
  <c r="H70" i="87"/>
  <c r="D70" i="87"/>
  <c r="L70" i="87" s="1"/>
  <c r="N70" i="87" s="1"/>
  <c r="B70" i="87"/>
  <c r="X69" i="87"/>
  <c r="Z69" i="87" s="1"/>
  <c r="L69" i="87"/>
  <c r="N69" i="87" s="1"/>
  <c r="B69" i="87"/>
  <c r="Z68" i="87"/>
  <c r="X68" i="87"/>
  <c r="L68" i="87"/>
  <c r="N68" i="87" s="1"/>
  <c r="B68" i="87"/>
  <c r="Z67" i="87"/>
  <c r="X67" i="87"/>
  <c r="N67" i="87"/>
  <c r="L67" i="87"/>
  <c r="B67" i="87"/>
  <c r="Z66" i="87"/>
  <c r="X66" i="87"/>
  <c r="L66" i="87"/>
  <c r="N66" i="87" s="1"/>
  <c r="B66" i="87"/>
  <c r="Z65" i="87"/>
  <c r="X65" i="87"/>
  <c r="L65" i="87"/>
  <c r="N65" i="87" s="1"/>
  <c r="B65" i="87"/>
  <c r="Z64" i="87"/>
  <c r="X64" i="87"/>
  <c r="N64" i="87"/>
  <c r="L64" i="87"/>
  <c r="B64" i="87"/>
  <c r="Z63" i="87"/>
  <c r="X63" i="87"/>
  <c r="L63" i="87"/>
  <c r="N63" i="87" s="1"/>
  <c r="F63" i="87"/>
  <c r="B63" i="87"/>
  <c r="Z62" i="87"/>
  <c r="T62" i="87"/>
  <c r="P62" i="87"/>
  <c r="X62" i="87" s="1"/>
  <c r="H62" i="87"/>
  <c r="F62" i="87"/>
  <c r="D62" i="87"/>
  <c r="L62" i="87" s="1"/>
  <c r="N62" i="87" s="1"/>
  <c r="B62" i="87"/>
  <c r="X61" i="87"/>
  <c r="Z61" i="87" s="1"/>
  <c r="N61" i="87"/>
  <c r="L61" i="87"/>
  <c r="B61" i="87"/>
  <c r="X60" i="87"/>
  <c r="Z60" i="87" s="1"/>
  <c r="T60" i="87"/>
  <c r="P60" i="87"/>
  <c r="L60" i="87"/>
  <c r="J60" i="87"/>
  <c r="H60" i="87"/>
  <c r="N60" i="87" s="1"/>
  <c r="D60" i="87"/>
  <c r="B60" i="87"/>
  <c r="X59" i="87"/>
  <c r="Z59" i="87" s="1"/>
  <c r="N59" i="87"/>
  <c r="L59" i="87"/>
  <c r="B59" i="87"/>
  <c r="Z58" i="87"/>
  <c r="X58" i="87"/>
  <c r="N58" i="87"/>
  <c r="L58" i="87"/>
  <c r="B58" i="87"/>
  <c r="Z57" i="87"/>
  <c r="X57" i="87"/>
  <c r="L57" i="87"/>
  <c r="N57" i="87" s="1"/>
  <c r="B57" i="87"/>
  <c r="T56" i="87"/>
  <c r="Z56" i="87" s="1"/>
  <c r="P56" i="87"/>
  <c r="X56" i="87" s="1"/>
  <c r="J56" i="87"/>
  <c r="H56" i="87"/>
  <c r="D56" i="87"/>
  <c r="B56" i="87"/>
  <c r="X55" i="87"/>
  <c r="Z55" i="87" s="1"/>
  <c r="L55" i="87"/>
  <c r="N55" i="87" s="1"/>
  <c r="B55" i="87"/>
  <c r="X54" i="87"/>
  <c r="Z54" i="87" s="1"/>
  <c r="T54" i="87"/>
  <c r="P54" i="87"/>
  <c r="H54" i="87"/>
  <c r="F54" i="87"/>
  <c r="D54" i="87"/>
  <c r="L54" i="87" s="1"/>
  <c r="N54" i="87" s="1"/>
  <c r="B54" i="87"/>
  <c r="X53" i="87"/>
  <c r="Z53" i="87" s="1"/>
  <c r="L53" i="87"/>
  <c r="N53" i="87" s="1"/>
  <c r="B53" i="87"/>
  <c r="Z52" i="87"/>
  <c r="X52" i="87"/>
  <c r="N52" i="87"/>
  <c r="L52" i="87"/>
  <c r="B52" i="87"/>
  <c r="X51" i="87"/>
  <c r="T51" i="87"/>
  <c r="P51" i="87"/>
  <c r="H51" i="87"/>
  <c r="F51" i="87"/>
  <c r="D51" i="87"/>
  <c r="L51" i="87" s="1"/>
  <c r="N51" i="87" s="1"/>
  <c r="B51" i="87"/>
  <c r="X50" i="87"/>
  <c r="Z50" i="87" s="1"/>
  <c r="N50" i="87"/>
  <c r="L50" i="87"/>
  <c r="B50" i="87"/>
  <c r="X49" i="87"/>
  <c r="Z49" i="87" s="1"/>
  <c r="T49" i="87"/>
  <c r="P49" i="87"/>
  <c r="H49" i="87"/>
  <c r="D49" i="87"/>
  <c r="L49" i="87" s="1"/>
  <c r="N49" i="87" s="1"/>
  <c r="B49" i="87"/>
  <c r="X48" i="87"/>
  <c r="Z48" i="87" s="1"/>
  <c r="L48" i="87"/>
  <c r="N48" i="87" s="1"/>
  <c r="B48" i="87"/>
  <c r="T47" i="87"/>
  <c r="P47" i="87"/>
  <c r="X47" i="87" s="1"/>
  <c r="H47" i="87"/>
  <c r="L47" i="87" s="1"/>
  <c r="N47" i="87" s="1"/>
  <c r="D47" i="87"/>
  <c r="B47" i="87"/>
  <c r="X46" i="87"/>
  <c r="Z46" i="87" s="1"/>
  <c r="L46" i="87"/>
  <c r="N46" i="87" s="1"/>
  <c r="B46" i="87"/>
  <c r="T45" i="87"/>
  <c r="P45" i="87"/>
  <c r="X45" i="87" s="1"/>
  <c r="H45" i="87"/>
  <c r="D45" i="87"/>
  <c r="B45" i="87"/>
  <c r="Z44" i="87"/>
  <c r="X44" i="87"/>
  <c r="N44" i="87"/>
  <c r="L44" i="87"/>
  <c r="F44" i="87"/>
  <c r="B44" i="87"/>
  <c r="Z43" i="87"/>
  <c r="X43" i="87"/>
  <c r="L43" i="87"/>
  <c r="N43" i="87" s="1"/>
  <c r="B43" i="87"/>
  <c r="T42" i="87"/>
  <c r="P42" i="87"/>
  <c r="H42" i="87"/>
  <c r="D42" i="87"/>
  <c r="B42" i="87"/>
  <c r="Z41" i="87"/>
  <c r="X41" i="87"/>
  <c r="N41" i="87"/>
  <c r="L41" i="87"/>
  <c r="B41" i="87"/>
  <c r="T40" i="87"/>
  <c r="P40" i="87"/>
  <c r="X40" i="87" s="1"/>
  <c r="N40" i="87"/>
  <c r="L40" i="87"/>
  <c r="H40" i="87"/>
  <c r="D40" i="87"/>
  <c r="B40" i="87"/>
  <c r="Z39" i="87"/>
  <c r="X39" i="87"/>
  <c r="L39" i="87"/>
  <c r="N39" i="87" s="1"/>
  <c r="J39" i="87"/>
  <c r="B39" i="87"/>
  <c r="T38" i="87"/>
  <c r="P38" i="87"/>
  <c r="X38" i="87" s="1"/>
  <c r="Z38" i="87" s="1"/>
  <c r="J38" i="87"/>
  <c r="H38" i="87"/>
  <c r="D38" i="87"/>
  <c r="B38" i="87"/>
  <c r="X37" i="87"/>
  <c r="Z37" i="87" s="1"/>
  <c r="N37" i="87"/>
  <c r="L37" i="87"/>
  <c r="F37" i="87"/>
  <c r="B37" i="87"/>
  <c r="T36" i="87"/>
  <c r="P36" i="87"/>
  <c r="H36" i="87"/>
  <c r="N36" i="87" s="1"/>
  <c r="D36" i="87"/>
  <c r="L36" i="87" s="1"/>
  <c r="B36" i="87"/>
  <c r="Z35" i="87"/>
  <c r="X35" i="87"/>
  <c r="N35" i="87"/>
  <c r="L35" i="87"/>
  <c r="F35" i="87"/>
  <c r="B35" i="87"/>
  <c r="X34" i="87"/>
  <c r="Z34" i="87" s="1"/>
  <c r="L34" i="87"/>
  <c r="N34" i="87" s="1"/>
  <c r="B34" i="87"/>
  <c r="X33" i="87"/>
  <c r="Z33" i="87" s="1"/>
  <c r="N33" i="87"/>
  <c r="L33" i="87"/>
  <c r="B33" i="87"/>
  <c r="T32" i="87"/>
  <c r="P32" i="87"/>
  <c r="X32" i="87" s="1"/>
  <c r="Z32" i="87" s="1"/>
  <c r="L32" i="87"/>
  <c r="N32" i="87" s="1"/>
  <c r="H32" i="87"/>
  <c r="D32" i="87"/>
  <c r="B32" i="87"/>
  <c r="X31" i="87"/>
  <c r="Z31" i="87" s="1"/>
  <c r="N31" i="87"/>
  <c r="L31" i="87"/>
  <c r="F31" i="87"/>
  <c r="B31" i="87"/>
  <c r="X30" i="87"/>
  <c r="Z30" i="87" s="1"/>
  <c r="N30" i="87"/>
  <c r="L30" i="87"/>
  <c r="B30" i="87"/>
  <c r="X29" i="87"/>
  <c r="Z29" i="87" s="1"/>
  <c r="N29" i="87"/>
  <c r="L29" i="87"/>
  <c r="B29" i="87"/>
  <c r="Z28" i="87"/>
  <c r="X28" i="87"/>
  <c r="N28" i="87"/>
  <c r="L28" i="87"/>
  <c r="B28" i="87"/>
  <c r="X27" i="87"/>
  <c r="Z27" i="87" s="1"/>
  <c r="N27" i="87"/>
  <c r="L27" i="87"/>
  <c r="J27" i="87"/>
  <c r="F27" i="87"/>
  <c r="B27" i="87"/>
  <c r="X26" i="87"/>
  <c r="Z26" i="87" s="1"/>
  <c r="N26" i="87"/>
  <c r="L26" i="87"/>
  <c r="B26" i="87"/>
  <c r="Z25" i="87"/>
  <c r="X25" i="87"/>
  <c r="N25" i="87"/>
  <c r="L25" i="87"/>
  <c r="B25" i="87"/>
  <c r="Z24" i="87"/>
  <c r="X24" i="87"/>
  <c r="N24" i="87"/>
  <c r="L24" i="87"/>
  <c r="B24" i="87"/>
  <c r="T23" i="87"/>
  <c r="P23" i="87"/>
  <c r="X23" i="87" s="1"/>
  <c r="L23" i="87"/>
  <c r="N23" i="87" s="1"/>
  <c r="H23" i="87"/>
  <c r="D23" i="87"/>
  <c r="B23" i="87"/>
  <c r="T22" i="87"/>
  <c r="Z22" i="87" s="1"/>
  <c r="P22" i="87"/>
  <c r="X22" i="87" s="1"/>
  <c r="H22" i="87"/>
  <c r="D22" i="87"/>
  <c r="L22" i="87" s="1"/>
  <c r="N22" i="87" s="1"/>
  <c r="Z18" i="87"/>
  <c r="X18" i="87"/>
  <c r="L18" i="87"/>
  <c r="N18" i="87" s="1"/>
  <c r="B18" i="87"/>
  <c r="Z17" i="87"/>
  <c r="X17" i="87"/>
  <c r="L17" i="87"/>
  <c r="N17" i="87" s="1"/>
  <c r="B17" i="87"/>
  <c r="T16" i="87"/>
  <c r="P16" i="87"/>
  <c r="X16" i="87" s="1"/>
  <c r="Z16" i="87" s="1"/>
  <c r="H16" i="87"/>
  <c r="D16" i="87"/>
  <c r="T14" i="87"/>
  <c r="P14" i="87"/>
  <c r="X14" i="87" s="1"/>
  <c r="Z14" i="87" s="1"/>
  <c r="L14" i="87"/>
  <c r="H14" i="87"/>
  <c r="N14" i="87" s="1"/>
  <c r="D14" i="87"/>
  <c r="B14" i="87"/>
  <c r="T13" i="87"/>
  <c r="P13" i="87"/>
  <c r="H13" i="87"/>
  <c r="N13" i="87" s="1"/>
  <c r="D13" i="87"/>
  <c r="L13" i="87" s="1"/>
  <c r="B13" i="87"/>
  <c r="H12" i="87"/>
  <c r="D12" i="87"/>
  <c r="D6" i="87"/>
  <c r="D4" i="87"/>
  <c r="X28" i="85"/>
  <c r="Z28" i="85" s="1"/>
  <c r="L28" i="85"/>
  <c r="N28" i="85" s="1"/>
  <c r="P26" i="85"/>
  <c r="T24" i="85"/>
  <c r="Z24" i="85" s="1"/>
  <c r="P24" i="85"/>
  <c r="X24" i="85" s="1"/>
  <c r="N24" i="85"/>
  <c r="H24" i="85"/>
  <c r="H26" i="85" s="1"/>
  <c r="H30" i="85" s="1"/>
  <c r="D24" i="85"/>
  <c r="L24" i="85" s="1"/>
  <c r="Z22" i="85"/>
  <c r="X22" i="85"/>
  <c r="R22" i="85"/>
  <c r="L22" i="85"/>
  <c r="N22" i="85" s="1"/>
  <c r="J22" i="85"/>
  <c r="B22" i="85"/>
  <c r="T21" i="85"/>
  <c r="P21" i="85"/>
  <c r="X21" i="85" s="1"/>
  <c r="Z21" i="85" s="1"/>
  <c r="J21" i="85"/>
  <c r="H21" i="85"/>
  <c r="D21" i="85"/>
  <c r="B21" i="85"/>
  <c r="T20" i="85"/>
  <c r="P20" i="85"/>
  <c r="X20" i="85" s="1"/>
  <c r="Z20" i="85" s="1"/>
  <c r="L20" i="85"/>
  <c r="J20" i="85"/>
  <c r="H20" i="85"/>
  <c r="N20" i="85" s="1"/>
  <c r="D20" i="85"/>
  <c r="P18" i="85"/>
  <c r="J18" i="85"/>
  <c r="H18" i="85"/>
  <c r="X16" i="85"/>
  <c r="Z16" i="85" s="1"/>
  <c r="L16" i="85"/>
  <c r="N16" i="85" s="1"/>
  <c r="J16" i="85"/>
  <c r="B16" i="85"/>
  <c r="T15" i="85"/>
  <c r="R15" i="85"/>
  <c r="P15" i="85"/>
  <c r="X15" i="85" s="1"/>
  <c r="Z15" i="85" s="1"/>
  <c r="J15" i="85"/>
  <c r="H15" i="85"/>
  <c r="D15" i="85"/>
  <c r="L15" i="85" s="1"/>
  <c r="T13" i="85"/>
  <c r="Z13" i="85" s="1"/>
  <c r="P13" i="85"/>
  <c r="X13" i="85" s="1"/>
  <c r="H13" i="85"/>
  <c r="D13" i="85"/>
  <c r="D12" i="85" s="1"/>
  <c r="B13" i="85"/>
  <c r="T12" i="85"/>
  <c r="P12" i="85"/>
  <c r="H12" i="85"/>
  <c r="D6" i="85"/>
  <c r="D4" i="85"/>
  <c r="X107" i="84"/>
  <c r="Z107" i="84" s="1"/>
  <c r="N107" i="84"/>
  <c r="L107" i="84"/>
  <c r="Z103" i="84"/>
  <c r="T103" i="84"/>
  <c r="P103" i="84"/>
  <c r="X103" i="84" s="1"/>
  <c r="L103" i="84"/>
  <c r="H103" i="84"/>
  <c r="N103" i="84" s="1"/>
  <c r="D103" i="84"/>
  <c r="X101" i="84"/>
  <c r="Z101" i="84" s="1"/>
  <c r="L101" i="84"/>
  <c r="N101" i="84" s="1"/>
  <c r="F101" i="84"/>
  <c r="B101" i="84"/>
  <c r="T100" i="84"/>
  <c r="P100" i="84"/>
  <c r="X100" i="84" s="1"/>
  <c r="Z100" i="84" s="1"/>
  <c r="H100" i="84"/>
  <c r="D100" i="84"/>
  <c r="L100" i="84" s="1"/>
  <c r="B100" i="84"/>
  <c r="X99" i="84"/>
  <c r="Z99" i="84" s="1"/>
  <c r="N99" i="84"/>
  <c r="L99" i="84"/>
  <c r="B99" i="84"/>
  <c r="Z98" i="84"/>
  <c r="X98" i="84"/>
  <c r="T98" i="84"/>
  <c r="P98" i="84"/>
  <c r="H98" i="84"/>
  <c r="D98" i="84"/>
  <c r="B98" i="84"/>
  <c r="Z97" i="84"/>
  <c r="X97" i="84"/>
  <c r="L97" i="84"/>
  <c r="N97" i="84" s="1"/>
  <c r="B97" i="84"/>
  <c r="T96" i="84"/>
  <c r="P96" i="84"/>
  <c r="H96" i="84"/>
  <c r="D96" i="84"/>
  <c r="L96" i="84" s="1"/>
  <c r="N96" i="84" s="1"/>
  <c r="B96" i="84"/>
  <c r="X95" i="84"/>
  <c r="Z95" i="84" s="1"/>
  <c r="L95" i="84"/>
  <c r="N95" i="84" s="1"/>
  <c r="B95" i="84"/>
  <c r="Z94" i="84"/>
  <c r="X94" i="84"/>
  <c r="N94" i="84"/>
  <c r="L94" i="84"/>
  <c r="B94" i="84"/>
  <c r="T93" i="84"/>
  <c r="P93" i="84"/>
  <c r="X93" i="84" s="1"/>
  <c r="Z93" i="84" s="1"/>
  <c r="L93" i="84"/>
  <c r="H93" i="84"/>
  <c r="N93" i="84" s="1"/>
  <c r="D93" i="84"/>
  <c r="B93" i="84"/>
  <c r="X92" i="84"/>
  <c r="Z92" i="84" s="1"/>
  <c r="N92" i="84"/>
  <c r="L92" i="84"/>
  <c r="B92" i="84"/>
  <c r="X91" i="84"/>
  <c r="T91" i="84"/>
  <c r="Z91" i="84" s="1"/>
  <c r="P91" i="84"/>
  <c r="H91" i="84"/>
  <c r="F91" i="84"/>
  <c r="D91" i="84"/>
  <c r="B91" i="84"/>
  <c r="Z90" i="84"/>
  <c r="X90" i="84"/>
  <c r="L90" i="84"/>
  <c r="N90" i="84" s="1"/>
  <c r="B90" i="84"/>
  <c r="Z89" i="84"/>
  <c r="X89" i="84"/>
  <c r="L89" i="84"/>
  <c r="N89" i="84" s="1"/>
  <c r="B89" i="84"/>
  <c r="Z88" i="84"/>
  <c r="X88" i="84"/>
  <c r="N88" i="84"/>
  <c r="L88" i="84"/>
  <c r="B88" i="84"/>
  <c r="T87" i="84"/>
  <c r="P87" i="84"/>
  <c r="H87" i="84"/>
  <c r="D87" i="84"/>
  <c r="L87" i="84" s="1"/>
  <c r="N87" i="84" s="1"/>
  <c r="B87" i="84"/>
  <c r="X86" i="84"/>
  <c r="Z86" i="84" s="1"/>
  <c r="L86" i="84"/>
  <c r="N86" i="84" s="1"/>
  <c r="B86" i="84"/>
  <c r="T85" i="84"/>
  <c r="P85" i="84"/>
  <c r="X85" i="84" s="1"/>
  <c r="Z85" i="84" s="1"/>
  <c r="L85" i="84"/>
  <c r="H85" i="84"/>
  <c r="N85" i="84" s="1"/>
  <c r="D85" i="84"/>
  <c r="B85" i="84"/>
  <c r="Z84" i="84"/>
  <c r="X84" i="84"/>
  <c r="N84" i="84"/>
  <c r="L84" i="84"/>
  <c r="B84" i="84"/>
  <c r="X83" i="84"/>
  <c r="T83" i="84"/>
  <c r="Z83" i="84" s="1"/>
  <c r="P83" i="84"/>
  <c r="H83" i="84"/>
  <c r="N83" i="84" s="1"/>
  <c r="D83" i="84"/>
  <c r="B83" i="84"/>
  <c r="Z82" i="84"/>
  <c r="X82" i="84"/>
  <c r="L82" i="84"/>
  <c r="N82" i="84" s="1"/>
  <c r="B82" i="84"/>
  <c r="Z81" i="84"/>
  <c r="T81" i="84"/>
  <c r="P81" i="84"/>
  <c r="X81" i="84" s="1"/>
  <c r="H81" i="84"/>
  <c r="D81" i="84"/>
  <c r="L81" i="84" s="1"/>
  <c r="B81" i="84"/>
  <c r="Z80" i="84"/>
  <c r="X80" i="84"/>
  <c r="N80" i="84"/>
  <c r="L80" i="84"/>
  <c r="F80" i="84"/>
  <c r="B80" i="84"/>
  <c r="X79" i="84"/>
  <c r="T79" i="84"/>
  <c r="Z79" i="84" s="1"/>
  <c r="P79" i="84"/>
  <c r="H79" i="84"/>
  <c r="D79" i="84"/>
  <c r="L79" i="84" s="1"/>
  <c r="N79" i="84" s="1"/>
  <c r="B79" i="84"/>
  <c r="X78" i="84"/>
  <c r="Z78" i="84" s="1"/>
  <c r="N78" i="84"/>
  <c r="L78" i="84"/>
  <c r="B78" i="84"/>
  <c r="T77" i="84"/>
  <c r="P77" i="84"/>
  <c r="L77" i="84"/>
  <c r="H77" i="84"/>
  <c r="N77" i="84" s="1"/>
  <c r="D77" i="84"/>
  <c r="B77" i="84"/>
  <c r="Z76" i="84"/>
  <c r="X76" i="84"/>
  <c r="N76" i="84"/>
  <c r="L76" i="84"/>
  <c r="B76" i="84"/>
  <c r="T75" i="84"/>
  <c r="P75" i="84"/>
  <c r="H75" i="84"/>
  <c r="D75" i="84"/>
  <c r="L75" i="84" s="1"/>
  <c r="N75" i="84" s="1"/>
  <c r="B75" i="84"/>
  <c r="X74" i="84"/>
  <c r="Z74" i="84" s="1"/>
  <c r="L74" i="84"/>
  <c r="N74" i="84" s="1"/>
  <c r="B74" i="84"/>
  <c r="T73" i="84"/>
  <c r="P73" i="84"/>
  <c r="X73" i="84" s="1"/>
  <c r="Z73" i="84" s="1"/>
  <c r="L73" i="84"/>
  <c r="H73" i="84"/>
  <c r="N73" i="84" s="1"/>
  <c r="D73" i="84"/>
  <c r="B73" i="84"/>
  <c r="Z72" i="84"/>
  <c r="X72" i="84"/>
  <c r="N72" i="84"/>
  <c r="L72" i="84"/>
  <c r="B72" i="84"/>
  <c r="X71" i="84"/>
  <c r="T71" i="84"/>
  <c r="Z71" i="84" s="1"/>
  <c r="P71" i="84"/>
  <c r="H71" i="84"/>
  <c r="D71" i="84"/>
  <c r="B71" i="84"/>
  <c r="Z70" i="84"/>
  <c r="X70" i="84"/>
  <c r="L70" i="84"/>
  <c r="N70" i="84" s="1"/>
  <c r="B70" i="84"/>
  <c r="Z69" i="84"/>
  <c r="T69" i="84"/>
  <c r="P69" i="84"/>
  <c r="X69" i="84" s="1"/>
  <c r="H69" i="84"/>
  <c r="D69" i="84"/>
  <c r="L69" i="84" s="1"/>
  <c r="B69" i="84"/>
  <c r="Z68" i="84"/>
  <c r="X68" i="84"/>
  <c r="N68" i="84"/>
  <c r="L68" i="84"/>
  <c r="F68" i="84"/>
  <c r="B68" i="84"/>
  <c r="X67" i="84"/>
  <c r="Z67" i="84" s="1"/>
  <c r="L67" i="84"/>
  <c r="N67" i="84" s="1"/>
  <c r="B67" i="84"/>
  <c r="X66" i="84"/>
  <c r="Z66" i="84" s="1"/>
  <c r="N66" i="84"/>
  <c r="L66" i="84"/>
  <c r="B66" i="84"/>
  <c r="Z65" i="84"/>
  <c r="X65" i="84"/>
  <c r="N65" i="84"/>
  <c r="L65" i="84"/>
  <c r="B65" i="84"/>
  <c r="Z64" i="84"/>
  <c r="X64" i="84"/>
  <c r="N64" i="84"/>
  <c r="L64" i="84"/>
  <c r="B64" i="84"/>
  <c r="X63" i="84"/>
  <c r="T63" i="84"/>
  <c r="P63" i="84"/>
  <c r="H63" i="84"/>
  <c r="D63" i="84"/>
  <c r="L63" i="84" s="1"/>
  <c r="N63" i="84" s="1"/>
  <c r="B63" i="84"/>
  <c r="Z62" i="84"/>
  <c r="X62" i="84"/>
  <c r="N62" i="84"/>
  <c r="L62" i="84"/>
  <c r="B62" i="84"/>
  <c r="Z61" i="84"/>
  <c r="X61" i="84"/>
  <c r="N61" i="84"/>
  <c r="L61" i="84"/>
  <c r="B61" i="84"/>
  <c r="Z60" i="84"/>
  <c r="X60" i="84"/>
  <c r="N60" i="84"/>
  <c r="L60" i="84"/>
  <c r="B60" i="84"/>
  <c r="X59" i="84"/>
  <c r="Z59" i="84" s="1"/>
  <c r="N59" i="84"/>
  <c r="L59" i="84"/>
  <c r="B59" i="84"/>
  <c r="X58" i="84"/>
  <c r="Z58" i="84" s="1"/>
  <c r="N58" i="84"/>
  <c r="L58" i="84"/>
  <c r="B58" i="84"/>
  <c r="X57" i="84"/>
  <c r="Z57" i="84" s="1"/>
  <c r="N57" i="84"/>
  <c r="L57" i="84"/>
  <c r="B57" i="84"/>
  <c r="Z56" i="84"/>
  <c r="X56" i="84"/>
  <c r="N56" i="84"/>
  <c r="L56" i="84"/>
  <c r="B56" i="84"/>
  <c r="X55" i="84"/>
  <c r="Z55" i="84" s="1"/>
  <c r="N55" i="84"/>
  <c r="L55" i="84"/>
  <c r="B55" i="84"/>
  <c r="Z54" i="84"/>
  <c r="X54" i="84"/>
  <c r="T54" i="84"/>
  <c r="P54" i="84"/>
  <c r="H54" i="84"/>
  <c r="D54" i="84"/>
  <c r="B54" i="84"/>
  <c r="T53" i="84"/>
  <c r="Z53" i="84" s="1"/>
  <c r="P53" i="84"/>
  <c r="X53" i="84" s="1"/>
  <c r="H53" i="84"/>
  <c r="D53" i="84"/>
  <c r="Z49" i="84"/>
  <c r="X49" i="84"/>
  <c r="L49" i="84"/>
  <c r="N49" i="84" s="1"/>
  <c r="B49" i="84"/>
  <c r="Z48" i="84"/>
  <c r="X48" i="84"/>
  <c r="N48" i="84"/>
  <c r="L48" i="84"/>
  <c r="B48" i="84"/>
  <c r="Z47" i="84"/>
  <c r="X47" i="84"/>
  <c r="N47" i="84"/>
  <c r="L47" i="84"/>
  <c r="B47" i="84"/>
  <c r="Z46" i="84"/>
  <c r="X46" i="84"/>
  <c r="L46" i="84"/>
  <c r="N46" i="84" s="1"/>
  <c r="B46" i="84"/>
  <c r="Z45" i="84"/>
  <c r="X45" i="84"/>
  <c r="L45" i="84"/>
  <c r="N45" i="84" s="1"/>
  <c r="B45" i="84"/>
  <c r="Z44" i="84"/>
  <c r="X44" i="84"/>
  <c r="N44" i="84"/>
  <c r="L44" i="84"/>
  <c r="B44" i="84"/>
  <c r="Z43" i="84"/>
  <c r="X43" i="84"/>
  <c r="L43" i="84"/>
  <c r="N43" i="84" s="1"/>
  <c r="B43" i="84"/>
  <c r="Z42" i="84"/>
  <c r="X42" i="84"/>
  <c r="L42" i="84"/>
  <c r="N42" i="84" s="1"/>
  <c r="B42" i="84"/>
  <c r="Z41" i="84"/>
  <c r="X41" i="84"/>
  <c r="L41" i="84"/>
  <c r="N41" i="84" s="1"/>
  <c r="B41" i="84"/>
  <c r="Z40" i="84"/>
  <c r="X40" i="84"/>
  <c r="N40" i="84"/>
  <c r="L40" i="84"/>
  <c r="B40" i="84"/>
  <c r="Z39" i="84"/>
  <c r="X39" i="84"/>
  <c r="L39" i="84"/>
  <c r="N39" i="84" s="1"/>
  <c r="B39" i="84"/>
  <c r="Z38" i="84"/>
  <c r="X38" i="84"/>
  <c r="L38" i="84"/>
  <c r="N38" i="84" s="1"/>
  <c r="B38" i="84"/>
  <c r="T37" i="84"/>
  <c r="Z37" i="84" s="1"/>
  <c r="P37" i="84"/>
  <c r="X37" i="84" s="1"/>
  <c r="H37" i="84"/>
  <c r="D37" i="84"/>
  <c r="T35" i="84"/>
  <c r="P35" i="84"/>
  <c r="X35" i="84" s="1"/>
  <c r="Z35" i="84" s="1"/>
  <c r="L35" i="84"/>
  <c r="H35" i="84"/>
  <c r="D35" i="84"/>
  <c r="B35" i="84"/>
  <c r="T34" i="84"/>
  <c r="P34" i="84"/>
  <c r="H34" i="84"/>
  <c r="D34" i="84"/>
  <c r="B34" i="84"/>
  <c r="T33" i="84"/>
  <c r="P33" i="84"/>
  <c r="L33" i="84"/>
  <c r="H33" i="84"/>
  <c r="D33" i="84"/>
  <c r="B33" i="84"/>
  <c r="T32" i="84"/>
  <c r="P32" i="84"/>
  <c r="X32" i="84" s="1"/>
  <c r="Z32" i="84" s="1"/>
  <c r="H32" i="84"/>
  <c r="D32" i="84"/>
  <c r="B32" i="84"/>
  <c r="Z31" i="84"/>
  <c r="T31" i="84"/>
  <c r="P31" i="84"/>
  <c r="X31" i="84" s="1"/>
  <c r="H31" i="84"/>
  <c r="D31" i="84"/>
  <c r="B31" i="84"/>
  <c r="T30" i="84"/>
  <c r="P30" i="84"/>
  <c r="X30" i="84" s="1"/>
  <c r="Z30" i="84" s="1"/>
  <c r="H30" i="84"/>
  <c r="D30" i="84"/>
  <c r="B30" i="84"/>
  <c r="Z29" i="84"/>
  <c r="T29" i="84"/>
  <c r="P29" i="84"/>
  <c r="X29" i="84" s="1"/>
  <c r="H29" i="84"/>
  <c r="N29" i="84" s="1"/>
  <c r="D29" i="84"/>
  <c r="B29" i="84"/>
  <c r="T28" i="84"/>
  <c r="Z28" i="84" s="1"/>
  <c r="P28" i="84"/>
  <c r="X28" i="84" s="1"/>
  <c r="L28" i="84"/>
  <c r="H28" i="84"/>
  <c r="N28" i="84" s="1"/>
  <c r="D28" i="84"/>
  <c r="B28" i="84"/>
  <c r="T27" i="84"/>
  <c r="P27" i="84"/>
  <c r="X27" i="84" s="1"/>
  <c r="Z27" i="84" s="1"/>
  <c r="H27" i="84"/>
  <c r="D27" i="84"/>
  <c r="B27" i="84"/>
  <c r="Z26" i="84"/>
  <c r="T26" i="84"/>
  <c r="P26" i="84"/>
  <c r="H26" i="84"/>
  <c r="N26" i="84" s="1"/>
  <c r="D26" i="84"/>
  <c r="B26" i="84"/>
  <c r="T25" i="84"/>
  <c r="P25" i="84"/>
  <c r="L25" i="84"/>
  <c r="H25" i="84"/>
  <c r="D25" i="84"/>
  <c r="B25" i="84"/>
  <c r="Z24" i="84"/>
  <c r="T24" i="84"/>
  <c r="P24" i="84"/>
  <c r="H24" i="84"/>
  <c r="N24" i="84" s="1"/>
  <c r="D24" i="84"/>
  <c r="B24" i="84"/>
  <c r="X23" i="84"/>
  <c r="Z23" i="84" s="1"/>
  <c r="T23" i="84"/>
  <c r="P23" i="84"/>
  <c r="H23" i="84"/>
  <c r="D23" i="84"/>
  <c r="B23" i="84"/>
  <c r="T22" i="84"/>
  <c r="P22" i="84"/>
  <c r="N22" i="84"/>
  <c r="H22" i="84"/>
  <c r="L22" i="84" s="1"/>
  <c r="D22" i="84"/>
  <c r="B22" i="84"/>
  <c r="T21" i="84"/>
  <c r="P21" i="84"/>
  <c r="L21" i="84"/>
  <c r="H21" i="84"/>
  <c r="D21" i="84"/>
  <c r="B21" i="84"/>
  <c r="T20" i="84"/>
  <c r="P20" i="84"/>
  <c r="L20" i="84"/>
  <c r="H20" i="84"/>
  <c r="D20" i="84"/>
  <c r="B20" i="84"/>
  <c r="Z19" i="84"/>
  <c r="X19" i="84"/>
  <c r="T19" i="84"/>
  <c r="P19" i="84"/>
  <c r="H19" i="84"/>
  <c r="N19" i="84" s="1"/>
  <c r="D19" i="84"/>
  <c r="B19" i="84"/>
  <c r="Z18" i="84"/>
  <c r="T18" i="84"/>
  <c r="P18" i="84"/>
  <c r="X18" i="84" s="1"/>
  <c r="H18" i="84"/>
  <c r="L18" i="84" s="1"/>
  <c r="D18" i="84"/>
  <c r="B18" i="84"/>
  <c r="T17" i="84"/>
  <c r="Z17" i="84" s="1"/>
  <c r="P17" i="84"/>
  <c r="X17" i="84" s="1"/>
  <c r="H17" i="84"/>
  <c r="D17" i="84"/>
  <c r="L17" i="84" s="1"/>
  <c r="B17" i="84"/>
  <c r="T16" i="84"/>
  <c r="P16" i="84"/>
  <c r="X16" i="84" s="1"/>
  <c r="L16" i="84"/>
  <c r="H16" i="84"/>
  <c r="D16" i="84"/>
  <c r="B16" i="84"/>
  <c r="T15" i="84"/>
  <c r="P15" i="84"/>
  <c r="X15" i="84" s="1"/>
  <c r="Z15" i="84" s="1"/>
  <c r="H15" i="84"/>
  <c r="D15" i="84"/>
  <c r="B15" i="84"/>
  <c r="T14" i="84"/>
  <c r="P14" i="84"/>
  <c r="H14" i="84"/>
  <c r="L14" i="84" s="1"/>
  <c r="D14" i="84"/>
  <c r="B14" i="84"/>
  <c r="Z13" i="84"/>
  <c r="T13" i="84"/>
  <c r="P13" i="84"/>
  <c r="X13" i="84" s="1"/>
  <c r="H13" i="84"/>
  <c r="D13" i="84"/>
  <c r="D12" i="84" s="1"/>
  <c r="B13" i="84"/>
  <c r="D6" i="84"/>
  <c r="D4" i="84"/>
  <c r="F80" i="83"/>
  <c r="Z78" i="83"/>
  <c r="X78" i="83"/>
  <c r="L78" i="83"/>
  <c r="N78" i="83" s="1"/>
  <c r="T74" i="83"/>
  <c r="Z74" i="83" s="1"/>
  <c r="P74" i="83"/>
  <c r="X74" i="83" s="1"/>
  <c r="H74" i="83"/>
  <c r="N74" i="83" s="1"/>
  <c r="D74" i="83"/>
  <c r="L74" i="83" s="1"/>
  <c r="Z72" i="83"/>
  <c r="X72" i="83"/>
  <c r="N72" i="83"/>
  <c r="L72" i="83"/>
  <c r="B72" i="83"/>
  <c r="T71" i="83"/>
  <c r="P71" i="83"/>
  <c r="X71" i="83" s="1"/>
  <c r="N71" i="83"/>
  <c r="L71" i="83"/>
  <c r="H71" i="83"/>
  <c r="D71" i="83"/>
  <c r="B71" i="83"/>
  <c r="X70" i="83"/>
  <c r="Z70" i="83" s="1"/>
  <c r="N70" i="83"/>
  <c r="L70" i="83"/>
  <c r="B70" i="83"/>
  <c r="X69" i="83"/>
  <c r="T69" i="83"/>
  <c r="P69" i="83"/>
  <c r="H69" i="83"/>
  <c r="D69" i="83"/>
  <c r="L69" i="83" s="1"/>
  <c r="B69" i="83"/>
  <c r="X68" i="83"/>
  <c r="Z68" i="83" s="1"/>
  <c r="N68" i="83"/>
  <c r="L68" i="83"/>
  <c r="B68" i="83"/>
  <c r="X67" i="83"/>
  <c r="Z67" i="83" s="1"/>
  <c r="N67" i="83"/>
  <c r="L67" i="83"/>
  <c r="F67" i="83"/>
  <c r="B67" i="83"/>
  <c r="Z66" i="83"/>
  <c r="X66" i="83"/>
  <c r="N66" i="83"/>
  <c r="L66" i="83"/>
  <c r="B66" i="83"/>
  <c r="X65" i="83"/>
  <c r="Z65" i="83" s="1"/>
  <c r="N65" i="83"/>
  <c r="L65" i="83"/>
  <c r="B65" i="83"/>
  <c r="T64" i="83"/>
  <c r="P64" i="83"/>
  <c r="L64" i="83"/>
  <c r="N64" i="83" s="1"/>
  <c r="H64" i="83"/>
  <c r="D64" i="83"/>
  <c r="B64" i="83"/>
  <c r="Z63" i="83"/>
  <c r="X63" i="83"/>
  <c r="L63" i="83"/>
  <c r="N63" i="83" s="1"/>
  <c r="B63" i="83"/>
  <c r="T62" i="83"/>
  <c r="P62" i="83"/>
  <c r="H62" i="83"/>
  <c r="N62" i="83" s="1"/>
  <c r="D62" i="83"/>
  <c r="L62" i="83" s="1"/>
  <c r="B62" i="83"/>
  <c r="X61" i="83"/>
  <c r="Z61" i="83" s="1"/>
  <c r="N61" i="83"/>
  <c r="L61" i="83"/>
  <c r="B61" i="83"/>
  <c r="Z60" i="83"/>
  <c r="X60" i="83"/>
  <c r="N60" i="83"/>
  <c r="L60" i="83"/>
  <c r="B60" i="83"/>
  <c r="X59" i="83"/>
  <c r="Z59" i="83" s="1"/>
  <c r="L59" i="83"/>
  <c r="N59" i="83" s="1"/>
  <c r="B59" i="83"/>
  <c r="X58" i="83"/>
  <c r="Z58" i="83" s="1"/>
  <c r="T58" i="83"/>
  <c r="P58" i="83"/>
  <c r="N58" i="83"/>
  <c r="J58" i="83"/>
  <c r="H58" i="83"/>
  <c r="D58" i="83"/>
  <c r="L58" i="83" s="1"/>
  <c r="B58" i="83"/>
  <c r="X57" i="83"/>
  <c r="Z57" i="83" s="1"/>
  <c r="L57" i="83"/>
  <c r="N57" i="83" s="1"/>
  <c r="B57" i="83"/>
  <c r="Z56" i="83"/>
  <c r="X56" i="83"/>
  <c r="N56" i="83"/>
  <c r="L56" i="83"/>
  <c r="B56" i="83"/>
  <c r="T55" i="83"/>
  <c r="P55" i="83"/>
  <c r="N55" i="83"/>
  <c r="L55" i="83"/>
  <c r="H55" i="83"/>
  <c r="D55" i="83"/>
  <c r="B55" i="83"/>
  <c r="Z54" i="83"/>
  <c r="X54" i="83"/>
  <c r="L54" i="83"/>
  <c r="N54" i="83" s="1"/>
  <c r="B54" i="83"/>
  <c r="Z53" i="83"/>
  <c r="X53" i="83"/>
  <c r="T53" i="83"/>
  <c r="P53" i="83"/>
  <c r="H53" i="83"/>
  <c r="D53" i="83"/>
  <c r="B53" i="83"/>
  <c r="Z52" i="83"/>
  <c r="X52" i="83"/>
  <c r="N52" i="83"/>
  <c r="L52" i="83"/>
  <c r="B52" i="83"/>
  <c r="T51" i="83"/>
  <c r="P51" i="83"/>
  <c r="H51" i="83"/>
  <c r="F51" i="83"/>
  <c r="D51" i="83"/>
  <c r="L51" i="83" s="1"/>
  <c r="B51" i="83"/>
  <c r="Z50" i="83"/>
  <c r="X50" i="83"/>
  <c r="N50" i="83"/>
  <c r="L50" i="83"/>
  <c r="B50" i="83"/>
  <c r="T49" i="83"/>
  <c r="P49" i="83"/>
  <c r="H49" i="83"/>
  <c r="D49" i="83"/>
  <c r="L49" i="83" s="1"/>
  <c r="B49" i="83"/>
  <c r="Z48" i="83"/>
  <c r="X48" i="83"/>
  <c r="N48" i="83"/>
  <c r="L48" i="83"/>
  <c r="B48" i="83"/>
  <c r="T47" i="83"/>
  <c r="P47" i="83"/>
  <c r="X47" i="83" s="1"/>
  <c r="Z47" i="83" s="1"/>
  <c r="H47" i="83"/>
  <c r="D47" i="83"/>
  <c r="B47" i="83"/>
  <c r="Z46" i="83"/>
  <c r="X46" i="83"/>
  <c r="L46" i="83"/>
  <c r="N46" i="83" s="1"/>
  <c r="B46" i="83"/>
  <c r="X45" i="83"/>
  <c r="Z45" i="83" s="1"/>
  <c r="N45" i="83"/>
  <c r="L45" i="83"/>
  <c r="B45" i="83"/>
  <c r="T44" i="83"/>
  <c r="P44" i="83"/>
  <c r="X44" i="83" s="1"/>
  <c r="Z44" i="83" s="1"/>
  <c r="L44" i="83"/>
  <c r="N44" i="83" s="1"/>
  <c r="H44" i="83"/>
  <c r="D44" i="83"/>
  <c r="B44" i="83"/>
  <c r="X43" i="83"/>
  <c r="Z43" i="83" s="1"/>
  <c r="N43" i="83"/>
  <c r="L43" i="83"/>
  <c r="B43" i="83"/>
  <c r="Z42" i="83"/>
  <c r="X42" i="83"/>
  <c r="T42" i="83"/>
  <c r="P42" i="83"/>
  <c r="H42" i="83"/>
  <c r="D42" i="83"/>
  <c r="B42" i="83"/>
  <c r="Z41" i="83"/>
  <c r="X41" i="83"/>
  <c r="L41" i="83"/>
  <c r="N41" i="83" s="1"/>
  <c r="B41" i="83"/>
  <c r="T40" i="83"/>
  <c r="P40" i="83"/>
  <c r="X40" i="83" s="1"/>
  <c r="H40" i="83"/>
  <c r="D40" i="83"/>
  <c r="B40" i="83"/>
  <c r="X39" i="83"/>
  <c r="Z39" i="83" s="1"/>
  <c r="L39" i="83"/>
  <c r="N39" i="83" s="1"/>
  <c r="B39" i="83"/>
  <c r="Z38" i="83"/>
  <c r="X38" i="83"/>
  <c r="T38" i="83"/>
  <c r="P38" i="83"/>
  <c r="N38" i="83"/>
  <c r="H38" i="83"/>
  <c r="D38" i="83"/>
  <c r="L38" i="83" s="1"/>
  <c r="B38" i="83"/>
  <c r="Z37" i="83"/>
  <c r="X37" i="83"/>
  <c r="N37" i="83"/>
  <c r="L37" i="83"/>
  <c r="B37" i="83"/>
  <c r="X36" i="83"/>
  <c r="Z36" i="83" s="1"/>
  <c r="N36" i="83"/>
  <c r="L36" i="83"/>
  <c r="B36" i="83"/>
  <c r="X35" i="83"/>
  <c r="Z35" i="83" s="1"/>
  <c r="N35" i="83"/>
  <c r="L35" i="83"/>
  <c r="B35" i="83"/>
  <c r="X34" i="83"/>
  <c r="Z34" i="83" s="1"/>
  <c r="N34" i="83"/>
  <c r="L34" i="83"/>
  <c r="B34" i="83"/>
  <c r="X33" i="83"/>
  <c r="Z33" i="83" s="1"/>
  <c r="L33" i="83"/>
  <c r="N33" i="83" s="1"/>
  <c r="F33" i="83"/>
  <c r="B33" i="83"/>
  <c r="T32" i="83"/>
  <c r="P32" i="83"/>
  <c r="N32" i="83"/>
  <c r="L32" i="83"/>
  <c r="H32" i="83"/>
  <c r="F32" i="83"/>
  <c r="D32" i="83"/>
  <c r="B32" i="83"/>
  <c r="Z31" i="83"/>
  <c r="X31" i="83"/>
  <c r="L31" i="83"/>
  <c r="N31" i="83" s="1"/>
  <c r="B31" i="83"/>
  <c r="Z30" i="83"/>
  <c r="X30" i="83"/>
  <c r="N30" i="83"/>
  <c r="L30" i="83"/>
  <c r="B30" i="83"/>
  <c r="X29" i="83"/>
  <c r="Z29" i="83" s="1"/>
  <c r="L29" i="83"/>
  <c r="N29" i="83" s="1"/>
  <c r="J29" i="83"/>
  <c r="B29" i="83"/>
  <c r="Z28" i="83"/>
  <c r="X28" i="83"/>
  <c r="L28" i="83"/>
  <c r="N28" i="83" s="1"/>
  <c r="B28" i="83"/>
  <c r="Z27" i="83"/>
  <c r="X27" i="83"/>
  <c r="L27" i="83"/>
  <c r="N27" i="83" s="1"/>
  <c r="B27" i="83"/>
  <c r="Z26" i="83"/>
  <c r="X26" i="83"/>
  <c r="N26" i="83"/>
  <c r="L26" i="83"/>
  <c r="B26" i="83"/>
  <c r="Z25" i="83"/>
  <c r="X25" i="83"/>
  <c r="L25" i="83"/>
  <c r="N25" i="83" s="1"/>
  <c r="B25" i="83"/>
  <c r="Z24" i="83"/>
  <c r="X24" i="83"/>
  <c r="N24" i="83"/>
  <c r="L24" i="83"/>
  <c r="B24" i="83"/>
  <c r="T23" i="83"/>
  <c r="Z23" i="83" s="1"/>
  <c r="P23" i="83"/>
  <c r="X23" i="83" s="1"/>
  <c r="N23" i="83"/>
  <c r="L23" i="83"/>
  <c r="H23" i="83"/>
  <c r="D23" i="83"/>
  <c r="B23" i="83"/>
  <c r="T22" i="83"/>
  <c r="P22" i="83"/>
  <c r="X22" i="83" s="1"/>
  <c r="Z22" i="83" s="1"/>
  <c r="N22" i="83"/>
  <c r="L22" i="83"/>
  <c r="H22" i="83"/>
  <c r="D22" i="83"/>
  <c r="Z18" i="83"/>
  <c r="X18" i="83"/>
  <c r="L18" i="83"/>
  <c r="N18" i="83" s="1"/>
  <c r="B18" i="83"/>
  <c r="Z17" i="83"/>
  <c r="X17" i="83"/>
  <c r="L17" i="83"/>
  <c r="N17" i="83" s="1"/>
  <c r="B17" i="83"/>
  <c r="Z16" i="83"/>
  <c r="X16" i="83"/>
  <c r="T16" i="83"/>
  <c r="P16" i="83"/>
  <c r="H16" i="83"/>
  <c r="D16" i="83"/>
  <c r="L16" i="83" s="1"/>
  <c r="N16" i="83" s="1"/>
  <c r="Z14" i="83"/>
  <c r="X14" i="83"/>
  <c r="T14" i="83"/>
  <c r="P14" i="83"/>
  <c r="H14" i="83"/>
  <c r="D14" i="83"/>
  <c r="B14" i="83"/>
  <c r="T13" i="83"/>
  <c r="P13" i="83"/>
  <c r="N13" i="83"/>
  <c r="L13" i="83"/>
  <c r="H13" i="83"/>
  <c r="D13" i="83"/>
  <c r="B13" i="83"/>
  <c r="L12" i="83"/>
  <c r="H12" i="83"/>
  <c r="D12" i="83"/>
  <c r="D6" i="83"/>
  <c r="D4" i="83"/>
  <c r="X29" i="82"/>
  <c r="Z29" i="82" s="1"/>
  <c r="N29" i="82"/>
  <c r="L29" i="82"/>
  <c r="Z25" i="82"/>
  <c r="X25" i="82"/>
  <c r="T25" i="82"/>
  <c r="P25" i="82"/>
  <c r="N25" i="82"/>
  <c r="H25" i="82"/>
  <c r="D25" i="82"/>
  <c r="L25" i="82" s="1"/>
  <c r="Z23" i="82"/>
  <c r="X23" i="82"/>
  <c r="T23" i="82"/>
  <c r="P23" i="82"/>
  <c r="N23" i="82"/>
  <c r="H23" i="82"/>
  <c r="D23" i="82"/>
  <c r="L23" i="82" s="1"/>
  <c r="Z19" i="82"/>
  <c r="X19" i="82"/>
  <c r="L19" i="82"/>
  <c r="N19" i="82" s="1"/>
  <c r="B19" i="82"/>
  <c r="X18" i="82"/>
  <c r="Z18" i="82" s="1"/>
  <c r="R18" i="82"/>
  <c r="N18" i="82"/>
  <c r="L18" i="82"/>
  <c r="B18" i="82"/>
  <c r="T17" i="82"/>
  <c r="P17" i="82"/>
  <c r="X17" i="82" s="1"/>
  <c r="Z17" i="82" s="1"/>
  <c r="N17" i="82"/>
  <c r="H17" i="82"/>
  <c r="D17" i="82"/>
  <c r="L17" i="82" s="1"/>
  <c r="T15" i="82"/>
  <c r="P15" i="82"/>
  <c r="X15" i="82" s="1"/>
  <c r="Z15" i="82" s="1"/>
  <c r="L15" i="82"/>
  <c r="H15" i="82"/>
  <c r="D15" i="82"/>
  <c r="B15" i="82"/>
  <c r="T14" i="82"/>
  <c r="Z14" i="82" s="1"/>
  <c r="P14" i="82"/>
  <c r="X14" i="82" s="1"/>
  <c r="L14" i="82"/>
  <c r="H14" i="82"/>
  <c r="N14" i="82" s="1"/>
  <c r="D14" i="82"/>
  <c r="D12" i="82" s="1"/>
  <c r="B14" i="82"/>
  <c r="Z13" i="82"/>
  <c r="X13" i="82"/>
  <c r="T13" i="82"/>
  <c r="P13" i="82"/>
  <c r="H13" i="82"/>
  <c r="H12" i="82" s="1"/>
  <c r="D13" i="82"/>
  <c r="B13" i="82"/>
  <c r="T12" i="82"/>
  <c r="P12" i="82"/>
  <c r="D6" i="82"/>
  <c r="D4" i="82"/>
  <c r="Z70" i="80"/>
  <c r="X70" i="80"/>
  <c r="L70" i="80"/>
  <c r="N70" i="80" s="1"/>
  <c r="T66" i="80"/>
  <c r="Z66" i="80" s="1"/>
  <c r="P66" i="80"/>
  <c r="H66" i="80"/>
  <c r="N66" i="80" s="1"/>
  <c r="D66" i="80"/>
  <c r="L66" i="80" s="1"/>
  <c r="X64" i="80"/>
  <c r="Z64" i="80" s="1"/>
  <c r="N64" i="80"/>
  <c r="L64" i="80"/>
  <c r="B64" i="80"/>
  <c r="T63" i="80"/>
  <c r="P63" i="80"/>
  <c r="X63" i="80" s="1"/>
  <c r="Z63" i="80" s="1"/>
  <c r="N63" i="80"/>
  <c r="H63" i="80"/>
  <c r="D63" i="80"/>
  <c r="L63" i="80" s="1"/>
  <c r="B63" i="80"/>
  <c r="X62" i="80"/>
  <c r="Z62" i="80" s="1"/>
  <c r="N62" i="80"/>
  <c r="L62" i="80"/>
  <c r="B62" i="80"/>
  <c r="X61" i="80"/>
  <c r="Z61" i="80" s="1"/>
  <c r="T61" i="80"/>
  <c r="P61" i="80"/>
  <c r="L61" i="80"/>
  <c r="J61" i="80"/>
  <c r="H61" i="80"/>
  <c r="N61" i="80" s="1"/>
  <c r="D61" i="80"/>
  <c r="B61" i="80"/>
  <c r="X60" i="80"/>
  <c r="Z60" i="80" s="1"/>
  <c r="L60" i="80"/>
  <c r="N60" i="80" s="1"/>
  <c r="J60" i="80"/>
  <c r="B60" i="80"/>
  <c r="Z59" i="80"/>
  <c r="X59" i="80"/>
  <c r="N59" i="80"/>
  <c r="L59" i="80"/>
  <c r="B59" i="80"/>
  <c r="X58" i="80"/>
  <c r="Z58" i="80" s="1"/>
  <c r="N58" i="80"/>
  <c r="L58" i="80"/>
  <c r="B58" i="80"/>
  <c r="Z57" i="80"/>
  <c r="X57" i="80"/>
  <c r="N57" i="80"/>
  <c r="L57" i="80"/>
  <c r="B57" i="80"/>
  <c r="X56" i="80"/>
  <c r="Z56" i="80" s="1"/>
  <c r="L56" i="80"/>
  <c r="N56" i="80" s="1"/>
  <c r="J56" i="80"/>
  <c r="B56" i="80"/>
  <c r="T55" i="80"/>
  <c r="P55" i="80"/>
  <c r="H55" i="80"/>
  <c r="D55" i="80"/>
  <c r="L55" i="80" s="1"/>
  <c r="B55" i="80"/>
  <c r="Z54" i="80"/>
  <c r="X54" i="80"/>
  <c r="L54" i="80"/>
  <c r="N54" i="80" s="1"/>
  <c r="B54" i="80"/>
  <c r="Z53" i="80"/>
  <c r="X53" i="80"/>
  <c r="L53" i="80"/>
  <c r="N53" i="80" s="1"/>
  <c r="B53" i="80"/>
  <c r="X52" i="80"/>
  <c r="Z52" i="80" s="1"/>
  <c r="N52" i="80"/>
  <c r="L52" i="80"/>
  <c r="B52" i="80"/>
  <c r="T51" i="80"/>
  <c r="P51" i="80"/>
  <c r="X51" i="80" s="1"/>
  <c r="Z51" i="80" s="1"/>
  <c r="N51" i="80"/>
  <c r="H51" i="80"/>
  <c r="D51" i="80"/>
  <c r="L51" i="80" s="1"/>
  <c r="B51" i="80"/>
  <c r="X50" i="80"/>
  <c r="Z50" i="80" s="1"/>
  <c r="N50" i="80"/>
  <c r="L50" i="80"/>
  <c r="B50" i="80"/>
  <c r="Z49" i="80"/>
  <c r="X49" i="80"/>
  <c r="N49" i="80"/>
  <c r="L49" i="80"/>
  <c r="B49" i="80"/>
  <c r="T48" i="80"/>
  <c r="P48" i="80"/>
  <c r="X48" i="80" s="1"/>
  <c r="Z48" i="80" s="1"/>
  <c r="H48" i="80"/>
  <c r="N48" i="80" s="1"/>
  <c r="D48" i="80"/>
  <c r="L48" i="80" s="1"/>
  <c r="B48" i="80"/>
  <c r="Z47" i="80"/>
  <c r="X47" i="80"/>
  <c r="N47" i="80"/>
  <c r="L47" i="80"/>
  <c r="B47" i="80"/>
  <c r="Z46" i="80"/>
  <c r="X46" i="80"/>
  <c r="T46" i="80"/>
  <c r="P46" i="80"/>
  <c r="L46" i="80"/>
  <c r="H46" i="80"/>
  <c r="N46" i="80" s="1"/>
  <c r="D46" i="80"/>
  <c r="B46" i="80"/>
  <c r="Z45" i="80"/>
  <c r="X45" i="80"/>
  <c r="L45" i="80"/>
  <c r="N45" i="80" s="1"/>
  <c r="J45" i="80"/>
  <c r="B45" i="80"/>
  <c r="T44" i="80"/>
  <c r="P44" i="80"/>
  <c r="X44" i="80" s="1"/>
  <c r="H44" i="80"/>
  <c r="D44" i="80"/>
  <c r="L44" i="80" s="1"/>
  <c r="B44" i="80"/>
  <c r="X43" i="80"/>
  <c r="Z43" i="80" s="1"/>
  <c r="N43" i="80"/>
  <c r="L43" i="80"/>
  <c r="B43" i="80"/>
  <c r="T42" i="80"/>
  <c r="Z42" i="80" s="1"/>
  <c r="P42" i="80"/>
  <c r="X42" i="80" s="1"/>
  <c r="H42" i="80"/>
  <c r="D42" i="80"/>
  <c r="L42" i="80" s="1"/>
  <c r="N42" i="80" s="1"/>
  <c r="B42" i="80"/>
  <c r="Z41" i="80"/>
  <c r="X41" i="80"/>
  <c r="N41" i="80"/>
  <c r="L41" i="80"/>
  <c r="B41" i="80"/>
  <c r="X40" i="80"/>
  <c r="T40" i="80"/>
  <c r="P40" i="80"/>
  <c r="N40" i="80"/>
  <c r="L40" i="80"/>
  <c r="H40" i="80"/>
  <c r="D40" i="80"/>
  <c r="B40" i="80"/>
  <c r="Z39" i="80"/>
  <c r="X39" i="80"/>
  <c r="L39" i="80"/>
  <c r="N39" i="80" s="1"/>
  <c r="J39" i="80"/>
  <c r="B39" i="80"/>
  <c r="T38" i="80"/>
  <c r="P38" i="80"/>
  <c r="J38" i="80"/>
  <c r="H38" i="80"/>
  <c r="D38" i="80"/>
  <c r="L38" i="80" s="1"/>
  <c r="B38" i="80"/>
  <c r="X37" i="80"/>
  <c r="Z37" i="80" s="1"/>
  <c r="N37" i="80"/>
  <c r="L37" i="80"/>
  <c r="B37" i="80"/>
  <c r="T36" i="80"/>
  <c r="P36" i="80"/>
  <c r="X36" i="80" s="1"/>
  <c r="Z36" i="80" s="1"/>
  <c r="L36" i="80"/>
  <c r="H36" i="80"/>
  <c r="D36" i="80"/>
  <c r="B36" i="80"/>
  <c r="Z35" i="80"/>
  <c r="X35" i="80"/>
  <c r="N35" i="80"/>
  <c r="L35" i="80"/>
  <c r="J35" i="80"/>
  <c r="B35" i="80"/>
  <c r="X34" i="80"/>
  <c r="Z34" i="80" s="1"/>
  <c r="N34" i="80"/>
  <c r="L34" i="80"/>
  <c r="B34" i="80"/>
  <c r="Z33" i="80"/>
  <c r="X33" i="80"/>
  <c r="R33" i="80"/>
  <c r="N33" i="80"/>
  <c r="L33" i="80"/>
  <c r="B33" i="80"/>
  <c r="T32" i="80"/>
  <c r="P32" i="80"/>
  <c r="N32" i="80"/>
  <c r="L32" i="80"/>
  <c r="H32" i="80"/>
  <c r="D32" i="80"/>
  <c r="B32" i="80"/>
  <c r="Z31" i="80"/>
  <c r="X31" i="80"/>
  <c r="L31" i="80"/>
  <c r="N31" i="80" s="1"/>
  <c r="J31" i="80"/>
  <c r="B31" i="80"/>
  <c r="Z30" i="80"/>
  <c r="X30" i="80"/>
  <c r="L30" i="80"/>
  <c r="N30" i="80" s="1"/>
  <c r="B30" i="80"/>
  <c r="Z29" i="80"/>
  <c r="X29" i="80"/>
  <c r="L29" i="80"/>
  <c r="N29" i="80" s="1"/>
  <c r="J29" i="80"/>
  <c r="B29" i="80"/>
  <c r="X28" i="80"/>
  <c r="Z28" i="80" s="1"/>
  <c r="N28" i="80"/>
  <c r="L28" i="80"/>
  <c r="B28" i="80"/>
  <c r="Z27" i="80"/>
  <c r="X27" i="80"/>
  <c r="L27" i="80"/>
  <c r="N27" i="80" s="1"/>
  <c r="J27" i="80"/>
  <c r="B27" i="80"/>
  <c r="Z26" i="80"/>
  <c r="X26" i="80"/>
  <c r="L26" i="80"/>
  <c r="N26" i="80" s="1"/>
  <c r="B26" i="80"/>
  <c r="Z25" i="80"/>
  <c r="X25" i="80"/>
  <c r="L25" i="80"/>
  <c r="N25" i="80" s="1"/>
  <c r="J25" i="80"/>
  <c r="B25" i="80"/>
  <c r="X24" i="80"/>
  <c r="Z24" i="80" s="1"/>
  <c r="N24" i="80"/>
  <c r="L24" i="80"/>
  <c r="B24" i="80"/>
  <c r="T23" i="80"/>
  <c r="P23" i="80"/>
  <c r="X23" i="80" s="1"/>
  <c r="Z23" i="80" s="1"/>
  <c r="N23" i="80"/>
  <c r="H23" i="80"/>
  <c r="D23" i="80"/>
  <c r="L23" i="80" s="1"/>
  <c r="B23" i="80"/>
  <c r="X22" i="80"/>
  <c r="T22" i="80"/>
  <c r="P22" i="80"/>
  <c r="H22" i="80"/>
  <c r="D22" i="80"/>
  <c r="L22" i="80" s="1"/>
  <c r="N22" i="80" s="1"/>
  <c r="R20" i="80"/>
  <c r="X18" i="80"/>
  <c r="Z18" i="80" s="1"/>
  <c r="L18" i="80"/>
  <c r="N18" i="80" s="1"/>
  <c r="B18" i="80"/>
  <c r="X17" i="80"/>
  <c r="Z17" i="80" s="1"/>
  <c r="N17" i="80"/>
  <c r="L17" i="80"/>
  <c r="B17" i="80"/>
  <c r="T16" i="80"/>
  <c r="P16" i="80"/>
  <c r="X16" i="80" s="1"/>
  <c r="Z16" i="80" s="1"/>
  <c r="H16" i="80"/>
  <c r="D16" i="80"/>
  <c r="L16" i="80" s="1"/>
  <c r="Z14" i="80"/>
  <c r="X14" i="80"/>
  <c r="T14" i="80"/>
  <c r="P14" i="80"/>
  <c r="H14" i="80"/>
  <c r="D14" i="80"/>
  <c r="L14" i="80" s="1"/>
  <c r="N14" i="80" s="1"/>
  <c r="B14" i="80"/>
  <c r="X13" i="80"/>
  <c r="T13" i="80"/>
  <c r="P13" i="80"/>
  <c r="P12" i="80" s="1"/>
  <c r="R41" i="80" s="1"/>
  <c r="H13" i="80"/>
  <c r="D13" i="80"/>
  <c r="B13" i="80"/>
  <c r="H12" i="80"/>
  <c r="J63" i="80" s="1"/>
  <c r="D6" i="80"/>
  <c r="D4" i="80"/>
  <c r="Z66" i="79"/>
  <c r="X66" i="79"/>
  <c r="L66" i="79"/>
  <c r="N66" i="79" s="1"/>
  <c r="J66" i="79"/>
  <c r="Z62" i="79"/>
  <c r="T62" i="79"/>
  <c r="P62" i="79"/>
  <c r="X62" i="79" s="1"/>
  <c r="H62" i="79"/>
  <c r="N62" i="79" s="1"/>
  <c r="D62" i="79"/>
  <c r="L62" i="79" s="1"/>
  <c r="Z60" i="79"/>
  <c r="X60" i="79"/>
  <c r="N60" i="79"/>
  <c r="L60" i="79"/>
  <c r="B60" i="79"/>
  <c r="X59" i="79"/>
  <c r="T59" i="79"/>
  <c r="P59" i="79"/>
  <c r="L59" i="79"/>
  <c r="N59" i="79" s="1"/>
  <c r="H59" i="79"/>
  <c r="F59" i="79"/>
  <c r="D59" i="79"/>
  <c r="B59" i="79"/>
  <c r="X58" i="79"/>
  <c r="Z58" i="79" s="1"/>
  <c r="L58" i="79"/>
  <c r="N58" i="79" s="1"/>
  <c r="B58" i="79"/>
  <c r="T57" i="79"/>
  <c r="R57" i="79"/>
  <c r="P57" i="79"/>
  <c r="H57" i="79"/>
  <c r="D57" i="79"/>
  <c r="B57" i="79"/>
  <c r="X56" i="79"/>
  <c r="Z56" i="79" s="1"/>
  <c r="R56" i="79"/>
  <c r="N56" i="79"/>
  <c r="L56" i="79"/>
  <c r="B56" i="79"/>
  <c r="Z55" i="79"/>
  <c r="X55" i="79"/>
  <c r="N55" i="79"/>
  <c r="L55" i="79"/>
  <c r="B55" i="79"/>
  <c r="Z54" i="79"/>
  <c r="X54" i="79"/>
  <c r="R54" i="79"/>
  <c r="N54" i="79"/>
  <c r="L54" i="79"/>
  <c r="B54" i="79"/>
  <c r="X53" i="79"/>
  <c r="Z53" i="79" s="1"/>
  <c r="L53" i="79"/>
  <c r="N53" i="79" s="1"/>
  <c r="B53" i="79"/>
  <c r="T52" i="79"/>
  <c r="P52" i="79"/>
  <c r="X52" i="79" s="1"/>
  <c r="J52" i="79"/>
  <c r="H52" i="79"/>
  <c r="D52" i="79"/>
  <c r="B52" i="79"/>
  <c r="X51" i="79"/>
  <c r="Z51" i="79" s="1"/>
  <c r="N51" i="79"/>
  <c r="L51" i="79"/>
  <c r="B51" i="79"/>
  <c r="X50" i="79"/>
  <c r="Z50" i="79" s="1"/>
  <c r="N50" i="79"/>
  <c r="L50" i="79"/>
  <c r="B50" i="79"/>
  <c r="X49" i="79"/>
  <c r="Z49" i="79" s="1"/>
  <c r="T49" i="79"/>
  <c r="P49" i="79"/>
  <c r="H49" i="79"/>
  <c r="D49" i="79"/>
  <c r="B49" i="79"/>
  <c r="Z48" i="79"/>
  <c r="X48" i="79"/>
  <c r="N48" i="79"/>
  <c r="L48" i="79"/>
  <c r="B48" i="79"/>
  <c r="Z47" i="79"/>
  <c r="X47" i="79"/>
  <c r="R47" i="79"/>
  <c r="N47" i="79"/>
  <c r="L47" i="79"/>
  <c r="B47" i="79"/>
  <c r="X46" i="79"/>
  <c r="Z46" i="79" s="1"/>
  <c r="T46" i="79"/>
  <c r="P46" i="79"/>
  <c r="H46" i="79"/>
  <c r="N46" i="79" s="1"/>
  <c r="D46" i="79"/>
  <c r="B46" i="79"/>
  <c r="X45" i="79"/>
  <c r="Z45" i="79" s="1"/>
  <c r="L45" i="79"/>
  <c r="N45" i="79" s="1"/>
  <c r="B45" i="79"/>
  <c r="T44" i="79"/>
  <c r="P44" i="79"/>
  <c r="X44" i="79" s="1"/>
  <c r="J44" i="79"/>
  <c r="H44" i="79"/>
  <c r="D44" i="79"/>
  <c r="B44" i="79"/>
  <c r="X43" i="79"/>
  <c r="Z43" i="79" s="1"/>
  <c r="N43" i="79"/>
  <c r="L43" i="79"/>
  <c r="B43" i="79"/>
  <c r="X42" i="79"/>
  <c r="T42" i="79"/>
  <c r="P42" i="79"/>
  <c r="H42" i="79"/>
  <c r="D42" i="79"/>
  <c r="L42" i="79" s="1"/>
  <c r="N42" i="79" s="1"/>
  <c r="B42" i="79"/>
  <c r="Z41" i="79"/>
  <c r="X41" i="79"/>
  <c r="L41" i="79"/>
  <c r="N41" i="79" s="1"/>
  <c r="B41" i="79"/>
  <c r="X40" i="79"/>
  <c r="T40" i="79"/>
  <c r="Z40" i="79" s="1"/>
  <c r="P40" i="79"/>
  <c r="L40" i="79"/>
  <c r="J40" i="79"/>
  <c r="H40" i="79"/>
  <c r="N40" i="79" s="1"/>
  <c r="D40" i="79"/>
  <c r="B40" i="79"/>
  <c r="Z39" i="79"/>
  <c r="X39" i="79"/>
  <c r="L39" i="79"/>
  <c r="N39" i="79" s="1"/>
  <c r="B39" i="79"/>
  <c r="T38" i="79"/>
  <c r="P38" i="79"/>
  <c r="H38" i="79"/>
  <c r="D38" i="79"/>
  <c r="B38" i="79"/>
  <c r="X37" i="79"/>
  <c r="Z37" i="79" s="1"/>
  <c r="N37" i="79"/>
  <c r="L37" i="79"/>
  <c r="B37" i="79"/>
  <c r="X36" i="79"/>
  <c r="Z36" i="79" s="1"/>
  <c r="N36" i="79"/>
  <c r="L36" i="79"/>
  <c r="B36" i="79"/>
  <c r="X35" i="79"/>
  <c r="Z35" i="79" s="1"/>
  <c r="N35" i="79"/>
  <c r="L35" i="79"/>
  <c r="B35" i="79"/>
  <c r="X34" i="79"/>
  <c r="Z34" i="79" s="1"/>
  <c r="N34" i="79"/>
  <c r="L34" i="79"/>
  <c r="B34" i="79"/>
  <c r="X33" i="79"/>
  <c r="Z33" i="79" s="1"/>
  <c r="N33" i="79"/>
  <c r="L33" i="79"/>
  <c r="B33" i="79"/>
  <c r="X32" i="79"/>
  <c r="Z32" i="79" s="1"/>
  <c r="T32" i="79"/>
  <c r="P32" i="79"/>
  <c r="L32" i="79"/>
  <c r="H32" i="79"/>
  <c r="D32" i="79"/>
  <c r="B32" i="79"/>
  <c r="Z31" i="79"/>
  <c r="X31" i="79"/>
  <c r="R31" i="79"/>
  <c r="N31" i="79"/>
  <c r="L31" i="79"/>
  <c r="B31" i="79"/>
  <c r="Z30" i="79"/>
  <c r="X30" i="79"/>
  <c r="L30" i="79"/>
  <c r="N30" i="79" s="1"/>
  <c r="J30" i="79"/>
  <c r="B30" i="79"/>
  <c r="Z29" i="79"/>
  <c r="X29" i="79"/>
  <c r="L29" i="79"/>
  <c r="N29" i="79" s="1"/>
  <c r="B29" i="79"/>
  <c r="X28" i="79"/>
  <c r="Z28" i="79" s="1"/>
  <c r="R28" i="79"/>
  <c r="L28" i="79"/>
  <c r="N28" i="79" s="1"/>
  <c r="J28" i="79"/>
  <c r="F28" i="79"/>
  <c r="B28" i="79"/>
  <c r="Z27" i="79"/>
  <c r="X27" i="79"/>
  <c r="N27" i="79"/>
  <c r="L27" i="79"/>
  <c r="B27" i="79"/>
  <c r="Z26" i="79"/>
  <c r="X26" i="79"/>
  <c r="R26" i="79"/>
  <c r="L26" i="79"/>
  <c r="N26" i="79" s="1"/>
  <c r="B26" i="79"/>
  <c r="Z25" i="79"/>
  <c r="X25" i="79"/>
  <c r="N25" i="79"/>
  <c r="L25" i="79"/>
  <c r="J25" i="79"/>
  <c r="B25" i="79"/>
  <c r="Z24" i="79"/>
  <c r="X24" i="79"/>
  <c r="L24" i="79"/>
  <c r="N24" i="79" s="1"/>
  <c r="B24" i="79"/>
  <c r="T23" i="79"/>
  <c r="X23" i="79" s="1"/>
  <c r="R23" i="79"/>
  <c r="P23" i="79"/>
  <c r="H23" i="79"/>
  <c r="D23" i="79"/>
  <c r="B23" i="79"/>
  <c r="T22" i="79"/>
  <c r="P22" i="79"/>
  <c r="X22" i="79" s="1"/>
  <c r="H22" i="79"/>
  <c r="D22" i="79"/>
  <c r="V20" i="79"/>
  <c r="T20" i="79"/>
  <c r="X18" i="79"/>
  <c r="Z18" i="79" s="1"/>
  <c r="R18" i="79"/>
  <c r="L18" i="79"/>
  <c r="N18" i="79" s="1"/>
  <c r="B18" i="79"/>
  <c r="X17" i="79"/>
  <c r="Z17" i="79" s="1"/>
  <c r="L17" i="79"/>
  <c r="N17" i="79" s="1"/>
  <c r="B17" i="79"/>
  <c r="T16" i="79"/>
  <c r="R16" i="79"/>
  <c r="P16" i="79"/>
  <c r="X16" i="79" s="1"/>
  <c r="H16" i="79"/>
  <c r="D16" i="79"/>
  <c r="T14" i="79"/>
  <c r="X14" i="79" s="1"/>
  <c r="P14" i="79"/>
  <c r="L14" i="79"/>
  <c r="N14" i="79" s="1"/>
  <c r="H14" i="79"/>
  <c r="D14" i="79"/>
  <c r="B14" i="79"/>
  <c r="T13" i="79"/>
  <c r="T12" i="79" s="1"/>
  <c r="V26" i="79" s="1"/>
  <c r="P13" i="79"/>
  <c r="X13" i="79" s="1"/>
  <c r="Z13" i="79" s="1"/>
  <c r="H13" i="79"/>
  <c r="H12" i="79" s="1"/>
  <c r="J47" i="79" s="1"/>
  <c r="D13" i="79"/>
  <c r="B13" i="79"/>
  <c r="P12" i="79"/>
  <c r="R49" i="79" s="1"/>
  <c r="D12" i="79"/>
  <c r="F66" i="79" s="1"/>
  <c r="D6" i="79"/>
  <c r="D4" i="79"/>
  <c r="X60" i="78"/>
  <c r="Z60" i="78" s="1"/>
  <c r="L60" i="78"/>
  <c r="N60" i="78" s="1"/>
  <c r="R58" i="78"/>
  <c r="T56" i="78"/>
  <c r="P56" i="78"/>
  <c r="X56" i="78" s="1"/>
  <c r="H56" i="78"/>
  <c r="D56" i="78"/>
  <c r="L56" i="78" s="1"/>
  <c r="B56" i="78"/>
  <c r="T55" i="78"/>
  <c r="X55" i="78" s="1"/>
  <c r="P55" i="78"/>
  <c r="L55" i="78"/>
  <c r="N55" i="78" s="1"/>
  <c r="H55" i="78"/>
  <c r="D55" i="78"/>
  <c r="B55" i="78"/>
  <c r="T54" i="78"/>
  <c r="P54" i="78"/>
  <c r="H54" i="78"/>
  <c r="H52" i="78" s="1"/>
  <c r="D54" i="78"/>
  <c r="L54" i="78" s="1"/>
  <c r="B54" i="78"/>
  <c r="X53" i="78"/>
  <c r="Z53" i="78" s="1"/>
  <c r="T53" i="78"/>
  <c r="P53" i="78"/>
  <c r="H53" i="78"/>
  <c r="D53" i="78"/>
  <c r="L53" i="78" s="1"/>
  <c r="N53" i="78" s="1"/>
  <c r="B53" i="78"/>
  <c r="R52" i="78"/>
  <c r="Z50" i="78"/>
  <c r="X50" i="78"/>
  <c r="N50" i="78"/>
  <c r="L50" i="78"/>
  <c r="B50" i="78"/>
  <c r="Z49" i="78"/>
  <c r="X49" i="78"/>
  <c r="T49" i="78"/>
  <c r="P49" i="78"/>
  <c r="L49" i="78"/>
  <c r="N49" i="78" s="1"/>
  <c r="H49" i="78"/>
  <c r="D49" i="78"/>
  <c r="B49" i="78"/>
  <c r="Z48" i="78"/>
  <c r="X48" i="78"/>
  <c r="L48" i="78"/>
  <c r="N48" i="78" s="1"/>
  <c r="B48" i="78"/>
  <c r="Z47" i="78"/>
  <c r="X47" i="78"/>
  <c r="R47" i="78"/>
  <c r="N47" i="78"/>
  <c r="L47" i="78"/>
  <c r="B47" i="78"/>
  <c r="T46" i="78"/>
  <c r="P46" i="78"/>
  <c r="H46" i="78"/>
  <c r="D46" i="78"/>
  <c r="B46" i="78"/>
  <c r="Z45" i="78"/>
  <c r="X45" i="78"/>
  <c r="L45" i="78"/>
  <c r="N45" i="78" s="1"/>
  <c r="B45" i="78"/>
  <c r="T44" i="78"/>
  <c r="P44" i="78"/>
  <c r="X44" i="78" s="1"/>
  <c r="H44" i="78"/>
  <c r="D44" i="78"/>
  <c r="L44" i="78" s="1"/>
  <c r="B44" i="78"/>
  <c r="X43" i="78"/>
  <c r="Z43" i="78" s="1"/>
  <c r="N43" i="78"/>
  <c r="L43" i="78"/>
  <c r="J43" i="78"/>
  <c r="B43" i="78"/>
  <c r="Z42" i="78"/>
  <c r="X42" i="78"/>
  <c r="N42" i="78"/>
  <c r="L42" i="78"/>
  <c r="B42" i="78"/>
  <c r="T41" i="78"/>
  <c r="R41" i="78"/>
  <c r="P41" i="78"/>
  <c r="L41" i="78"/>
  <c r="N41" i="78" s="1"/>
  <c r="H41" i="78"/>
  <c r="D41" i="78"/>
  <c r="B41" i="78"/>
  <c r="Z40" i="78"/>
  <c r="X40" i="78"/>
  <c r="R40" i="78"/>
  <c r="N40" i="78"/>
  <c r="L40" i="78"/>
  <c r="B40" i="78"/>
  <c r="T39" i="78"/>
  <c r="R39" i="78"/>
  <c r="P39" i="78"/>
  <c r="X39" i="78" s="1"/>
  <c r="Z39" i="78" s="1"/>
  <c r="H39" i="78"/>
  <c r="D39" i="78"/>
  <c r="B39" i="78"/>
  <c r="X38" i="78"/>
  <c r="Z38" i="78" s="1"/>
  <c r="N38" i="78"/>
  <c r="L38" i="78"/>
  <c r="B38" i="78"/>
  <c r="Z37" i="78"/>
  <c r="X37" i="78"/>
  <c r="N37" i="78"/>
  <c r="L37" i="78"/>
  <c r="B37" i="78"/>
  <c r="X36" i="78"/>
  <c r="Z36" i="78" s="1"/>
  <c r="L36" i="78"/>
  <c r="N36" i="78" s="1"/>
  <c r="B36" i="78"/>
  <c r="Z35" i="78"/>
  <c r="X35" i="78"/>
  <c r="T35" i="78"/>
  <c r="P35" i="78"/>
  <c r="H35" i="78"/>
  <c r="D35" i="78"/>
  <c r="L35" i="78" s="1"/>
  <c r="N35" i="78" s="1"/>
  <c r="B35" i="78"/>
  <c r="X34" i="78"/>
  <c r="Z34" i="78" s="1"/>
  <c r="N34" i="78"/>
  <c r="L34" i="78"/>
  <c r="B34" i="78"/>
  <c r="Z33" i="78"/>
  <c r="X33" i="78"/>
  <c r="N33" i="78"/>
  <c r="L33" i="78"/>
  <c r="B33" i="78"/>
  <c r="X32" i="78"/>
  <c r="Z32" i="78" s="1"/>
  <c r="N32" i="78"/>
  <c r="L32" i="78"/>
  <c r="B32" i="78"/>
  <c r="X31" i="78"/>
  <c r="Z31" i="78" s="1"/>
  <c r="N31" i="78"/>
  <c r="L31" i="78"/>
  <c r="B31" i="78"/>
  <c r="Z30" i="78"/>
  <c r="X30" i="78"/>
  <c r="L30" i="78"/>
  <c r="N30" i="78" s="1"/>
  <c r="B30" i="78"/>
  <c r="Z29" i="78"/>
  <c r="X29" i="78"/>
  <c r="R29" i="78"/>
  <c r="N29" i="78"/>
  <c r="L29" i="78"/>
  <c r="B29" i="78"/>
  <c r="X28" i="78"/>
  <c r="Z28" i="78" s="1"/>
  <c r="N28" i="78"/>
  <c r="L28" i="78"/>
  <c r="B28" i="78"/>
  <c r="Z27" i="78"/>
  <c r="X27" i="78"/>
  <c r="T27" i="78"/>
  <c r="P27" i="78"/>
  <c r="L27" i="78"/>
  <c r="H27" i="78"/>
  <c r="N27" i="78" s="1"/>
  <c r="D27" i="78"/>
  <c r="B27" i="78"/>
  <c r="T26" i="78"/>
  <c r="Z26" i="78" s="1"/>
  <c r="P26" i="78"/>
  <c r="X26" i="78" s="1"/>
  <c r="H26" i="78"/>
  <c r="D26" i="78"/>
  <c r="L26" i="78" s="1"/>
  <c r="Z22" i="78"/>
  <c r="X22" i="78"/>
  <c r="L22" i="78"/>
  <c r="N22" i="78" s="1"/>
  <c r="B22" i="78"/>
  <c r="Z21" i="78"/>
  <c r="X21" i="78"/>
  <c r="N21" i="78"/>
  <c r="L21" i="78"/>
  <c r="B21" i="78"/>
  <c r="Z20" i="78"/>
  <c r="X20" i="78"/>
  <c r="L20" i="78"/>
  <c r="N20" i="78" s="1"/>
  <c r="B20" i="78"/>
  <c r="Z19" i="78"/>
  <c r="X19" i="78"/>
  <c r="N19" i="78"/>
  <c r="L19" i="78"/>
  <c r="B19" i="78"/>
  <c r="X18" i="78"/>
  <c r="Z18" i="78" s="1"/>
  <c r="L18" i="78"/>
  <c r="N18" i="78" s="1"/>
  <c r="B18" i="78"/>
  <c r="V17" i="78"/>
  <c r="T17" i="78"/>
  <c r="P17" i="78"/>
  <c r="H17" i="78"/>
  <c r="D17" i="78"/>
  <c r="T15" i="78"/>
  <c r="P15" i="78"/>
  <c r="H15" i="78"/>
  <c r="D15" i="78"/>
  <c r="B15" i="78"/>
  <c r="T14" i="78"/>
  <c r="P14" i="78"/>
  <c r="X14" i="78" s="1"/>
  <c r="H14" i="78"/>
  <c r="D14" i="78"/>
  <c r="L14" i="78" s="1"/>
  <c r="B14" i="78"/>
  <c r="T13" i="78"/>
  <c r="T12" i="78" s="1"/>
  <c r="V37" i="78" s="1"/>
  <c r="P13" i="78"/>
  <c r="H13" i="78"/>
  <c r="L13" i="78" s="1"/>
  <c r="N13" i="78" s="1"/>
  <c r="D13" i="78"/>
  <c r="B13" i="78"/>
  <c r="P12" i="78"/>
  <c r="R22" i="78" s="1"/>
  <c r="H12" i="78"/>
  <c r="D12" i="78"/>
  <c r="D6" i="78"/>
  <c r="D4" i="78"/>
  <c r="X99" i="76"/>
  <c r="Z99" i="76" s="1"/>
  <c r="N99" i="76"/>
  <c r="L99" i="76"/>
  <c r="T95" i="76"/>
  <c r="Z95" i="76" s="1"/>
  <c r="P95" i="76"/>
  <c r="X95" i="76" s="1"/>
  <c r="H95" i="76"/>
  <c r="D95" i="76"/>
  <c r="B95" i="76"/>
  <c r="T94" i="76"/>
  <c r="P94" i="76"/>
  <c r="X94" i="76" s="1"/>
  <c r="Z94" i="76" s="1"/>
  <c r="L94" i="76"/>
  <c r="N94" i="76" s="1"/>
  <c r="H94" i="76"/>
  <c r="D94" i="76"/>
  <c r="B94" i="76"/>
  <c r="T93" i="76"/>
  <c r="P93" i="76"/>
  <c r="L93" i="76"/>
  <c r="N93" i="76" s="1"/>
  <c r="H93" i="76"/>
  <c r="H92" i="76" s="1"/>
  <c r="D93" i="76"/>
  <c r="D92" i="76" s="1"/>
  <c r="L92" i="76" s="1"/>
  <c r="B93" i="76"/>
  <c r="P92" i="76"/>
  <c r="Z90" i="76"/>
  <c r="X90" i="76"/>
  <c r="L90" i="76"/>
  <c r="N90" i="76" s="1"/>
  <c r="B90" i="76"/>
  <c r="T89" i="76"/>
  <c r="P89" i="76"/>
  <c r="X89" i="76" s="1"/>
  <c r="H89" i="76"/>
  <c r="D89" i="76"/>
  <c r="B89" i="76"/>
  <c r="Z88" i="76"/>
  <c r="X88" i="76"/>
  <c r="N88" i="76"/>
  <c r="L88" i="76"/>
  <c r="B88" i="76"/>
  <c r="Z87" i="76"/>
  <c r="X87" i="76"/>
  <c r="L87" i="76"/>
  <c r="N87" i="76" s="1"/>
  <c r="B87" i="76"/>
  <c r="Z86" i="76"/>
  <c r="X86" i="76"/>
  <c r="N86" i="76"/>
  <c r="L86" i="76"/>
  <c r="B86" i="76"/>
  <c r="T85" i="76"/>
  <c r="P85" i="76"/>
  <c r="X85" i="76" s="1"/>
  <c r="H85" i="76"/>
  <c r="D85" i="76"/>
  <c r="L85" i="76" s="1"/>
  <c r="B85" i="76"/>
  <c r="Z84" i="76"/>
  <c r="X84" i="76"/>
  <c r="N84" i="76"/>
  <c r="L84" i="76"/>
  <c r="B84" i="76"/>
  <c r="T83" i="76"/>
  <c r="P83" i="76"/>
  <c r="L83" i="76"/>
  <c r="N83" i="76" s="1"/>
  <c r="H83" i="76"/>
  <c r="D83" i="76"/>
  <c r="B83" i="76"/>
  <c r="Z82" i="76"/>
  <c r="X82" i="76"/>
  <c r="N82" i="76"/>
  <c r="L82" i="76"/>
  <c r="B82" i="76"/>
  <c r="T81" i="76"/>
  <c r="Z81" i="76" s="1"/>
  <c r="P81" i="76"/>
  <c r="X81" i="76" s="1"/>
  <c r="H81" i="76"/>
  <c r="D81" i="76"/>
  <c r="B81" i="76"/>
  <c r="Z80" i="76"/>
  <c r="X80" i="76"/>
  <c r="N80" i="76"/>
  <c r="L80" i="76"/>
  <c r="B80" i="76"/>
  <c r="T79" i="76"/>
  <c r="Z79" i="76" s="1"/>
  <c r="P79" i="76"/>
  <c r="X79" i="76" s="1"/>
  <c r="H79" i="76"/>
  <c r="N79" i="76" s="1"/>
  <c r="D79" i="76"/>
  <c r="L79" i="76" s="1"/>
  <c r="B79" i="76"/>
  <c r="Z78" i="76"/>
  <c r="X78" i="76"/>
  <c r="N78" i="76"/>
  <c r="L78" i="76"/>
  <c r="B78" i="76"/>
  <c r="Z77" i="76"/>
  <c r="X77" i="76"/>
  <c r="N77" i="76"/>
  <c r="L77" i="76"/>
  <c r="B77" i="76"/>
  <c r="T76" i="76"/>
  <c r="P76" i="76"/>
  <c r="H76" i="76"/>
  <c r="N76" i="76" s="1"/>
  <c r="D76" i="76"/>
  <c r="B76" i="76"/>
  <c r="Z75" i="76"/>
  <c r="X75" i="76"/>
  <c r="N75" i="76"/>
  <c r="L75" i="76"/>
  <c r="B75" i="76"/>
  <c r="T74" i="76"/>
  <c r="P74" i="76"/>
  <c r="X74" i="76" s="1"/>
  <c r="H74" i="76"/>
  <c r="D74" i="76"/>
  <c r="L74" i="76" s="1"/>
  <c r="N74" i="76" s="1"/>
  <c r="B74" i="76"/>
  <c r="X73" i="76"/>
  <c r="Z73" i="76" s="1"/>
  <c r="N73" i="76"/>
  <c r="L73" i="76"/>
  <c r="B73" i="76"/>
  <c r="T72" i="76"/>
  <c r="P72" i="76"/>
  <c r="X72" i="76" s="1"/>
  <c r="Z72" i="76" s="1"/>
  <c r="L72" i="76"/>
  <c r="N72" i="76" s="1"/>
  <c r="H72" i="76"/>
  <c r="D72" i="76"/>
  <c r="B72" i="76"/>
  <c r="X71" i="76"/>
  <c r="Z71" i="76" s="1"/>
  <c r="N71" i="76"/>
  <c r="L71" i="76"/>
  <c r="B71" i="76"/>
  <c r="T70" i="76"/>
  <c r="P70" i="76"/>
  <c r="H70" i="76"/>
  <c r="D70" i="76"/>
  <c r="B70" i="76"/>
  <c r="X69" i="76"/>
  <c r="Z69" i="76" s="1"/>
  <c r="L69" i="76"/>
  <c r="N69" i="76" s="1"/>
  <c r="B69" i="76"/>
  <c r="Z68" i="76"/>
  <c r="X68" i="76"/>
  <c r="N68" i="76"/>
  <c r="L68" i="76"/>
  <c r="B68" i="76"/>
  <c r="Z67" i="76"/>
  <c r="X67" i="76"/>
  <c r="N67" i="76"/>
  <c r="L67" i="76"/>
  <c r="B67" i="76"/>
  <c r="Z66" i="76"/>
  <c r="X66" i="76"/>
  <c r="N66" i="76"/>
  <c r="L66" i="76"/>
  <c r="B66" i="76"/>
  <c r="X65" i="76"/>
  <c r="Z65" i="76" s="1"/>
  <c r="L65" i="76"/>
  <c r="N65" i="76" s="1"/>
  <c r="B65" i="76"/>
  <c r="T64" i="76"/>
  <c r="P64" i="76"/>
  <c r="X64" i="76" s="1"/>
  <c r="Z64" i="76" s="1"/>
  <c r="H64" i="76"/>
  <c r="D64" i="76"/>
  <c r="L64" i="76" s="1"/>
  <c r="B64" i="76"/>
  <c r="Z63" i="76"/>
  <c r="X63" i="76"/>
  <c r="L63" i="76"/>
  <c r="N63" i="76" s="1"/>
  <c r="B63" i="76"/>
  <c r="X62" i="76"/>
  <c r="Z62" i="76" s="1"/>
  <c r="N62" i="76"/>
  <c r="L62" i="76"/>
  <c r="B62" i="76"/>
  <c r="X61" i="76"/>
  <c r="Z61" i="76" s="1"/>
  <c r="L61" i="76"/>
  <c r="N61" i="76" s="1"/>
  <c r="B61" i="76"/>
  <c r="Z60" i="76"/>
  <c r="X60" i="76"/>
  <c r="N60" i="76"/>
  <c r="L60" i="76"/>
  <c r="B60" i="76"/>
  <c r="Z59" i="76"/>
  <c r="X59" i="76"/>
  <c r="L59" i="76"/>
  <c r="N59" i="76" s="1"/>
  <c r="B59" i="76"/>
  <c r="X58" i="76"/>
  <c r="Z58" i="76" s="1"/>
  <c r="V58" i="76"/>
  <c r="N58" i="76"/>
  <c r="L58" i="76"/>
  <c r="B58" i="76"/>
  <c r="X57" i="76"/>
  <c r="Z57" i="76" s="1"/>
  <c r="N57" i="76"/>
  <c r="L57" i="76"/>
  <c r="B57" i="76"/>
  <c r="X56" i="76"/>
  <c r="Z56" i="76" s="1"/>
  <c r="N56" i="76"/>
  <c r="L56" i="76"/>
  <c r="B56" i="76"/>
  <c r="Z55" i="76"/>
  <c r="X55" i="76"/>
  <c r="L55" i="76"/>
  <c r="N55" i="76" s="1"/>
  <c r="B55" i="76"/>
  <c r="X54" i="76"/>
  <c r="Z54" i="76" s="1"/>
  <c r="T54" i="76"/>
  <c r="P54" i="76"/>
  <c r="H54" i="76"/>
  <c r="D54" i="76"/>
  <c r="L54" i="76" s="1"/>
  <c r="N54" i="76" s="1"/>
  <c r="B54" i="76"/>
  <c r="Z53" i="76"/>
  <c r="X53" i="76"/>
  <c r="T53" i="76"/>
  <c r="P53" i="76"/>
  <c r="H53" i="76"/>
  <c r="D53" i="76"/>
  <c r="Z49" i="76"/>
  <c r="X49" i="76"/>
  <c r="L49" i="76"/>
  <c r="N49" i="76" s="1"/>
  <c r="B49" i="76"/>
  <c r="Z48" i="76"/>
  <c r="X48" i="76"/>
  <c r="N48" i="76"/>
  <c r="L48" i="76"/>
  <c r="B48" i="76"/>
  <c r="X47" i="76"/>
  <c r="Z47" i="76" s="1"/>
  <c r="N47" i="76"/>
  <c r="L47" i="76"/>
  <c r="B47" i="76"/>
  <c r="X46" i="76"/>
  <c r="Z46" i="76" s="1"/>
  <c r="N46" i="76"/>
  <c r="L46" i="76"/>
  <c r="B46" i="76"/>
  <c r="X45" i="76"/>
  <c r="Z45" i="76" s="1"/>
  <c r="N45" i="76"/>
  <c r="L45" i="76"/>
  <c r="B45" i="76"/>
  <c r="Z44" i="76"/>
  <c r="X44" i="76"/>
  <c r="N44" i="76"/>
  <c r="L44" i="76"/>
  <c r="B44" i="76"/>
  <c r="X43" i="76"/>
  <c r="Z43" i="76" s="1"/>
  <c r="N43" i="76"/>
  <c r="L43" i="76"/>
  <c r="B43" i="76"/>
  <c r="X42" i="76"/>
  <c r="Z42" i="76" s="1"/>
  <c r="N42" i="76"/>
  <c r="L42" i="76"/>
  <c r="B42" i="76"/>
  <c r="X41" i="76"/>
  <c r="Z41" i="76" s="1"/>
  <c r="L41" i="76"/>
  <c r="N41" i="76" s="1"/>
  <c r="B41" i="76"/>
  <c r="Z40" i="76"/>
  <c r="X40" i="76"/>
  <c r="N40" i="76"/>
  <c r="L40" i="76"/>
  <c r="B40" i="76"/>
  <c r="X39" i="76"/>
  <c r="Z39" i="76" s="1"/>
  <c r="N39" i="76"/>
  <c r="L39" i="76"/>
  <c r="B39" i="76"/>
  <c r="X38" i="76"/>
  <c r="T38" i="76"/>
  <c r="Z38" i="76" s="1"/>
  <c r="P38" i="76"/>
  <c r="H38" i="76"/>
  <c r="D38" i="76"/>
  <c r="T36" i="76"/>
  <c r="P36" i="76"/>
  <c r="H36" i="76"/>
  <c r="D36" i="76"/>
  <c r="L36" i="76" s="1"/>
  <c r="B36" i="76"/>
  <c r="X35" i="76"/>
  <c r="Z35" i="76" s="1"/>
  <c r="T35" i="76"/>
  <c r="P35" i="76"/>
  <c r="H35" i="76"/>
  <c r="D35" i="76"/>
  <c r="L35" i="76" s="1"/>
  <c r="N35" i="76" s="1"/>
  <c r="B35" i="76"/>
  <c r="Z34" i="76"/>
  <c r="T34" i="76"/>
  <c r="P34" i="76"/>
  <c r="X34" i="76" s="1"/>
  <c r="N34" i="76"/>
  <c r="H34" i="76"/>
  <c r="D34" i="76"/>
  <c r="L34" i="76" s="1"/>
  <c r="B34" i="76"/>
  <c r="T33" i="76"/>
  <c r="P33" i="76"/>
  <c r="X33" i="76" s="1"/>
  <c r="Z33" i="76" s="1"/>
  <c r="H33" i="76"/>
  <c r="D33" i="76"/>
  <c r="B33" i="76"/>
  <c r="T32" i="76"/>
  <c r="P32" i="76"/>
  <c r="H32" i="76"/>
  <c r="N32" i="76" s="1"/>
  <c r="D32" i="76"/>
  <c r="L32" i="76" s="1"/>
  <c r="B32" i="76"/>
  <c r="X31" i="76"/>
  <c r="Z31" i="76" s="1"/>
  <c r="T31" i="76"/>
  <c r="P31" i="76"/>
  <c r="H31" i="76"/>
  <c r="D31" i="76"/>
  <c r="L31" i="76" s="1"/>
  <c r="N31" i="76" s="1"/>
  <c r="B31" i="76"/>
  <c r="T30" i="76"/>
  <c r="P30" i="76"/>
  <c r="X30" i="76" s="1"/>
  <c r="Z30" i="76" s="1"/>
  <c r="N30" i="76"/>
  <c r="H30" i="76"/>
  <c r="D30" i="76"/>
  <c r="L30" i="76" s="1"/>
  <c r="B30" i="76"/>
  <c r="T29" i="76"/>
  <c r="P29" i="76"/>
  <c r="X29" i="76" s="1"/>
  <c r="Z29" i="76" s="1"/>
  <c r="H29" i="76"/>
  <c r="D29" i="76"/>
  <c r="L29" i="76" s="1"/>
  <c r="B29" i="76"/>
  <c r="T28" i="76"/>
  <c r="P28" i="76"/>
  <c r="H28" i="76"/>
  <c r="N28" i="76" s="1"/>
  <c r="D28" i="76"/>
  <c r="L28" i="76" s="1"/>
  <c r="B28" i="76"/>
  <c r="X27" i="76"/>
  <c r="Z27" i="76" s="1"/>
  <c r="T27" i="76"/>
  <c r="P27" i="76"/>
  <c r="N27" i="76"/>
  <c r="H27" i="76"/>
  <c r="D27" i="76"/>
  <c r="L27" i="76" s="1"/>
  <c r="B27" i="76"/>
  <c r="T26" i="76"/>
  <c r="P26" i="76"/>
  <c r="X26" i="76" s="1"/>
  <c r="Z26" i="76" s="1"/>
  <c r="N26" i="76"/>
  <c r="H26" i="76"/>
  <c r="D26" i="76"/>
  <c r="L26" i="76" s="1"/>
  <c r="B26" i="76"/>
  <c r="T25" i="76"/>
  <c r="P25" i="76"/>
  <c r="X25" i="76" s="1"/>
  <c r="Z25" i="76" s="1"/>
  <c r="H25" i="76"/>
  <c r="D25" i="76"/>
  <c r="L25" i="76" s="1"/>
  <c r="B25" i="76"/>
  <c r="T24" i="76"/>
  <c r="P24" i="76"/>
  <c r="H24" i="76"/>
  <c r="N24" i="76" s="1"/>
  <c r="D24" i="76"/>
  <c r="L24" i="76" s="1"/>
  <c r="B24" i="76"/>
  <c r="X23" i="76"/>
  <c r="Z23" i="76" s="1"/>
  <c r="T23" i="76"/>
  <c r="P23" i="76"/>
  <c r="H23" i="76"/>
  <c r="D23" i="76"/>
  <c r="L23" i="76" s="1"/>
  <c r="N23" i="76" s="1"/>
  <c r="B23" i="76"/>
  <c r="T22" i="76"/>
  <c r="P22" i="76"/>
  <c r="X22" i="76" s="1"/>
  <c r="Z22" i="76" s="1"/>
  <c r="N22" i="76"/>
  <c r="H22" i="76"/>
  <c r="D22" i="76"/>
  <c r="L22" i="76" s="1"/>
  <c r="B22" i="76"/>
  <c r="T21" i="76"/>
  <c r="P21" i="76"/>
  <c r="X21" i="76" s="1"/>
  <c r="Z21" i="76" s="1"/>
  <c r="H21" i="76"/>
  <c r="D21" i="76"/>
  <c r="B21" i="76"/>
  <c r="T20" i="76"/>
  <c r="P20" i="76"/>
  <c r="H20" i="76"/>
  <c r="D20" i="76"/>
  <c r="L20" i="76" s="1"/>
  <c r="B20" i="76"/>
  <c r="Z19" i="76"/>
  <c r="X19" i="76"/>
  <c r="T19" i="76"/>
  <c r="P19" i="76"/>
  <c r="H19" i="76"/>
  <c r="D19" i="76"/>
  <c r="L19" i="76" s="1"/>
  <c r="N19" i="76" s="1"/>
  <c r="B19" i="76"/>
  <c r="T18" i="76"/>
  <c r="P18" i="76"/>
  <c r="X18" i="76" s="1"/>
  <c r="Z18" i="76" s="1"/>
  <c r="N18" i="76"/>
  <c r="H18" i="76"/>
  <c r="D18" i="76"/>
  <c r="L18" i="76" s="1"/>
  <c r="B18" i="76"/>
  <c r="T17" i="76"/>
  <c r="P17" i="76"/>
  <c r="X17" i="76" s="1"/>
  <c r="Z17" i="76" s="1"/>
  <c r="H17" i="76"/>
  <c r="N17" i="76" s="1"/>
  <c r="D17" i="76"/>
  <c r="B17" i="76"/>
  <c r="T16" i="76"/>
  <c r="P16" i="76"/>
  <c r="H16" i="76"/>
  <c r="D16" i="76"/>
  <c r="L16" i="76" s="1"/>
  <c r="B16" i="76"/>
  <c r="X15" i="76"/>
  <c r="Z15" i="76" s="1"/>
  <c r="T15" i="76"/>
  <c r="P15" i="76"/>
  <c r="H15" i="76"/>
  <c r="D15" i="76"/>
  <c r="L15" i="76" s="1"/>
  <c r="N15" i="76" s="1"/>
  <c r="B15" i="76"/>
  <c r="T14" i="76"/>
  <c r="T12" i="76" s="1"/>
  <c r="P14" i="76"/>
  <c r="X14" i="76" s="1"/>
  <c r="Z14" i="76" s="1"/>
  <c r="N14" i="76"/>
  <c r="L14" i="76"/>
  <c r="H14" i="76"/>
  <c r="D14" i="76"/>
  <c r="B14" i="76"/>
  <c r="Z13" i="76"/>
  <c r="T13" i="76"/>
  <c r="P13" i="76"/>
  <c r="H13" i="76"/>
  <c r="D13" i="76"/>
  <c r="B13" i="76"/>
  <c r="D6" i="76"/>
  <c r="D4" i="76"/>
  <c r="Z73" i="75"/>
  <c r="X73" i="75"/>
  <c r="N73" i="75"/>
  <c r="L73" i="75"/>
  <c r="T69" i="75"/>
  <c r="P69" i="75"/>
  <c r="P68" i="75" s="1"/>
  <c r="X68" i="75" s="1"/>
  <c r="L69" i="75"/>
  <c r="H69" i="75"/>
  <c r="N69" i="75" s="1"/>
  <c r="D69" i="75"/>
  <c r="B69" i="75"/>
  <c r="T68" i="75"/>
  <c r="H68" i="75"/>
  <c r="N68" i="75" s="1"/>
  <c r="D68" i="75"/>
  <c r="L68" i="75" s="1"/>
  <c r="Z66" i="75"/>
  <c r="X66" i="75"/>
  <c r="V66" i="75"/>
  <c r="N66" i="75"/>
  <c r="L66" i="75"/>
  <c r="B66" i="75"/>
  <c r="T65" i="75"/>
  <c r="Z65" i="75" s="1"/>
  <c r="P65" i="75"/>
  <c r="X65" i="75" s="1"/>
  <c r="N65" i="75"/>
  <c r="L65" i="75"/>
  <c r="H65" i="75"/>
  <c r="D65" i="75"/>
  <c r="B65" i="75"/>
  <c r="X64" i="75"/>
  <c r="Z64" i="75" s="1"/>
  <c r="L64" i="75"/>
  <c r="N64" i="75" s="1"/>
  <c r="B64" i="75"/>
  <c r="T63" i="75"/>
  <c r="P63" i="75"/>
  <c r="X63" i="75" s="1"/>
  <c r="Z63" i="75" s="1"/>
  <c r="L63" i="75"/>
  <c r="N63" i="75" s="1"/>
  <c r="H63" i="75"/>
  <c r="D63" i="75"/>
  <c r="B63" i="75"/>
  <c r="X62" i="75"/>
  <c r="Z62" i="75" s="1"/>
  <c r="L62" i="75"/>
  <c r="N62" i="75" s="1"/>
  <c r="F62" i="75"/>
  <c r="B62" i="75"/>
  <c r="X61" i="75"/>
  <c r="Z61" i="75" s="1"/>
  <c r="N61" i="75"/>
  <c r="L61" i="75"/>
  <c r="B61" i="75"/>
  <c r="Z60" i="75"/>
  <c r="X60" i="75"/>
  <c r="L60" i="75"/>
  <c r="N60" i="75" s="1"/>
  <c r="B60" i="75"/>
  <c r="Z59" i="75"/>
  <c r="X59" i="75"/>
  <c r="N59" i="75"/>
  <c r="L59" i="75"/>
  <c r="B59" i="75"/>
  <c r="X58" i="75"/>
  <c r="Z58" i="75" s="1"/>
  <c r="L58" i="75"/>
  <c r="N58" i="75" s="1"/>
  <c r="B58" i="75"/>
  <c r="X57" i="75"/>
  <c r="T57" i="75"/>
  <c r="Z57" i="75" s="1"/>
  <c r="P57" i="75"/>
  <c r="H57" i="75"/>
  <c r="D57" i="75"/>
  <c r="B57" i="75"/>
  <c r="X56" i="75"/>
  <c r="Z56" i="75" s="1"/>
  <c r="L56" i="75"/>
  <c r="N56" i="75" s="1"/>
  <c r="B56" i="75"/>
  <c r="Z55" i="75"/>
  <c r="X55" i="75"/>
  <c r="T55" i="75"/>
  <c r="P55" i="75"/>
  <c r="H55" i="75"/>
  <c r="D55" i="75"/>
  <c r="L55" i="75" s="1"/>
  <c r="B55" i="75"/>
  <c r="Z54" i="75"/>
  <c r="X54" i="75"/>
  <c r="L54" i="75"/>
  <c r="N54" i="75" s="1"/>
  <c r="B54" i="75"/>
  <c r="X53" i="75"/>
  <c r="Z53" i="75" s="1"/>
  <c r="T53" i="75"/>
  <c r="P53" i="75"/>
  <c r="H53" i="75"/>
  <c r="D53" i="75"/>
  <c r="L53" i="75" s="1"/>
  <c r="N53" i="75" s="1"/>
  <c r="B53" i="75"/>
  <c r="Z52" i="75"/>
  <c r="X52" i="75"/>
  <c r="N52" i="75"/>
  <c r="L52" i="75"/>
  <c r="B52" i="75"/>
  <c r="Z51" i="75"/>
  <c r="X51" i="75"/>
  <c r="N51" i="75"/>
  <c r="L51" i="75"/>
  <c r="B51" i="75"/>
  <c r="T50" i="75"/>
  <c r="Z50" i="75" s="1"/>
  <c r="P50" i="75"/>
  <c r="X50" i="75" s="1"/>
  <c r="N50" i="75"/>
  <c r="L50" i="75"/>
  <c r="H50" i="75"/>
  <c r="D50" i="75"/>
  <c r="B50" i="75"/>
  <c r="Z49" i="75"/>
  <c r="X49" i="75"/>
  <c r="L49" i="75"/>
  <c r="N49" i="75" s="1"/>
  <c r="B49" i="75"/>
  <c r="T48" i="75"/>
  <c r="Z48" i="75" s="1"/>
  <c r="P48" i="75"/>
  <c r="X48" i="75" s="1"/>
  <c r="H48" i="75"/>
  <c r="D48" i="75"/>
  <c r="B48" i="75"/>
  <c r="Z47" i="75"/>
  <c r="X47" i="75"/>
  <c r="N47" i="75"/>
  <c r="L47" i="75"/>
  <c r="B47" i="75"/>
  <c r="T46" i="75"/>
  <c r="Z46" i="75" s="1"/>
  <c r="P46" i="75"/>
  <c r="X46" i="75" s="1"/>
  <c r="H46" i="75"/>
  <c r="D46" i="75"/>
  <c r="L46" i="75" s="1"/>
  <c r="B46" i="75"/>
  <c r="Z45" i="75"/>
  <c r="X45" i="75"/>
  <c r="N45" i="75"/>
  <c r="L45" i="75"/>
  <c r="B45" i="75"/>
  <c r="Z44" i="75"/>
  <c r="X44" i="75"/>
  <c r="T44" i="75"/>
  <c r="P44" i="75"/>
  <c r="H44" i="75"/>
  <c r="N44" i="75" s="1"/>
  <c r="D44" i="75"/>
  <c r="L44" i="75" s="1"/>
  <c r="B44" i="75"/>
  <c r="Z43" i="75"/>
  <c r="X43" i="75"/>
  <c r="N43" i="75"/>
  <c r="L43" i="75"/>
  <c r="B43" i="75"/>
  <c r="X42" i="75"/>
  <c r="Z42" i="75" s="1"/>
  <c r="V42" i="75"/>
  <c r="N42" i="75"/>
  <c r="L42" i="75"/>
  <c r="B42" i="75"/>
  <c r="Z41" i="75"/>
  <c r="X41" i="75"/>
  <c r="L41" i="75"/>
  <c r="N41" i="75" s="1"/>
  <c r="B41" i="75"/>
  <c r="T40" i="75"/>
  <c r="P40" i="75"/>
  <c r="X40" i="75" s="1"/>
  <c r="H40" i="75"/>
  <c r="D40" i="75"/>
  <c r="B40" i="75"/>
  <c r="Z39" i="75"/>
  <c r="X39" i="75"/>
  <c r="N39" i="75"/>
  <c r="L39" i="75"/>
  <c r="F39" i="75"/>
  <c r="B39" i="75"/>
  <c r="Z38" i="75"/>
  <c r="X38" i="75"/>
  <c r="L38" i="75"/>
  <c r="N38" i="75" s="1"/>
  <c r="B38" i="75"/>
  <c r="X37" i="75"/>
  <c r="Z37" i="75" s="1"/>
  <c r="L37" i="75"/>
  <c r="N37" i="75" s="1"/>
  <c r="B37" i="75"/>
  <c r="X36" i="75"/>
  <c r="Z36" i="75" s="1"/>
  <c r="L36" i="75"/>
  <c r="N36" i="75" s="1"/>
  <c r="B36" i="75"/>
  <c r="Z35" i="75"/>
  <c r="X35" i="75"/>
  <c r="N35" i="75"/>
  <c r="L35" i="75"/>
  <c r="B35" i="75"/>
  <c r="Z34" i="75"/>
  <c r="X34" i="75"/>
  <c r="L34" i="75"/>
  <c r="N34" i="75" s="1"/>
  <c r="B34" i="75"/>
  <c r="X33" i="75"/>
  <c r="Z33" i="75" s="1"/>
  <c r="L33" i="75"/>
  <c r="N33" i="75" s="1"/>
  <c r="B33" i="75"/>
  <c r="X32" i="75"/>
  <c r="Z32" i="75" s="1"/>
  <c r="N32" i="75"/>
  <c r="L32" i="75"/>
  <c r="B32" i="75"/>
  <c r="T31" i="75"/>
  <c r="P31" i="75"/>
  <c r="X31" i="75" s="1"/>
  <c r="Z31" i="75" s="1"/>
  <c r="L31" i="75"/>
  <c r="N31" i="75" s="1"/>
  <c r="H31" i="75"/>
  <c r="D31" i="75"/>
  <c r="B31" i="75"/>
  <c r="T30" i="75"/>
  <c r="P30" i="75"/>
  <c r="X30" i="75" s="1"/>
  <c r="N30" i="75"/>
  <c r="L30" i="75"/>
  <c r="H30" i="75"/>
  <c r="D30" i="75"/>
  <c r="T26" i="75"/>
  <c r="Z26" i="75" s="1"/>
  <c r="P26" i="75"/>
  <c r="X26" i="75" s="1"/>
  <c r="N26" i="75"/>
  <c r="L26" i="75"/>
  <c r="H26" i="75"/>
  <c r="D26" i="75"/>
  <c r="T24" i="75"/>
  <c r="P24" i="75"/>
  <c r="X24" i="75" s="1"/>
  <c r="Z24" i="75" s="1"/>
  <c r="H24" i="75"/>
  <c r="D24" i="75"/>
  <c r="L24" i="75" s="1"/>
  <c r="B24" i="75"/>
  <c r="T23" i="75"/>
  <c r="P23" i="75"/>
  <c r="H23" i="75"/>
  <c r="N23" i="75" s="1"/>
  <c r="D23" i="75"/>
  <c r="L23" i="75" s="1"/>
  <c r="B23" i="75"/>
  <c r="X22" i="75"/>
  <c r="Z22" i="75" s="1"/>
  <c r="T22" i="75"/>
  <c r="P22" i="75"/>
  <c r="L22" i="75"/>
  <c r="N22" i="75" s="1"/>
  <c r="H22" i="75"/>
  <c r="D22" i="75"/>
  <c r="B22" i="75"/>
  <c r="T21" i="75"/>
  <c r="P21" i="75"/>
  <c r="X21" i="75" s="1"/>
  <c r="Z21" i="75" s="1"/>
  <c r="H21" i="75"/>
  <c r="L21" i="75" s="1"/>
  <c r="N21" i="75" s="1"/>
  <c r="D21" i="75"/>
  <c r="B21" i="75"/>
  <c r="T20" i="75"/>
  <c r="P20" i="75"/>
  <c r="X20" i="75" s="1"/>
  <c r="Z20" i="75" s="1"/>
  <c r="H20" i="75"/>
  <c r="D20" i="75"/>
  <c r="L20" i="75" s="1"/>
  <c r="B20" i="75"/>
  <c r="T19" i="75"/>
  <c r="P19" i="75"/>
  <c r="H19" i="75"/>
  <c r="D19" i="75"/>
  <c r="B19" i="75"/>
  <c r="X18" i="75"/>
  <c r="Z18" i="75" s="1"/>
  <c r="T18" i="75"/>
  <c r="P18" i="75"/>
  <c r="L18" i="75"/>
  <c r="N18" i="75" s="1"/>
  <c r="H18" i="75"/>
  <c r="D18" i="75"/>
  <c r="B18" i="75"/>
  <c r="T17" i="75"/>
  <c r="P17" i="75"/>
  <c r="X17" i="75" s="1"/>
  <c r="Z17" i="75" s="1"/>
  <c r="H17" i="75"/>
  <c r="L17" i="75" s="1"/>
  <c r="N17" i="75" s="1"/>
  <c r="D17" i="75"/>
  <c r="B17" i="75"/>
  <c r="T16" i="75"/>
  <c r="Z16" i="75" s="1"/>
  <c r="P16" i="75"/>
  <c r="X16" i="75" s="1"/>
  <c r="H16" i="75"/>
  <c r="D16" i="75"/>
  <c r="L16" i="75" s="1"/>
  <c r="B16" i="75"/>
  <c r="T15" i="75"/>
  <c r="P15" i="75"/>
  <c r="H15" i="75"/>
  <c r="D15" i="75"/>
  <c r="L15" i="75" s="1"/>
  <c r="B15" i="75"/>
  <c r="Z14" i="75"/>
  <c r="X14" i="75"/>
  <c r="T14" i="75"/>
  <c r="P14" i="75"/>
  <c r="L14" i="75"/>
  <c r="N14" i="75" s="1"/>
  <c r="H14" i="75"/>
  <c r="D14" i="75"/>
  <c r="B14" i="75"/>
  <c r="Z13" i="75"/>
  <c r="T13" i="75"/>
  <c r="T12" i="75" s="1"/>
  <c r="P13" i="75"/>
  <c r="X13" i="75" s="1"/>
  <c r="N13" i="75"/>
  <c r="H13" i="75"/>
  <c r="L13" i="75" s="1"/>
  <c r="D13" i="75"/>
  <c r="B13" i="75"/>
  <c r="D12" i="75"/>
  <c r="F58" i="75" s="1"/>
  <c r="D6" i="75"/>
  <c r="D4" i="75"/>
  <c r="X114" i="74"/>
  <c r="Z114" i="74" s="1"/>
  <c r="L114" i="74"/>
  <c r="N114" i="74" s="1"/>
  <c r="Z110" i="74"/>
  <c r="X110" i="74"/>
  <c r="T110" i="74"/>
  <c r="P110" i="74"/>
  <c r="P108" i="74" s="1"/>
  <c r="X108" i="74" s="1"/>
  <c r="H110" i="74"/>
  <c r="D110" i="74"/>
  <c r="L110" i="74" s="1"/>
  <c r="B110" i="74"/>
  <c r="Z109" i="74"/>
  <c r="X109" i="74"/>
  <c r="T109" i="74"/>
  <c r="P109" i="74"/>
  <c r="H109" i="74"/>
  <c r="D109" i="74"/>
  <c r="B109" i="74"/>
  <c r="T108" i="74"/>
  <c r="Z108" i="74" s="1"/>
  <c r="X106" i="74"/>
  <c r="Z106" i="74" s="1"/>
  <c r="N106" i="74"/>
  <c r="L106" i="74"/>
  <c r="B106" i="74"/>
  <c r="X105" i="74"/>
  <c r="Z105" i="74" s="1"/>
  <c r="T105" i="74"/>
  <c r="P105" i="74"/>
  <c r="N105" i="74"/>
  <c r="H105" i="74"/>
  <c r="D105" i="74"/>
  <c r="L105" i="74" s="1"/>
  <c r="B105" i="74"/>
  <c r="X104" i="74"/>
  <c r="Z104" i="74" s="1"/>
  <c r="L104" i="74"/>
  <c r="N104" i="74" s="1"/>
  <c r="B104" i="74"/>
  <c r="Z103" i="74"/>
  <c r="T103" i="74"/>
  <c r="X103" i="74" s="1"/>
  <c r="P103" i="74"/>
  <c r="H103" i="74"/>
  <c r="D103" i="74"/>
  <c r="L103" i="74" s="1"/>
  <c r="N103" i="74" s="1"/>
  <c r="B103" i="74"/>
  <c r="X102" i="74"/>
  <c r="Z102" i="74" s="1"/>
  <c r="L102" i="74"/>
  <c r="N102" i="74" s="1"/>
  <c r="B102" i="74"/>
  <c r="Z101" i="74"/>
  <c r="X101" i="74"/>
  <c r="L101" i="74"/>
  <c r="N101" i="74" s="1"/>
  <c r="B101" i="74"/>
  <c r="Z100" i="74"/>
  <c r="X100" i="74"/>
  <c r="N100" i="74"/>
  <c r="L100" i="74"/>
  <c r="B100" i="74"/>
  <c r="Z99" i="74"/>
  <c r="X99" i="74"/>
  <c r="N99" i="74"/>
  <c r="L99" i="74"/>
  <c r="B99" i="74"/>
  <c r="T98" i="74"/>
  <c r="P98" i="74"/>
  <c r="H98" i="74"/>
  <c r="D98" i="74"/>
  <c r="L98" i="74" s="1"/>
  <c r="B98" i="74"/>
  <c r="X97" i="74"/>
  <c r="Z97" i="74" s="1"/>
  <c r="N97" i="74"/>
  <c r="L97" i="74"/>
  <c r="B97" i="74"/>
  <c r="X96" i="74"/>
  <c r="Z96" i="74" s="1"/>
  <c r="N96" i="74"/>
  <c r="L96" i="74"/>
  <c r="B96" i="74"/>
  <c r="T95" i="74"/>
  <c r="P95" i="74"/>
  <c r="X95" i="74" s="1"/>
  <c r="Z95" i="74" s="1"/>
  <c r="L95" i="74"/>
  <c r="N95" i="74" s="1"/>
  <c r="H95" i="74"/>
  <c r="D95" i="74"/>
  <c r="B95" i="74"/>
  <c r="X94" i="74"/>
  <c r="Z94" i="74" s="1"/>
  <c r="L94" i="74"/>
  <c r="N94" i="74" s="1"/>
  <c r="B94" i="74"/>
  <c r="T93" i="74"/>
  <c r="P93" i="74"/>
  <c r="X93" i="74" s="1"/>
  <c r="Z93" i="74" s="1"/>
  <c r="H93" i="74"/>
  <c r="D93" i="74"/>
  <c r="B93" i="74"/>
  <c r="Z92" i="74"/>
  <c r="X92" i="74"/>
  <c r="N92" i="74"/>
  <c r="L92" i="74"/>
  <c r="B92" i="74"/>
  <c r="Z91" i="74"/>
  <c r="X91" i="74"/>
  <c r="T91" i="74"/>
  <c r="P91" i="74"/>
  <c r="N91" i="74"/>
  <c r="H91" i="74"/>
  <c r="D91" i="74"/>
  <c r="L91" i="74" s="1"/>
  <c r="B91" i="74"/>
  <c r="X90" i="74"/>
  <c r="Z90" i="74" s="1"/>
  <c r="N90" i="74"/>
  <c r="L90" i="74"/>
  <c r="B90" i="74"/>
  <c r="X89" i="74"/>
  <c r="Z89" i="74" s="1"/>
  <c r="T89" i="74"/>
  <c r="P89" i="74"/>
  <c r="N89" i="74"/>
  <c r="H89" i="74"/>
  <c r="D89" i="74"/>
  <c r="L89" i="74" s="1"/>
  <c r="B89" i="74"/>
  <c r="Z88" i="74"/>
  <c r="X88" i="74"/>
  <c r="L88" i="74"/>
  <c r="N88" i="74" s="1"/>
  <c r="B88" i="74"/>
  <c r="Z87" i="74"/>
  <c r="T87" i="74"/>
  <c r="X87" i="74" s="1"/>
  <c r="P87" i="74"/>
  <c r="H87" i="74"/>
  <c r="D87" i="74"/>
  <c r="L87" i="74" s="1"/>
  <c r="N87" i="74" s="1"/>
  <c r="B87" i="74"/>
  <c r="X86" i="74"/>
  <c r="Z86" i="74" s="1"/>
  <c r="L86" i="74"/>
  <c r="N86" i="74" s="1"/>
  <c r="B86" i="74"/>
  <c r="T85" i="74"/>
  <c r="P85" i="74"/>
  <c r="X85" i="74" s="1"/>
  <c r="N85" i="74"/>
  <c r="L85" i="74"/>
  <c r="H85" i="74"/>
  <c r="D85" i="74"/>
  <c r="B85" i="74"/>
  <c r="X84" i="74"/>
  <c r="Z84" i="74" s="1"/>
  <c r="N84" i="74"/>
  <c r="L84" i="74"/>
  <c r="B84" i="74"/>
  <c r="Z83" i="74"/>
  <c r="X83" i="74"/>
  <c r="N83" i="74"/>
  <c r="L83" i="74"/>
  <c r="B83" i="74"/>
  <c r="X82" i="74"/>
  <c r="Z82" i="74" s="1"/>
  <c r="L82" i="74"/>
  <c r="N82" i="74" s="1"/>
  <c r="B82" i="74"/>
  <c r="Z81" i="74"/>
  <c r="X81" i="74"/>
  <c r="N81" i="74"/>
  <c r="L81" i="74"/>
  <c r="B81" i="74"/>
  <c r="X80" i="74"/>
  <c r="Z80" i="74" s="1"/>
  <c r="N80" i="74"/>
  <c r="L80" i="74"/>
  <c r="B80" i="74"/>
  <c r="T79" i="74"/>
  <c r="P79" i="74"/>
  <c r="X79" i="74" s="1"/>
  <c r="Z79" i="74" s="1"/>
  <c r="N79" i="74"/>
  <c r="L79" i="74"/>
  <c r="H79" i="74"/>
  <c r="D79" i="74"/>
  <c r="B79" i="74"/>
  <c r="X78" i="74"/>
  <c r="Z78" i="74" s="1"/>
  <c r="L78" i="74"/>
  <c r="N78" i="74" s="1"/>
  <c r="B78" i="74"/>
  <c r="Z77" i="74"/>
  <c r="X77" i="74"/>
  <c r="N77" i="74"/>
  <c r="L77" i="74"/>
  <c r="B77" i="74"/>
  <c r="Z76" i="74"/>
  <c r="X76" i="74"/>
  <c r="L76" i="74"/>
  <c r="N76" i="74" s="1"/>
  <c r="B76" i="74"/>
  <c r="Z75" i="74"/>
  <c r="X75" i="74"/>
  <c r="N75" i="74"/>
  <c r="L75" i="74"/>
  <c r="B75" i="74"/>
  <c r="X74" i="74"/>
  <c r="Z74" i="74" s="1"/>
  <c r="L74" i="74"/>
  <c r="N74" i="74" s="1"/>
  <c r="B74" i="74"/>
  <c r="Z73" i="74"/>
  <c r="X73" i="74"/>
  <c r="N73" i="74"/>
  <c r="L73" i="74"/>
  <c r="B73" i="74"/>
  <c r="Z72" i="74"/>
  <c r="X72" i="74"/>
  <c r="L72" i="74"/>
  <c r="N72" i="74" s="1"/>
  <c r="B72" i="74"/>
  <c r="Z71" i="74"/>
  <c r="X71" i="74"/>
  <c r="N71" i="74"/>
  <c r="L71" i="74"/>
  <c r="B71" i="74"/>
  <c r="T70" i="74"/>
  <c r="P70" i="74"/>
  <c r="N70" i="74"/>
  <c r="L70" i="74"/>
  <c r="H70" i="74"/>
  <c r="D70" i="74"/>
  <c r="B70" i="74"/>
  <c r="T69" i="74"/>
  <c r="Z69" i="74" s="1"/>
  <c r="P69" i="74"/>
  <c r="X69" i="74" s="1"/>
  <c r="N69" i="74"/>
  <c r="L69" i="74"/>
  <c r="H69" i="74"/>
  <c r="D69" i="74"/>
  <c r="Z65" i="74"/>
  <c r="X65" i="74"/>
  <c r="N65" i="74"/>
  <c r="L65" i="74"/>
  <c r="B65" i="74"/>
  <c r="X64" i="74"/>
  <c r="Z64" i="74" s="1"/>
  <c r="L64" i="74"/>
  <c r="N64" i="74" s="1"/>
  <c r="B64" i="74"/>
  <c r="Z63" i="74"/>
  <c r="X63" i="74"/>
  <c r="N63" i="74"/>
  <c r="L63" i="74"/>
  <c r="B63" i="74"/>
  <c r="X62" i="74"/>
  <c r="Z62" i="74" s="1"/>
  <c r="N62" i="74"/>
  <c r="L62" i="74"/>
  <c r="B62" i="74"/>
  <c r="Z61" i="74"/>
  <c r="X61" i="74"/>
  <c r="L61" i="74"/>
  <c r="N61" i="74" s="1"/>
  <c r="B61" i="74"/>
  <c r="X60" i="74"/>
  <c r="Z60" i="74" s="1"/>
  <c r="L60" i="74"/>
  <c r="N60" i="74" s="1"/>
  <c r="B60" i="74"/>
  <c r="Z59" i="74"/>
  <c r="X59" i="74"/>
  <c r="N59" i="74"/>
  <c r="L59" i="74"/>
  <c r="B59" i="74"/>
  <c r="X58" i="74"/>
  <c r="Z58" i="74" s="1"/>
  <c r="N58" i="74"/>
  <c r="L58" i="74"/>
  <c r="B58" i="74"/>
  <c r="Z57" i="74"/>
  <c r="X57" i="74"/>
  <c r="N57" i="74"/>
  <c r="L57" i="74"/>
  <c r="B57" i="74"/>
  <c r="X56" i="74"/>
  <c r="Z56" i="74" s="1"/>
  <c r="L56" i="74"/>
  <c r="N56" i="74" s="1"/>
  <c r="B56" i="74"/>
  <c r="Z55" i="74"/>
  <c r="X55" i="74"/>
  <c r="N55" i="74"/>
  <c r="L55" i="74"/>
  <c r="B55" i="74"/>
  <c r="X54" i="74"/>
  <c r="Z54" i="74" s="1"/>
  <c r="N54" i="74"/>
  <c r="L54" i="74"/>
  <c r="B54" i="74"/>
  <c r="Z53" i="74"/>
  <c r="X53" i="74"/>
  <c r="N53" i="74"/>
  <c r="L53" i="74"/>
  <c r="B53" i="74"/>
  <c r="X52" i="74"/>
  <c r="Z52" i="74" s="1"/>
  <c r="L52" i="74"/>
  <c r="N52" i="74" s="1"/>
  <c r="B52" i="74"/>
  <c r="Z51" i="74"/>
  <c r="X51" i="74"/>
  <c r="N51" i="74"/>
  <c r="L51" i="74"/>
  <c r="B51" i="74"/>
  <c r="X50" i="74"/>
  <c r="T50" i="74"/>
  <c r="P50" i="74"/>
  <c r="L50" i="74"/>
  <c r="N50" i="74" s="1"/>
  <c r="H50" i="74"/>
  <c r="D50" i="74"/>
  <c r="T48" i="74"/>
  <c r="P48" i="74"/>
  <c r="N48" i="74"/>
  <c r="H48" i="74"/>
  <c r="D48" i="74"/>
  <c r="L48" i="74" s="1"/>
  <c r="B48" i="74"/>
  <c r="T47" i="74"/>
  <c r="P47" i="74"/>
  <c r="N47" i="74"/>
  <c r="L47" i="74"/>
  <c r="H47" i="74"/>
  <c r="D47" i="74"/>
  <c r="B47" i="74"/>
  <c r="X46" i="74"/>
  <c r="Z46" i="74" s="1"/>
  <c r="T46" i="74"/>
  <c r="P46" i="74"/>
  <c r="L46" i="74"/>
  <c r="H46" i="74"/>
  <c r="D46" i="74"/>
  <c r="B46" i="74"/>
  <c r="Z45" i="74"/>
  <c r="X45" i="74"/>
  <c r="T45" i="74"/>
  <c r="P45" i="74"/>
  <c r="N45" i="74"/>
  <c r="L45" i="74"/>
  <c r="H45" i="74"/>
  <c r="D45" i="74"/>
  <c r="B45" i="74"/>
  <c r="T44" i="74"/>
  <c r="P44" i="74"/>
  <c r="X44" i="74" s="1"/>
  <c r="H44" i="74"/>
  <c r="D44" i="74"/>
  <c r="L44" i="74" s="1"/>
  <c r="N44" i="74" s="1"/>
  <c r="B44" i="74"/>
  <c r="T43" i="74"/>
  <c r="Z43" i="74" s="1"/>
  <c r="P43" i="74"/>
  <c r="X43" i="74" s="1"/>
  <c r="H43" i="74"/>
  <c r="D43" i="74"/>
  <c r="B43" i="74"/>
  <c r="X42" i="74"/>
  <c r="T42" i="74"/>
  <c r="P42" i="74"/>
  <c r="L42" i="74"/>
  <c r="H42" i="74"/>
  <c r="D42" i="74"/>
  <c r="B42" i="74"/>
  <c r="Z41" i="74"/>
  <c r="X41" i="74"/>
  <c r="T41" i="74"/>
  <c r="P41" i="74"/>
  <c r="N41" i="74"/>
  <c r="L41" i="74"/>
  <c r="H41" i="74"/>
  <c r="D41" i="74"/>
  <c r="B41" i="74"/>
  <c r="T40" i="74"/>
  <c r="P40" i="74"/>
  <c r="X40" i="74" s="1"/>
  <c r="H40" i="74"/>
  <c r="D40" i="74"/>
  <c r="L40" i="74" s="1"/>
  <c r="N40" i="74" s="1"/>
  <c r="B40" i="74"/>
  <c r="T39" i="74"/>
  <c r="Z39" i="74" s="1"/>
  <c r="P39" i="74"/>
  <c r="H39" i="74"/>
  <c r="N39" i="74" s="1"/>
  <c r="D39" i="74"/>
  <c r="B39" i="74"/>
  <c r="X38" i="74"/>
  <c r="T38" i="74"/>
  <c r="Z38" i="74" s="1"/>
  <c r="P38" i="74"/>
  <c r="H38" i="74"/>
  <c r="N38" i="74" s="1"/>
  <c r="D38" i="74"/>
  <c r="L38" i="74" s="1"/>
  <c r="B38" i="74"/>
  <c r="Z37" i="74"/>
  <c r="X37" i="74"/>
  <c r="T37" i="74"/>
  <c r="P37" i="74"/>
  <c r="N37" i="74"/>
  <c r="L37" i="74"/>
  <c r="H37" i="74"/>
  <c r="D37" i="74"/>
  <c r="B37" i="74"/>
  <c r="X36" i="74"/>
  <c r="T36" i="74"/>
  <c r="P36" i="74"/>
  <c r="H36" i="74"/>
  <c r="D36" i="74"/>
  <c r="L36" i="74" s="1"/>
  <c r="N36" i="74" s="1"/>
  <c r="B36" i="74"/>
  <c r="T35" i="74"/>
  <c r="Z35" i="74" s="1"/>
  <c r="P35" i="74"/>
  <c r="N35" i="74"/>
  <c r="L35" i="74"/>
  <c r="H35" i="74"/>
  <c r="D35" i="74"/>
  <c r="B35" i="74"/>
  <c r="X34" i="74"/>
  <c r="T34" i="74"/>
  <c r="P34" i="74"/>
  <c r="H34" i="74"/>
  <c r="D34" i="74"/>
  <c r="L34" i="74" s="1"/>
  <c r="B34" i="74"/>
  <c r="Z33" i="74"/>
  <c r="X33" i="74"/>
  <c r="T33" i="74"/>
  <c r="P33" i="74"/>
  <c r="N33" i="74"/>
  <c r="L33" i="74"/>
  <c r="H33" i="74"/>
  <c r="D33" i="74"/>
  <c r="B33" i="74"/>
  <c r="T32" i="74"/>
  <c r="P32" i="74"/>
  <c r="N32" i="74"/>
  <c r="H32" i="74"/>
  <c r="D32" i="74"/>
  <c r="L32" i="74" s="1"/>
  <c r="B32" i="74"/>
  <c r="T31" i="74"/>
  <c r="Z31" i="74" s="1"/>
  <c r="P31" i="74"/>
  <c r="X31" i="74" s="1"/>
  <c r="N31" i="74"/>
  <c r="H31" i="74"/>
  <c r="D31" i="74"/>
  <c r="L31" i="74" s="1"/>
  <c r="B31" i="74"/>
  <c r="X30" i="74"/>
  <c r="T30" i="74"/>
  <c r="Z30" i="74" s="1"/>
  <c r="P30" i="74"/>
  <c r="H30" i="74"/>
  <c r="N30" i="74" s="1"/>
  <c r="D30" i="74"/>
  <c r="L30" i="74" s="1"/>
  <c r="B30" i="74"/>
  <c r="Z29" i="74"/>
  <c r="T29" i="74"/>
  <c r="X29" i="74" s="1"/>
  <c r="P29" i="74"/>
  <c r="N29" i="74"/>
  <c r="L29" i="74"/>
  <c r="H29" i="74"/>
  <c r="D29" i="74"/>
  <c r="B29" i="74"/>
  <c r="T28" i="74"/>
  <c r="Z28" i="74" s="1"/>
  <c r="P28" i="74"/>
  <c r="N28" i="74"/>
  <c r="H28" i="74"/>
  <c r="D28" i="74"/>
  <c r="L28" i="74" s="1"/>
  <c r="B28" i="74"/>
  <c r="T27" i="74"/>
  <c r="Z27" i="74" s="1"/>
  <c r="P27" i="74"/>
  <c r="X27" i="74" s="1"/>
  <c r="N27" i="74"/>
  <c r="H27" i="74"/>
  <c r="D27" i="74"/>
  <c r="L27" i="74" s="1"/>
  <c r="B27" i="74"/>
  <c r="X26" i="74"/>
  <c r="T26" i="74"/>
  <c r="Z26" i="74" s="1"/>
  <c r="P26" i="74"/>
  <c r="L26" i="74"/>
  <c r="H26" i="74"/>
  <c r="N26" i="74" s="1"/>
  <c r="D26" i="74"/>
  <c r="B26" i="74"/>
  <c r="Z25" i="74"/>
  <c r="T25" i="74"/>
  <c r="X25" i="74" s="1"/>
  <c r="P25" i="74"/>
  <c r="N25" i="74"/>
  <c r="L25" i="74"/>
  <c r="H25" i="74"/>
  <c r="D25" i="74"/>
  <c r="B25" i="74"/>
  <c r="X24" i="74"/>
  <c r="T24" i="74"/>
  <c r="P24" i="74"/>
  <c r="H24" i="74"/>
  <c r="D24" i="74"/>
  <c r="L24" i="74" s="1"/>
  <c r="N24" i="74" s="1"/>
  <c r="B24" i="74"/>
  <c r="T23" i="74"/>
  <c r="P23" i="74"/>
  <c r="H23" i="74"/>
  <c r="D23" i="74"/>
  <c r="B23" i="74"/>
  <c r="X22" i="74"/>
  <c r="T22" i="74"/>
  <c r="P22" i="74"/>
  <c r="L22" i="74"/>
  <c r="H22" i="74"/>
  <c r="D22" i="74"/>
  <c r="B22" i="74"/>
  <c r="T21" i="74"/>
  <c r="P21" i="74"/>
  <c r="L21" i="74"/>
  <c r="N21" i="74" s="1"/>
  <c r="H21" i="74"/>
  <c r="D21" i="74"/>
  <c r="B21" i="74"/>
  <c r="X20" i="74"/>
  <c r="T20" i="74"/>
  <c r="P20" i="74"/>
  <c r="L20" i="74"/>
  <c r="N20" i="74" s="1"/>
  <c r="H20" i="74"/>
  <c r="D20" i="74"/>
  <c r="B20" i="74"/>
  <c r="T19" i="74"/>
  <c r="P19" i="74"/>
  <c r="L19" i="74"/>
  <c r="H19" i="74"/>
  <c r="D19" i="74"/>
  <c r="B19" i="74"/>
  <c r="T18" i="74"/>
  <c r="Z18" i="74" s="1"/>
  <c r="P18" i="74"/>
  <c r="H18" i="74"/>
  <c r="N18" i="74" s="1"/>
  <c r="D18" i="74"/>
  <c r="L18" i="74" s="1"/>
  <c r="B18" i="74"/>
  <c r="X17" i="74"/>
  <c r="T17" i="74"/>
  <c r="Z17" i="74" s="1"/>
  <c r="P17" i="74"/>
  <c r="N17" i="74"/>
  <c r="L17" i="74"/>
  <c r="H17" i="74"/>
  <c r="D17" i="74"/>
  <c r="B17" i="74"/>
  <c r="T16" i="74"/>
  <c r="P16" i="74"/>
  <c r="N16" i="74"/>
  <c r="L16" i="74"/>
  <c r="H16" i="74"/>
  <c r="D16" i="74"/>
  <c r="B16" i="74"/>
  <c r="T15" i="74"/>
  <c r="Z15" i="74" s="1"/>
  <c r="P15" i="74"/>
  <c r="X15" i="74" s="1"/>
  <c r="N15" i="74"/>
  <c r="H15" i="74"/>
  <c r="D15" i="74"/>
  <c r="L15" i="74" s="1"/>
  <c r="B15" i="74"/>
  <c r="T14" i="74"/>
  <c r="P14" i="74"/>
  <c r="L14" i="74"/>
  <c r="H14" i="74"/>
  <c r="N14" i="74" s="1"/>
  <c r="D14" i="74"/>
  <c r="B14" i="74"/>
  <c r="Z13" i="74"/>
  <c r="T13" i="74"/>
  <c r="P13" i="74"/>
  <c r="N13" i="74"/>
  <c r="H13" i="74"/>
  <c r="D13" i="74"/>
  <c r="B13" i="74"/>
  <c r="D6" i="74"/>
  <c r="D4" i="74"/>
  <c r="Z75" i="73"/>
  <c r="X75" i="73"/>
  <c r="L75" i="73"/>
  <c r="N75" i="73" s="1"/>
  <c r="Z71" i="73"/>
  <c r="T71" i="73"/>
  <c r="P71" i="73"/>
  <c r="N71" i="73"/>
  <c r="H71" i="73"/>
  <c r="D71" i="73"/>
  <c r="L71" i="73" s="1"/>
  <c r="Z69" i="73"/>
  <c r="X69" i="73"/>
  <c r="N69" i="73"/>
  <c r="L69" i="73"/>
  <c r="B69" i="73"/>
  <c r="T68" i="73"/>
  <c r="P68" i="73"/>
  <c r="L68" i="73"/>
  <c r="N68" i="73" s="1"/>
  <c r="H68" i="73"/>
  <c r="D68" i="73"/>
  <c r="B68" i="73"/>
  <c r="X67" i="73"/>
  <c r="Z67" i="73" s="1"/>
  <c r="L67" i="73"/>
  <c r="N67" i="73" s="1"/>
  <c r="B67" i="73"/>
  <c r="T66" i="73"/>
  <c r="P66" i="73"/>
  <c r="X66" i="73" s="1"/>
  <c r="Z66" i="73" s="1"/>
  <c r="H66" i="73"/>
  <c r="D66" i="73"/>
  <c r="B66" i="73"/>
  <c r="X65" i="73"/>
  <c r="Z65" i="73" s="1"/>
  <c r="N65" i="73"/>
  <c r="L65" i="73"/>
  <c r="B65" i="73"/>
  <c r="Z64" i="73"/>
  <c r="X64" i="73"/>
  <c r="N64" i="73"/>
  <c r="L64" i="73"/>
  <c r="B64" i="73"/>
  <c r="X63" i="73"/>
  <c r="T63" i="73"/>
  <c r="P63" i="73"/>
  <c r="L63" i="73"/>
  <c r="N63" i="73" s="1"/>
  <c r="H63" i="73"/>
  <c r="D63" i="73"/>
  <c r="B63" i="73"/>
  <c r="X62" i="73"/>
  <c r="Z62" i="73" s="1"/>
  <c r="L62" i="73"/>
  <c r="N62" i="73" s="1"/>
  <c r="B62" i="73"/>
  <c r="Z61" i="73"/>
  <c r="X61" i="73"/>
  <c r="N61" i="73"/>
  <c r="L61" i="73"/>
  <c r="B61" i="73"/>
  <c r="T60" i="73"/>
  <c r="P60" i="73"/>
  <c r="L60" i="73"/>
  <c r="N60" i="73" s="1"/>
  <c r="H60" i="73"/>
  <c r="D60" i="73"/>
  <c r="B60" i="73"/>
  <c r="X59" i="73"/>
  <c r="Z59" i="73" s="1"/>
  <c r="L59" i="73"/>
  <c r="N59" i="73" s="1"/>
  <c r="J59" i="73"/>
  <c r="B59" i="73"/>
  <c r="X58" i="73"/>
  <c r="Z58" i="73" s="1"/>
  <c r="L58" i="73"/>
  <c r="N58" i="73" s="1"/>
  <c r="B58" i="73"/>
  <c r="Z57" i="73"/>
  <c r="X57" i="73"/>
  <c r="L57" i="73"/>
  <c r="N57" i="73" s="1"/>
  <c r="B57" i="73"/>
  <c r="X56" i="73"/>
  <c r="Z56" i="73" s="1"/>
  <c r="N56" i="73"/>
  <c r="L56" i="73"/>
  <c r="B56" i="73"/>
  <c r="X55" i="73"/>
  <c r="Z55" i="73" s="1"/>
  <c r="L55" i="73"/>
  <c r="N55" i="73" s="1"/>
  <c r="B55" i="73"/>
  <c r="X54" i="73"/>
  <c r="Z54" i="73" s="1"/>
  <c r="L54" i="73"/>
  <c r="N54" i="73" s="1"/>
  <c r="B54" i="73"/>
  <c r="Z53" i="73"/>
  <c r="X53" i="73"/>
  <c r="L53" i="73"/>
  <c r="N53" i="73" s="1"/>
  <c r="B53" i="73"/>
  <c r="T52" i="73"/>
  <c r="P52" i="73"/>
  <c r="X52" i="73" s="1"/>
  <c r="H52" i="73"/>
  <c r="D52" i="73"/>
  <c r="L52" i="73" s="1"/>
  <c r="N52" i="73" s="1"/>
  <c r="B52" i="73"/>
  <c r="X51" i="73"/>
  <c r="T51" i="73"/>
  <c r="Z51" i="73" s="1"/>
  <c r="P51" i="73"/>
  <c r="L51" i="73"/>
  <c r="N51" i="73" s="1"/>
  <c r="H51" i="73"/>
  <c r="D51" i="73"/>
  <c r="X47" i="73"/>
  <c r="Z47" i="73" s="1"/>
  <c r="N47" i="73"/>
  <c r="L47" i="73"/>
  <c r="B47" i="73"/>
  <c r="X46" i="73"/>
  <c r="Z46" i="73" s="1"/>
  <c r="N46" i="73"/>
  <c r="L46" i="73"/>
  <c r="B46" i="73"/>
  <c r="X45" i="73"/>
  <c r="Z45" i="73" s="1"/>
  <c r="N45" i="73"/>
  <c r="L45" i="73"/>
  <c r="B45" i="73"/>
  <c r="Z44" i="73"/>
  <c r="X44" i="73"/>
  <c r="N44" i="73"/>
  <c r="L44" i="73"/>
  <c r="B44" i="73"/>
  <c r="X43" i="73"/>
  <c r="Z43" i="73" s="1"/>
  <c r="N43" i="73"/>
  <c r="L43" i="73"/>
  <c r="B43" i="73"/>
  <c r="X42" i="73"/>
  <c r="Z42" i="73" s="1"/>
  <c r="L42" i="73"/>
  <c r="N42" i="73" s="1"/>
  <c r="B42" i="73"/>
  <c r="X41" i="73"/>
  <c r="Z41" i="73" s="1"/>
  <c r="N41" i="73"/>
  <c r="L41" i="73"/>
  <c r="B41" i="73"/>
  <c r="Z40" i="73"/>
  <c r="X40" i="73"/>
  <c r="N40" i="73"/>
  <c r="L40" i="73"/>
  <c r="B40" i="73"/>
  <c r="X39" i="73"/>
  <c r="Z39" i="73" s="1"/>
  <c r="N39" i="73"/>
  <c r="L39" i="73"/>
  <c r="B39" i="73"/>
  <c r="X38" i="73"/>
  <c r="Z38" i="73" s="1"/>
  <c r="L38" i="73"/>
  <c r="N38" i="73" s="1"/>
  <c r="B38" i="73"/>
  <c r="X37" i="73"/>
  <c r="Z37" i="73" s="1"/>
  <c r="N37" i="73"/>
  <c r="L37" i="73"/>
  <c r="B37" i="73"/>
  <c r="Z36" i="73"/>
  <c r="X36" i="73"/>
  <c r="N36" i="73"/>
  <c r="L36" i="73"/>
  <c r="B36" i="73"/>
  <c r="X35" i="73"/>
  <c r="Z35" i="73" s="1"/>
  <c r="N35" i="73"/>
  <c r="L35" i="73"/>
  <c r="B35" i="73"/>
  <c r="X34" i="73"/>
  <c r="Z34" i="73" s="1"/>
  <c r="N34" i="73"/>
  <c r="L34" i="73"/>
  <c r="B34" i="73"/>
  <c r="X33" i="73"/>
  <c r="Z33" i="73" s="1"/>
  <c r="T33" i="73"/>
  <c r="P33" i="73"/>
  <c r="L33" i="73"/>
  <c r="H33" i="73"/>
  <c r="N33" i="73" s="1"/>
  <c r="D33" i="73"/>
  <c r="X31" i="73"/>
  <c r="Z31" i="73" s="1"/>
  <c r="T31" i="73"/>
  <c r="P31" i="73"/>
  <c r="H31" i="73"/>
  <c r="D31" i="73"/>
  <c r="L31" i="73" s="1"/>
  <c r="N31" i="73" s="1"/>
  <c r="B31" i="73"/>
  <c r="Z30" i="73"/>
  <c r="X30" i="73"/>
  <c r="T30" i="73"/>
  <c r="P30" i="73"/>
  <c r="H30" i="73"/>
  <c r="D30" i="73"/>
  <c r="L30" i="73" s="1"/>
  <c r="N30" i="73" s="1"/>
  <c r="B30" i="73"/>
  <c r="T29" i="73"/>
  <c r="P29" i="73"/>
  <c r="X29" i="73" s="1"/>
  <c r="H29" i="73"/>
  <c r="D29" i="73"/>
  <c r="L29" i="73" s="1"/>
  <c r="N29" i="73" s="1"/>
  <c r="B29" i="73"/>
  <c r="X28" i="73"/>
  <c r="Z28" i="73" s="1"/>
  <c r="T28" i="73"/>
  <c r="P28" i="73"/>
  <c r="L28" i="73"/>
  <c r="N28" i="73" s="1"/>
  <c r="H28" i="73"/>
  <c r="D28" i="73"/>
  <c r="B28" i="73"/>
  <c r="X27" i="73"/>
  <c r="Z27" i="73" s="1"/>
  <c r="T27" i="73"/>
  <c r="P27" i="73"/>
  <c r="H27" i="73"/>
  <c r="D27" i="73"/>
  <c r="L27" i="73" s="1"/>
  <c r="N27" i="73" s="1"/>
  <c r="B27" i="73"/>
  <c r="Z26" i="73"/>
  <c r="X26" i="73"/>
  <c r="T26" i="73"/>
  <c r="P26" i="73"/>
  <c r="H26" i="73"/>
  <c r="D26" i="73"/>
  <c r="L26" i="73" s="1"/>
  <c r="N26" i="73" s="1"/>
  <c r="B26" i="73"/>
  <c r="X25" i="73"/>
  <c r="T25" i="73"/>
  <c r="P25" i="73"/>
  <c r="H25" i="73"/>
  <c r="D25" i="73"/>
  <c r="L25" i="73" s="1"/>
  <c r="N25" i="73" s="1"/>
  <c r="B25" i="73"/>
  <c r="X24" i="73"/>
  <c r="Z24" i="73" s="1"/>
  <c r="T24" i="73"/>
  <c r="P24" i="73"/>
  <c r="L24" i="73"/>
  <c r="H24" i="73"/>
  <c r="N24" i="73" s="1"/>
  <c r="D24" i="73"/>
  <c r="B24" i="73"/>
  <c r="X23" i="73"/>
  <c r="Z23" i="73" s="1"/>
  <c r="T23" i="73"/>
  <c r="P23" i="73"/>
  <c r="N23" i="73"/>
  <c r="H23" i="73"/>
  <c r="D23" i="73"/>
  <c r="L23" i="73" s="1"/>
  <c r="B23" i="73"/>
  <c r="Z22" i="73"/>
  <c r="X22" i="73"/>
  <c r="T22" i="73"/>
  <c r="P22" i="73"/>
  <c r="H22" i="73"/>
  <c r="D22" i="73"/>
  <c r="L22" i="73" s="1"/>
  <c r="N22" i="73" s="1"/>
  <c r="B22" i="73"/>
  <c r="T21" i="73"/>
  <c r="P21" i="73"/>
  <c r="H21" i="73"/>
  <c r="D21" i="73"/>
  <c r="L21" i="73" s="1"/>
  <c r="N21" i="73" s="1"/>
  <c r="B21" i="73"/>
  <c r="X20" i="73"/>
  <c r="Z20" i="73" s="1"/>
  <c r="T20" i="73"/>
  <c r="P20" i="73"/>
  <c r="H20" i="73"/>
  <c r="D20" i="73"/>
  <c r="B20" i="73"/>
  <c r="X19" i="73"/>
  <c r="Z19" i="73" s="1"/>
  <c r="T19" i="73"/>
  <c r="P19" i="73"/>
  <c r="H19" i="73"/>
  <c r="D19" i="73"/>
  <c r="L19" i="73" s="1"/>
  <c r="N19" i="73" s="1"/>
  <c r="B19" i="73"/>
  <c r="Z18" i="73"/>
  <c r="X18" i="73"/>
  <c r="T18" i="73"/>
  <c r="P18" i="73"/>
  <c r="H18" i="73"/>
  <c r="D18" i="73"/>
  <c r="L18" i="73" s="1"/>
  <c r="N18" i="73" s="1"/>
  <c r="B18" i="73"/>
  <c r="T17" i="73"/>
  <c r="P17" i="73"/>
  <c r="X17" i="73" s="1"/>
  <c r="H17" i="73"/>
  <c r="D17" i="73"/>
  <c r="L17" i="73" s="1"/>
  <c r="N17" i="73" s="1"/>
  <c r="B17" i="73"/>
  <c r="X16" i="73"/>
  <c r="T16" i="73"/>
  <c r="Z16" i="73" s="1"/>
  <c r="P16" i="73"/>
  <c r="L16" i="73"/>
  <c r="N16" i="73" s="1"/>
  <c r="H16" i="73"/>
  <c r="H12" i="73" s="1"/>
  <c r="J67" i="73" s="1"/>
  <c r="D16" i="73"/>
  <c r="B16" i="73"/>
  <c r="X15" i="73"/>
  <c r="Z15" i="73" s="1"/>
  <c r="T15" i="73"/>
  <c r="P15" i="73"/>
  <c r="H15" i="73"/>
  <c r="D15" i="73"/>
  <c r="L15" i="73" s="1"/>
  <c r="N15" i="73" s="1"/>
  <c r="B15" i="73"/>
  <c r="Z14" i="73"/>
  <c r="X14" i="73"/>
  <c r="T14" i="73"/>
  <c r="P14" i="73"/>
  <c r="H14" i="73"/>
  <c r="D14" i="73"/>
  <c r="B14" i="73"/>
  <c r="X13" i="73"/>
  <c r="T13" i="73"/>
  <c r="P13" i="73"/>
  <c r="H13" i="73"/>
  <c r="D13" i="73"/>
  <c r="L13" i="73" s="1"/>
  <c r="N13" i="73" s="1"/>
  <c r="B13" i="73"/>
  <c r="D6" i="73"/>
  <c r="D4" i="73"/>
  <c r="Z69" i="72"/>
  <c r="X69" i="72"/>
  <c r="N69" i="72"/>
  <c r="L69" i="72"/>
  <c r="Z65" i="72"/>
  <c r="X65" i="72"/>
  <c r="T65" i="72"/>
  <c r="P65" i="72"/>
  <c r="N65" i="72"/>
  <c r="H65" i="72"/>
  <c r="D65" i="72"/>
  <c r="L65" i="72" s="1"/>
  <c r="Z63" i="72"/>
  <c r="X63" i="72"/>
  <c r="N63" i="72"/>
  <c r="L63" i="72"/>
  <c r="B63" i="72"/>
  <c r="X62" i="72"/>
  <c r="T62" i="72"/>
  <c r="P62" i="72"/>
  <c r="L62" i="72"/>
  <c r="N62" i="72" s="1"/>
  <c r="H62" i="72"/>
  <c r="D62" i="72"/>
  <c r="B62" i="72"/>
  <c r="Z61" i="72"/>
  <c r="X61" i="72"/>
  <c r="L61" i="72"/>
  <c r="N61" i="72" s="1"/>
  <c r="B61" i="72"/>
  <c r="Z60" i="72"/>
  <c r="X60" i="72"/>
  <c r="N60" i="72"/>
  <c r="L60" i="72"/>
  <c r="B60" i="72"/>
  <c r="Z59" i="72"/>
  <c r="X59" i="72"/>
  <c r="N59" i="72"/>
  <c r="L59" i="72"/>
  <c r="B59" i="72"/>
  <c r="Z58" i="72"/>
  <c r="X58" i="72"/>
  <c r="L58" i="72"/>
  <c r="N58" i="72" s="1"/>
  <c r="B58" i="72"/>
  <c r="T57" i="72"/>
  <c r="P57" i="72"/>
  <c r="H57" i="72"/>
  <c r="D57" i="72"/>
  <c r="L57" i="72" s="1"/>
  <c r="N57" i="72" s="1"/>
  <c r="B57" i="72"/>
  <c r="Z56" i="72"/>
  <c r="X56" i="72"/>
  <c r="L56" i="72"/>
  <c r="N56" i="72" s="1"/>
  <c r="B56" i="72"/>
  <c r="T55" i="72"/>
  <c r="P55" i="72"/>
  <c r="L55" i="72"/>
  <c r="N55" i="72" s="1"/>
  <c r="H55" i="72"/>
  <c r="D55" i="72"/>
  <c r="B55" i="72"/>
  <c r="X54" i="72"/>
  <c r="Z54" i="72" s="1"/>
  <c r="R54" i="72"/>
  <c r="N54" i="72"/>
  <c r="L54" i="72"/>
  <c r="B54" i="72"/>
  <c r="X53" i="72"/>
  <c r="Z53" i="72" s="1"/>
  <c r="T53" i="72"/>
  <c r="P53" i="72"/>
  <c r="H53" i="72"/>
  <c r="D53" i="72"/>
  <c r="B53" i="72"/>
  <c r="Z52" i="72"/>
  <c r="X52" i="72"/>
  <c r="N52" i="72"/>
  <c r="L52" i="72"/>
  <c r="B52" i="72"/>
  <c r="T51" i="72"/>
  <c r="P51" i="72"/>
  <c r="H51" i="72"/>
  <c r="D51" i="72"/>
  <c r="L51" i="72" s="1"/>
  <c r="N51" i="72" s="1"/>
  <c r="B51" i="72"/>
  <c r="X50" i="72"/>
  <c r="Z50" i="72" s="1"/>
  <c r="L50" i="72"/>
  <c r="N50" i="72" s="1"/>
  <c r="B50" i="72"/>
  <c r="T49" i="72"/>
  <c r="P49" i="72"/>
  <c r="X49" i="72" s="1"/>
  <c r="Z49" i="72" s="1"/>
  <c r="H49" i="72"/>
  <c r="D49" i="72"/>
  <c r="B49" i="72"/>
  <c r="X48" i="72"/>
  <c r="Z48" i="72" s="1"/>
  <c r="N48" i="72"/>
  <c r="L48" i="72"/>
  <c r="B48" i="72"/>
  <c r="Z47" i="72"/>
  <c r="X47" i="72"/>
  <c r="T47" i="72"/>
  <c r="P47" i="72"/>
  <c r="H47" i="72"/>
  <c r="D47" i="72"/>
  <c r="L47" i="72" s="1"/>
  <c r="N47" i="72" s="1"/>
  <c r="B47" i="72"/>
  <c r="Z46" i="72"/>
  <c r="X46" i="72"/>
  <c r="L46" i="72"/>
  <c r="N46" i="72" s="1"/>
  <c r="B46" i="72"/>
  <c r="T45" i="72"/>
  <c r="Z45" i="72" s="1"/>
  <c r="R45" i="72"/>
  <c r="P45" i="72"/>
  <c r="X45" i="72" s="1"/>
  <c r="N45" i="72"/>
  <c r="H45" i="72"/>
  <c r="D45" i="72"/>
  <c r="L45" i="72" s="1"/>
  <c r="B45" i="72"/>
  <c r="Z44" i="72"/>
  <c r="X44" i="72"/>
  <c r="L44" i="72"/>
  <c r="N44" i="72" s="1"/>
  <c r="B44" i="72"/>
  <c r="T43" i="72"/>
  <c r="P43" i="72"/>
  <c r="L43" i="72"/>
  <c r="N43" i="72" s="1"/>
  <c r="H43" i="72"/>
  <c r="D43" i="72"/>
  <c r="B43" i="72"/>
  <c r="X42" i="72"/>
  <c r="Z42" i="72" s="1"/>
  <c r="N42" i="72"/>
  <c r="L42" i="72"/>
  <c r="B42" i="72"/>
  <c r="X41" i="72"/>
  <c r="Z41" i="72" s="1"/>
  <c r="T41" i="72"/>
  <c r="P41" i="72"/>
  <c r="L41" i="72"/>
  <c r="N41" i="72" s="1"/>
  <c r="H41" i="72"/>
  <c r="D41" i="72"/>
  <c r="B41" i="72"/>
  <c r="Z40" i="72"/>
  <c r="X40" i="72"/>
  <c r="N40" i="72"/>
  <c r="L40" i="72"/>
  <c r="B40" i="72"/>
  <c r="Z39" i="72"/>
  <c r="X39" i="72"/>
  <c r="N39" i="72"/>
  <c r="L39" i="72"/>
  <c r="B39" i="72"/>
  <c r="Z38" i="72"/>
  <c r="X38" i="72"/>
  <c r="L38" i="72"/>
  <c r="N38" i="72" s="1"/>
  <c r="B38" i="72"/>
  <c r="Z37" i="72"/>
  <c r="X37" i="72"/>
  <c r="N37" i="72"/>
  <c r="L37" i="72"/>
  <c r="B37" i="72"/>
  <c r="X36" i="72"/>
  <c r="Z36" i="72" s="1"/>
  <c r="L36" i="72"/>
  <c r="N36" i="72" s="1"/>
  <c r="B36" i="72"/>
  <c r="T35" i="72"/>
  <c r="R35" i="72"/>
  <c r="P35" i="72"/>
  <c r="H35" i="72"/>
  <c r="N35" i="72" s="1"/>
  <c r="D35" i="72"/>
  <c r="L35" i="72" s="1"/>
  <c r="B35" i="72"/>
  <c r="X34" i="72"/>
  <c r="Z34" i="72" s="1"/>
  <c r="R34" i="72"/>
  <c r="N34" i="72"/>
  <c r="L34" i="72"/>
  <c r="B34" i="72"/>
  <c r="Z33" i="72"/>
  <c r="X33" i="72"/>
  <c r="L33" i="72"/>
  <c r="N33" i="72" s="1"/>
  <c r="J33" i="72"/>
  <c r="B33" i="72"/>
  <c r="X32" i="72"/>
  <c r="Z32" i="72" s="1"/>
  <c r="N32" i="72"/>
  <c r="L32" i="72"/>
  <c r="B32" i="72"/>
  <c r="Z31" i="72"/>
  <c r="X31" i="72"/>
  <c r="L31" i="72"/>
  <c r="N31" i="72" s="1"/>
  <c r="B31" i="72"/>
  <c r="X30" i="72"/>
  <c r="Z30" i="72" s="1"/>
  <c r="V30" i="72"/>
  <c r="R30" i="72"/>
  <c r="N30" i="72"/>
  <c r="L30" i="72"/>
  <c r="B30" i="72"/>
  <c r="Z29" i="72"/>
  <c r="X29" i="72"/>
  <c r="L29" i="72"/>
  <c r="N29" i="72" s="1"/>
  <c r="B29" i="72"/>
  <c r="X28" i="72"/>
  <c r="Z28" i="72" s="1"/>
  <c r="L28" i="72"/>
  <c r="N28" i="72" s="1"/>
  <c r="B28" i="72"/>
  <c r="Z27" i="72"/>
  <c r="X27" i="72"/>
  <c r="L27" i="72"/>
  <c r="N27" i="72" s="1"/>
  <c r="B27" i="72"/>
  <c r="T26" i="72"/>
  <c r="P26" i="72"/>
  <c r="H26" i="72"/>
  <c r="D26" i="72"/>
  <c r="B26" i="72"/>
  <c r="X25" i="72"/>
  <c r="Z25" i="72" s="1"/>
  <c r="V25" i="72"/>
  <c r="T25" i="72"/>
  <c r="P25" i="72"/>
  <c r="H25" i="72"/>
  <c r="D25" i="72"/>
  <c r="L25" i="72" s="1"/>
  <c r="N25" i="72" s="1"/>
  <c r="X21" i="72"/>
  <c r="Z21" i="72" s="1"/>
  <c r="L21" i="72"/>
  <c r="N21" i="72" s="1"/>
  <c r="B21" i="72"/>
  <c r="X20" i="72"/>
  <c r="Z20" i="72" s="1"/>
  <c r="L20" i="72"/>
  <c r="N20" i="72" s="1"/>
  <c r="B20" i="72"/>
  <c r="T19" i="72"/>
  <c r="P19" i="72"/>
  <c r="X19" i="72" s="1"/>
  <c r="Z19" i="72" s="1"/>
  <c r="L19" i="72"/>
  <c r="N19" i="72" s="1"/>
  <c r="H19" i="72"/>
  <c r="D19" i="72"/>
  <c r="T17" i="72"/>
  <c r="P17" i="72"/>
  <c r="H17" i="72"/>
  <c r="D17" i="72"/>
  <c r="L17" i="72" s="1"/>
  <c r="B17" i="72"/>
  <c r="T16" i="72"/>
  <c r="P16" i="72"/>
  <c r="X16" i="72" s="1"/>
  <c r="Z16" i="72" s="1"/>
  <c r="N16" i="72"/>
  <c r="L16" i="72"/>
  <c r="H16" i="72"/>
  <c r="D16" i="72"/>
  <c r="B16" i="72"/>
  <c r="T15" i="72"/>
  <c r="P15" i="72"/>
  <c r="H15" i="72"/>
  <c r="N15" i="72" s="1"/>
  <c r="D15" i="72"/>
  <c r="L15" i="72" s="1"/>
  <c r="B15" i="72"/>
  <c r="T14" i="72"/>
  <c r="P14" i="72"/>
  <c r="P12" i="72" s="1"/>
  <c r="L14" i="72"/>
  <c r="N14" i="72" s="1"/>
  <c r="H14" i="72"/>
  <c r="D14" i="72"/>
  <c r="B14" i="72"/>
  <c r="T13" i="72"/>
  <c r="T12" i="72" s="1"/>
  <c r="V50" i="72" s="1"/>
  <c r="P13" i="72"/>
  <c r="H13" i="72"/>
  <c r="H12" i="72" s="1"/>
  <c r="D13" i="72"/>
  <c r="B13" i="72"/>
  <c r="D6" i="72"/>
  <c r="D4" i="72"/>
  <c r="F29" i="71"/>
  <c r="F26" i="71"/>
  <c r="Z24" i="71"/>
  <c r="X24" i="71"/>
  <c r="N24" i="71"/>
  <c r="L24" i="71"/>
  <c r="J24" i="71"/>
  <c r="F24" i="71"/>
  <c r="R22" i="71"/>
  <c r="F22" i="71"/>
  <c r="T20" i="71"/>
  <c r="Z20" i="71" s="1"/>
  <c r="R20" i="71"/>
  <c r="P20" i="71"/>
  <c r="X20" i="71" s="1"/>
  <c r="H20" i="71"/>
  <c r="N20" i="71" s="1"/>
  <c r="F20" i="71"/>
  <c r="D20" i="71"/>
  <c r="L20" i="71" s="1"/>
  <c r="T18" i="71"/>
  <c r="Z18" i="71" s="1"/>
  <c r="R18" i="71"/>
  <c r="P18" i="71"/>
  <c r="X18" i="71" s="1"/>
  <c r="H18" i="71"/>
  <c r="N18" i="71" s="1"/>
  <c r="F18" i="71"/>
  <c r="D18" i="71"/>
  <c r="L18" i="71" s="1"/>
  <c r="R16" i="71"/>
  <c r="F16" i="71"/>
  <c r="T14" i="71"/>
  <c r="Z14" i="71" s="1"/>
  <c r="R14" i="71"/>
  <c r="P14" i="71"/>
  <c r="H14" i="71"/>
  <c r="H16" i="71" s="1"/>
  <c r="F14" i="71"/>
  <c r="D14" i="71"/>
  <c r="L14" i="71" s="1"/>
  <c r="T12" i="71"/>
  <c r="Z12" i="71" s="1"/>
  <c r="P12" i="71"/>
  <c r="R24" i="71" s="1"/>
  <c r="N12" i="71"/>
  <c r="L12" i="71"/>
  <c r="H12" i="71"/>
  <c r="J22" i="71" s="1"/>
  <c r="D12" i="71"/>
  <c r="D6" i="71"/>
  <c r="D4" i="71"/>
  <c r="X109" i="70"/>
  <c r="Z109" i="70" s="1"/>
  <c r="L109" i="70"/>
  <c r="N109" i="70" s="1"/>
  <c r="T105" i="70"/>
  <c r="P105" i="70"/>
  <c r="X105" i="70" s="1"/>
  <c r="H105" i="70"/>
  <c r="N105" i="70" s="1"/>
  <c r="D105" i="70"/>
  <c r="L105" i="70" s="1"/>
  <c r="B105" i="70"/>
  <c r="T104" i="70"/>
  <c r="P104" i="70"/>
  <c r="X104" i="70" s="1"/>
  <c r="H104" i="70"/>
  <c r="D104" i="70"/>
  <c r="D103" i="70" s="1"/>
  <c r="B104" i="70"/>
  <c r="T103" i="70"/>
  <c r="H103" i="70"/>
  <c r="Z101" i="70"/>
  <c r="X101" i="70"/>
  <c r="N101" i="70"/>
  <c r="L101" i="70"/>
  <c r="B101" i="70"/>
  <c r="Z100" i="70"/>
  <c r="T100" i="70"/>
  <c r="P100" i="70"/>
  <c r="X100" i="70" s="1"/>
  <c r="H100" i="70"/>
  <c r="N100" i="70" s="1"/>
  <c r="D100" i="70"/>
  <c r="L100" i="70" s="1"/>
  <c r="B100" i="70"/>
  <c r="Z99" i="70"/>
  <c r="X99" i="70"/>
  <c r="L99" i="70"/>
  <c r="N99" i="70" s="1"/>
  <c r="B99" i="70"/>
  <c r="X98" i="70"/>
  <c r="Z98" i="70" s="1"/>
  <c r="T98" i="70"/>
  <c r="P98" i="70"/>
  <c r="H98" i="70"/>
  <c r="D98" i="70"/>
  <c r="L98" i="70" s="1"/>
  <c r="N98" i="70" s="1"/>
  <c r="B98" i="70"/>
  <c r="Z97" i="70"/>
  <c r="X97" i="70"/>
  <c r="L97" i="70"/>
  <c r="N97" i="70" s="1"/>
  <c r="B97" i="70"/>
  <c r="X96" i="70"/>
  <c r="Z96" i="70" s="1"/>
  <c r="N96" i="70"/>
  <c r="L96" i="70"/>
  <c r="B96" i="70"/>
  <c r="T95" i="70"/>
  <c r="P95" i="70"/>
  <c r="X95" i="70" s="1"/>
  <c r="Z95" i="70" s="1"/>
  <c r="L95" i="70"/>
  <c r="N95" i="70" s="1"/>
  <c r="H95" i="70"/>
  <c r="D95" i="70"/>
  <c r="B95" i="70"/>
  <c r="Z94" i="70"/>
  <c r="X94" i="70"/>
  <c r="N94" i="70"/>
  <c r="L94" i="70"/>
  <c r="B94" i="70"/>
  <c r="X93" i="70"/>
  <c r="Z93" i="70" s="1"/>
  <c r="N93" i="70"/>
  <c r="L93" i="70"/>
  <c r="B93" i="70"/>
  <c r="Z92" i="70"/>
  <c r="X92" i="70"/>
  <c r="L92" i="70"/>
  <c r="N92" i="70" s="1"/>
  <c r="B92" i="70"/>
  <c r="T91" i="70"/>
  <c r="P91" i="70"/>
  <c r="H91" i="70"/>
  <c r="D91" i="70"/>
  <c r="B91" i="70"/>
  <c r="X90" i="70"/>
  <c r="Z90" i="70" s="1"/>
  <c r="L90" i="70"/>
  <c r="N90" i="70" s="1"/>
  <c r="B90" i="70"/>
  <c r="T89" i="70"/>
  <c r="P89" i="70"/>
  <c r="X89" i="70" s="1"/>
  <c r="H89" i="70"/>
  <c r="N89" i="70" s="1"/>
  <c r="D89" i="70"/>
  <c r="L89" i="70" s="1"/>
  <c r="B89" i="70"/>
  <c r="X88" i="70"/>
  <c r="Z88" i="70" s="1"/>
  <c r="N88" i="70"/>
  <c r="L88" i="70"/>
  <c r="B88" i="70"/>
  <c r="T87" i="70"/>
  <c r="P87" i="70"/>
  <c r="X87" i="70" s="1"/>
  <c r="Z87" i="70" s="1"/>
  <c r="L87" i="70"/>
  <c r="N87" i="70" s="1"/>
  <c r="H87" i="70"/>
  <c r="D87" i="70"/>
  <c r="B87" i="70"/>
  <c r="Z86" i="70"/>
  <c r="X86" i="70"/>
  <c r="L86" i="70"/>
  <c r="N86" i="70" s="1"/>
  <c r="B86" i="70"/>
  <c r="T85" i="70"/>
  <c r="P85" i="70"/>
  <c r="H85" i="70"/>
  <c r="D85" i="70"/>
  <c r="B85" i="70"/>
  <c r="X84" i="70"/>
  <c r="Z84" i="70" s="1"/>
  <c r="N84" i="70"/>
  <c r="L84" i="70"/>
  <c r="B84" i="70"/>
  <c r="T83" i="70"/>
  <c r="Z83" i="70" s="1"/>
  <c r="P83" i="70"/>
  <c r="X83" i="70" s="1"/>
  <c r="H83" i="70"/>
  <c r="N83" i="70" s="1"/>
  <c r="D83" i="70"/>
  <c r="L83" i="70" s="1"/>
  <c r="B83" i="70"/>
  <c r="Z82" i="70"/>
  <c r="X82" i="70"/>
  <c r="N82" i="70"/>
  <c r="L82" i="70"/>
  <c r="B82" i="70"/>
  <c r="Z81" i="70"/>
  <c r="X81" i="70"/>
  <c r="T81" i="70"/>
  <c r="P81" i="70"/>
  <c r="H81" i="70"/>
  <c r="D81" i="70"/>
  <c r="L81" i="70" s="1"/>
  <c r="N81" i="70" s="1"/>
  <c r="B81" i="70"/>
  <c r="Z80" i="70"/>
  <c r="X80" i="70"/>
  <c r="L80" i="70"/>
  <c r="N80" i="70" s="1"/>
  <c r="B80" i="70"/>
  <c r="T79" i="70"/>
  <c r="P79" i="70"/>
  <c r="H79" i="70"/>
  <c r="D79" i="70"/>
  <c r="B79" i="70"/>
  <c r="Z78" i="70"/>
  <c r="X78" i="70"/>
  <c r="N78" i="70"/>
  <c r="L78" i="70"/>
  <c r="B78" i="70"/>
  <c r="T77" i="70"/>
  <c r="Z77" i="70" s="1"/>
  <c r="P77" i="70"/>
  <c r="X77" i="70" s="1"/>
  <c r="H77" i="70"/>
  <c r="N77" i="70" s="1"/>
  <c r="D77" i="70"/>
  <c r="L77" i="70" s="1"/>
  <c r="B77" i="70"/>
  <c r="X76" i="70"/>
  <c r="Z76" i="70" s="1"/>
  <c r="N76" i="70"/>
  <c r="L76" i="70"/>
  <c r="B76" i="70"/>
  <c r="X75" i="70"/>
  <c r="Z75" i="70" s="1"/>
  <c r="L75" i="70"/>
  <c r="N75" i="70" s="1"/>
  <c r="B75" i="70"/>
  <c r="T74" i="70"/>
  <c r="P74" i="70"/>
  <c r="X74" i="70" s="1"/>
  <c r="H74" i="70"/>
  <c r="D74" i="70"/>
  <c r="B74" i="70"/>
  <c r="X73" i="70"/>
  <c r="Z73" i="70" s="1"/>
  <c r="N73" i="70"/>
  <c r="L73" i="70"/>
  <c r="B73" i="70"/>
  <c r="Z72" i="70"/>
  <c r="T72" i="70"/>
  <c r="P72" i="70"/>
  <c r="X72" i="70" s="1"/>
  <c r="H72" i="70"/>
  <c r="D72" i="70"/>
  <c r="L72" i="70" s="1"/>
  <c r="B72" i="70"/>
  <c r="Z71" i="70"/>
  <c r="X71" i="70"/>
  <c r="L71" i="70"/>
  <c r="N71" i="70" s="1"/>
  <c r="B71" i="70"/>
  <c r="Z70" i="70"/>
  <c r="X70" i="70"/>
  <c r="N70" i="70"/>
  <c r="L70" i="70"/>
  <c r="B70" i="70"/>
  <c r="Z69" i="70"/>
  <c r="X69" i="70"/>
  <c r="N69" i="70"/>
  <c r="L69" i="70"/>
  <c r="B69" i="70"/>
  <c r="X68" i="70"/>
  <c r="Z68" i="70" s="1"/>
  <c r="L68" i="70"/>
  <c r="N68" i="70" s="1"/>
  <c r="B68" i="70"/>
  <c r="Z67" i="70"/>
  <c r="X67" i="70"/>
  <c r="L67" i="70"/>
  <c r="N67" i="70" s="1"/>
  <c r="B67" i="70"/>
  <c r="Z66" i="70"/>
  <c r="X66" i="70"/>
  <c r="N66" i="70"/>
  <c r="L66" i="70"/>
  <c r="B66" i="70"/>
  <c r="T65" i="70"/>
  <c r="Z65" i="70" s="1"/>
  <c r="P65" i="70"/>
  <c r="X65" i="70" s="1"/>
  <c r="H65" i="70"/>
  <c r="D65" i="70"/>
  <c r="L65" i="70" s="1"/>
  <c r="B65" i="70"/>
  <c r="X64" i="70"/>
  <c r="Z64" i="70" s="1"/>
  <c r="N64" i="70"/>
  <c r="L64" i="70"/>
  <c r="B64" i="70"/>
  <c r="X63" i="70"/>
  <c r="Z63" i="70" s="1"/>
  <c r="L63" i="70"/>
  <c r="N63" i="70" s="1"/>
  <c r="B63" i="70"/>
  <c r="Z62" i="70"/>
  <c r="X62" i="70"/>
  <c r="N62" i="70"/>
  <c r="L62" i="70"/>
  <c r="B62" i="70"/>
  <c r="Z61" i="70"/>
  <c r="X61" i="70"/>
  <c r="L61" i="70"/>
  <c r="N61" i="70" s="1"/>
  <c r="B61" i="70"/>
  <c r="X60" i="70"/>
  <c r="Z60" i="70" s="1"/>
  <c r="N60" i="70"/>
  <c r="L60" i="70"/>
  <c r="B60" i="70"/>
  <c r="X59" i="70"/>
  <c r="Z59" i="70" s="1"/>
  <c r="L59" i="70"/>
  <c r="N59" i="70" s="1"/>
  <c r="B59" i="70"/>
  <c r="Z58" i="70"/>
  <c r="X58" i="70"/>
  <c r="N58" i="70"/>
  <c r="L58" i="70"/>
  <c r="B58" i="70"/>
  <c r="X57" i="70"/>
  <c r="Z57" i="70" s="1"/>
  <c r="L57" i="70"/>
  <c r="N57" i="70" s="1"/>
  <c r="B57" i="70"/>
  <c r="X56" i="70"/>
  <c r="Z56" i="70" s="1"/>
  <c r="N56" i="70"/>
  <c r="L56" i="70"/>
  <c r="B56" i="70"/>
  <c r="T55" i="70"/>
  <c r="P55" i="70"/>
  <c r="X55" i="70" s="1"/>
  <c r="Z55" i="70" s="1"/>
  <c r="L55" i="70"/>
  <c r="N55" i="70" s="1"/>
  <c r="H55" i="70"/>
  <c r="D55" i="70"/>
  <c r="B55" i="70"/>
  <c r="T54" i="70"/>
  <c r="P54" i="70"/>
  <c r="X54" i="70" s="1"/>
  <c r="H54" i="70"/>
  <c r="D54" i="70"/>
  <c r="L54" i="70" s="1"/>
  <c r="N54" i="70" s="1"/>
  <c r="Z50" i="70"/>
  <c r="X50" i="70"/>
  <c r="L50" i="70"/>
  <c r="N50" i="70" s="1"/>
  <c r="B50" i="70"/>
  <c r="X49" i="70"/>
  <c r="Z49" i="70" s="1"/>
  <c r="N49" i="70"/>
  <c r="L49" i="70"/>
  <c r="B49" i="70"/>
  <c r="Z48" i="70"/>
  <c r="X48" i="70"/>
  <c r="L48" i="70"/>
  <c r="N48" i="70" s="1"/>
  <c r="B48" i="70"/>
  <c r="X47" i="70"/>
  <c r="Z47" i="70" s="1"/>
  <c r="N47" i="70"/>
  <c r="L47" i="70"/>
  <c r="B47" i="70"/>
  <c r="Z46" i="70"/>
  <c r="X46" i="70"/>
  <c r="L46" i="70"/>
  <c r="N46" i="70" s="1"/>
  <c r="B46" i="70"/>
  <c r="X45" i="70"/>
  <c r="Z45" i="70" s="1"/>
  <c r="N45" i="70"/>
  <c r="L45" i="70"/>
  <c r="B45" i="70"/>
  <c r="Z44" i="70"/>
  <c r="X44" i="70"/>
  <c r="L44" i="70"/>
  <c r="N44" i="70" s="1"/>
  <c r="B44" i="70"/>
  <c r="X43" i="70"/>
  <c r="Z43" i="70" s="1"/>
  <c r="N43" i="70"/>
  <c r="L43" i="70"/>
  <c r="B43" i="70"/>
  <c r="Z42" i="70"/>
  <c r="X42" i="70"/>
  <c r="L42" i="70"/>
  <c r="N42" i="70" s="1"/>
  <c r="B42" i="70"/>
  <c r="X41" i="70"/>
  <c r="Z41" i="70" s="1"/>
  <c r="N41" i="70"/>
  <c r="L41" i="70"/>
  <c r="B41" i="70"/>
  <c r="Z40" i="70"/>
  <c r="X40" i="70"/>
  <c r="L40" i="70"/>
  <c r="N40" i="70" s="1"/>
  <c r="B40" i="70"/>
  <c r="X39" i="70"/>
  <c r="Z39" i="70" s="1"/>
  <c r="N39" i="70"/>
  <c r="L39" i="70"/>
  <c r="B39" i="70"/>
  <c r="Z38" i="70"/>
  <c r="X38" i="70"/>
  <c r="L38" i="70"/>
  <c r="N38" i="70" s="1"/>
  <c r="B38" i="70"/>
  <c r="T37" i="70"/>
  <c r="P37" i="70"/>
  <c r="H37" i="70"/>
  <c r="D37" i="70"/>
  <c r="T35" i="70"/>
  <c r="P35" i="70"/>
  <c r="X35" i="70" s="1"/>
  <c r="H35" i="70"/>
  <c r="N35" i="70" s="1"/>
  <c r="D35" i="70"/>
  <c r="L35" i="70" s="1"/>
  <c r="B35" i="70"/>
  <c r="T34" i="70"/>
  <c r="X34" i="70" s="1"/>
  <c r="Z34" i="70" s="1"/>
  <c r="P34" i="70"/>
  <c r="L34" i="70"/>
  <c r="H34" i="70"/>
  <c r="N34" i="70" s="1"/>
  <c r="D34" i="70"/>
  <c r="B34" i="70"/>
  <c r="T33" i="70"/>
  <c r="P33" i="70"/>
  <c r="X33" i="70" s="1"/>
  <c r="H33" i="70"/>
  <c r="D33" i="70"/>
  <c r="L33" i="70" s="1"/>
  <c r="N33" i="70" s="1"/>
  <c r="B33" i="70"/>
  <c r="T32" i="70"/>
  <c r="P32" i="70"/>
  <c r="X32" i="70" s="1"/>
  <c r="Z32" i="70" s="1"/>
  <c r="L32" i="70"/>
  <c r="H32" i="70"/>
  <c r="D32" i="70"/>
  <c r="B32" i="70"/>
  <c r="T31" i="70"/>
  <c r="Z31" i="70" s="1"/>
  <c r="P31" i="70"/>
  <c r="X31" i="70" s="1"/>
  <c r="H31" i="70"/>
  <c r="N31" i="70" s="1"/>
  <c r="D31" i="70"/>
  <c r="L31" i="70" s="1"/>
  <c r="B31" i="70"/>
  <c r="Z30" i="70"/>
  <c r="T30" i="70"/>
  <c r="X30" i="70" s="1"/>
  <c r="P30" i="70"/>
  <c r="L30" i="70"/>
  <c r="H30" i="70"/>
  <c r="N30" i="70" s="1"/>
  <c r="D30" i="70"/>
  <c r="B30" i="70"/>
  <c r="T29" i="70"/>
  <c r="P29" i="70"/>
  <c r="H29" i="70"/>
  <c r="D29" i="70"/>
  <c r="L29" i="70" s="1"/>
  <c r="N29" i="70" s="1"/>
  <c r="B29" i="70"/>
  <c r="T28" i="70"/>
  <c r="P28" i="70"/>
  <c r="X28" i="70" s="1"/>
  <c r="Z28" i="70" s="1"/>
  <c r="H28" i="70"/>
  <c r="D28" i="70"/>
  <c r="B28" i="70"/>
  <c r="T27" i="70"/>
  <c r="P27" i="70"/>
  <c r="X27" i="70" s="1"/>
  <c r="H27" i="70"/>
  <c r="D27" i="70"/>
  <c r="L27" i="70" s="1"/>
  <c r="B27" i="70"/>
  <c r="Z26" i="70"/>
  <c r="T26" i="70"/>
  <c r="X26" i="70" s="1"/>
  <c r="P26" i="70"/>
  <c r="L26" i="70"/>
  <c r="H26" i="70"/>
  <c r="N26" i="70" s="1"/>
  <c r="D26" i="70"/>
  <c r="B26" i="70"/>
  <c r="T25" i="70"/>
  <c r="P25" i="70"/>
  <c r="X25" i="70" s="1"/>
  <c r="H25" i="70"/>
  <c r="D25" i="70"/>
  <c r="L25" i="70" s="1"/>
  <c r="N25" i="70" s="1"/>
  <c r="B25" i="70"/>
  <c r="T24" i="70"/>
  <c r="P24" i="70"/>
  <c r="X24" i="70" s="1"/>
  <c r="Z24" i="70" s="1"/>
  <c r="H24" i="70"/>
  <c r="D24" i="70"/>
  <c r="B24" i="70"/>
  <c r="T23" i="70"/>
  <c r="Z23" i="70" s="1"/>
  <c r="P23" i="70"/>
  <c r="X23" i="70" s="1"/>
  <c r="H23" i="70"/>
  <c r="N23" i="70" s="1"/>
  <c r="D23" i="70"/>
  <c r="L23" i="70" s="1"/>
  <c r="B23" i="70"/>
  <c r="Z22" i="70"/>
  <c r="T22" i="70"/>
  <c r="X22" i="70" s="1"/>
  <c r="P22" i="70"/>
  <c r="L22" i="70"/>
  <c r="H22" i="70"/>
  <c r="N22" i="70" s="1"/>
  <c r="D22" i="70"/>
  <c r="B22" i="70"/>
  <c r="T21" i="70"/>
  <c r="P21" i="70"/>
  <c r="H21" i="70"/>
  <c r="D21" i="70"/>
  <c r="L21" i="70" s="1"/>
  <c r="N21" i="70" s="1"/>
  <c r="B21" i="70"/>
  <c r="T20" i="70"/>
  <c r="P20" i="70"/>
  <c r="X20" i="70" s="1"/>
  <c r="Z20" i="70" s="1"/>
  <c r="L20" i="70"/>
  <c r="H20" i="70"/>
  <c r="D20" i="70"/>
  <c r="B20" i="70"/>
  <c r="T19" i="70"/>
  <c r="Z19" i="70" s="1"/>
  <c r="P19" i="70"/>
  <c r="X19" i="70" s="1"/>
  <c r="H19" i="70"/>
  <c r="D19" i="70"/>
  <c r="L19" i="70" s="1"/>
  <c r="B19" i="70"/>
  <c r="T18" i="70"/>
  <c r="X18" i="70" s="1"/>
  <c r="Z18" i="70" s="1"/>
  <c r="P18" i="70"/>
  <c r="L18" i="70"/>
  <c r="H18" i="70"/>
  <c r="N18" i="70" s="1"/>
  <c r="D18" i="70"/>
  <c r="B18" i="70"/>
  <c r="T17" i="70"/>
  <c r="P17" i="70"/>
  <c r="L17" i="70"/>
  <c r="N17" i="70" s="1"/>
  <c r="H17" i="70"/>
  <c r="D17" i="70"/>
  <c r="B17" i="70"/>
  <c r="T16" i="70"/>
  <c r="P16" i="70"/>
  <c r="X16" i="70" s="1"/>
  <c r="Z16" i="70" s="1"/>
  <c r="L16" i="70"/>
  <c r="H16" i="70"/>
  <c r="D16" i="70"/>
  <c r="B16" i="70"/>
  <c r="T15" i="70"/>
  <c r="Z15" i="70" s="1"/>
  <c r="P15" i="70"/>
  <c r="X15" i="70" s="1"/>
  <c r="H15" i="70"/>
  <c r="D15" i="70"/>
  <c r="L15" i="70" s="1"/>
  <c r="B15" i="70"/>
  <c r="T14" i="70"/>
  <c r="X14" i="70" s="1"/>
  <c r="Z14" i="70" s="1"/>
  <c r="P14" i="70"/>
  <c r="L14" i="70"/>
  <c r="H14" i="70"/>
  <c r="N14" i="70" s="1"/>
  <c r="D14" i="70"/>
  <c r="B14" i="70"/>
  <c r="T13" i="70"/>
  <c r="P13" i="70"/>
  <c r="N13" i="70"/>
  <c r="L13" i="70"/>
  <c r="H13" i="70"/>
  <c r="D13" i="70"/>
  <c r="D12" i="70" s="1"/>
  <c r="B13" i="70"/>
  <c r="D6" i="70"/>
  <c r="D4" i="70"/>
  <c r="X64" i="69"/>
  <c r="Z64" i="69" s="1"/>
  <c r="L64" i="69"/>
  <c r="N64" i="69" s="1"/>
  <c r="Z60" i="69"/>
  <c r="T60" i="69"/>
  <c r="P60" i="69"/>
  <c r="X60" i="69" s="1"/>
  <c r="H60" i="69"/>
  <c r="N60" i="69" s="1"/>
  <c r="D60" i="69"/>
  <c r="L60" i="69" s="1"/>
  <c r="Z58" i="69"/>
  <c r="X58" i="69"/>
  <c r="L58" i="69"/>
  <c r="N58" i="69" s="1"/>
  <c r="B58" i="69"/>
  <c r="X57" i="69"/>
  <c r="T57" i="69"/>
  <c r="P57" i="69"/>
  <c r="H57" i="69"/>
  <c r="D57" i="69"/>
  <c r="L57" i="69" s="1"/>
  <c r="B57" i="69"/>
  <c r="Z56" i="69"/>
  <c r="X56" i="69"/>
  <c r="N56" i="69"/>
  <c r="L56" i="69"/>
  <c r="B56" i="69"/>
  <c r="X55" i="69"/>
  <c r="Z55" i="69" s="1"/>
  <c r="N55" i="69"/>
  <c r="L55" i="69"/>
  <c r="B55" i="69"/>
  <c r="X54" i="69"/>
  <c r="Z54" i="69" s="1"/>
  <c r="L54" i="69"/>
  <c r="N54" i="69" s="1"/>
  <c r="B54" i="69"/>
  <c r="X53" i="69"/>
  <c r="T53" i="69"/>
  <c r="Z53" i="69" s="1"/>
  <c r="P53" i="69"/>
  <c r="H53" i="69"/>
  <c r="D53" i="69"/>
  <c r="L53" i="69" s="1"/>
  <c r="B53" i="69"/>
  <c r="Z52" i="69"/>
  <c r="X52" i="69"/>
  <c r="N52" i="69"/>
  <c r="L52" i="69"/>
  <c r="B52" i="69"/>
  <c r="Z51" i="69"/>
  <c r="X51" i="69"/>
  <c r="L51" i="69"/>
  <c r="N51" i="69" s="1"/>
  <c r="B51" i="69"/>
  <c r="T50" i="69"/>
  <c r="P50" i="69"/>
  <c r="H50" i="69"/>
  <c r="D50" i="69"/>
  <c r="L50" i="69" s="1"/>
  <c r="N50" i="69" s="1"/>
  <c r="B50" i="69"/>
  <c r="Z49" i="69"/>
  <c r="X49" i="69"/>
  <c r="L49" i="69"/>
  <c r="N49" i="69" s="1"/>
  <c r="B49" i="69"/>
  <c r="Z48" i="69"/>
  <c r="X48" i="69"/>
  <c r="N48" i="69"/>
  <c r="L48" i="69"/>
  <c r="B48" i="69"/>
  <c r="T47" i="69"/>
  <c r="Z47" i="69" s="1"/>
  <c r="P47" i="69"/>
  <c r="X47" i="69" s="1"/>
  <c r="H47" i="69"/>
  <c r="D47" i="69"/>
  <c r="B47" i="69"/>
  <c r="X46" i="69"/>
  <c r="Z46" i="69" s="1"/>
  <c r="L46" i="69"/>
  <c r="N46" i="69" s="1"/>
  <c r="J46" i="69"/>
  <c r="B46" i="69"/>
  <c r="X45" i="69"/>
  <c r="T45" i="69"/>
  <c r="Z45" i="69" s="1"/>
  <c r="P45" i="69"/>
  <c r="H45" i="69"/>
  <c r="D45" i="69"/>
  <c r="B45" i="69"/>
  <c r="X44" i="69"/>
  <c r="Z44" i="69" s="1"/>
  <c r="L44" i="69"/>
  <c r="N44" i="69" s="1"/>
  <c r="B44" i="69"/>
  <c r="Z43" i="69"/>
  <c r="X43" i="69"/>
  <c r="T43" i="69"/>
  <c r="P43" i="69"/>
  <c r="H43" i="69"/>
  <c r="N43" i="69" s="1"/>
  <c r="D43" i="69"/>
  <c r="L43" i="69" s="1"/>
  <c r="B43" i="69"/>
  <c r="Z42" i="69"/>
  <c r="X42" i="69"/>
  <c r="L42" i="69"/>
  <c r="N42" i="69" s="1"/>
  <c r="B42" i="69"/>
  <c r="T41" i="69"/>
  <c r="P41" i="69"/>
  <c r="H41" i="69"/>
  <c r="D41" i="69"/>
  <c r="L41" i="69" s="1"/>
  <c r="N41" i="69" s="1"/>
  <c r="B41" i="69"/>
  <c r="X40" i="69"/>
  <c r="Z40" i="69" s="1"/>
  <c r="V40" i="69"/>
  <c r="L40" i="69"/>
  <c r="N40" i="69" s="1"/>
  <c r="B40" i="69"/>
  <c r="T39" i="69"/>
  <c r="P39" i="69"/>
  <c r="X39" i="69" s="1"/>
  <c r="L39" i="69"/>
  <c r="H39" i="69"/>
  <c r="N39" i="69" s="1"/>
  <c r="D39" i="69"/>
  <c r="B39" i="69"/>
  <c r="X38" i="69"/>
  <c r="Z38" i="69" s="1"/>
  <c r="V38" i="69"/>
  <c r="N38" i="69"/>
  <c r="L38" i="69"/>
  <c r="B38" i="69"/>
  <c r="T37" i="69"/>
  <c r="Z37" i="69" s="1"/>
  <c r="P37" i="69"/>
  <c r="X37" i="69" s="1"/>
  <c r="N37" i="69"/>
  <c r="L37" i="69"/>
  <c r="H37" i="69"/>
  <c r="D37" i="69"/>
  <c r="B37" i="69"/>
  <c r="X36" i="69"/>
  <c r="Z36" i="69" s="1"/>
  <c r="L36" i="69"/>
  <c r="N36" i="69" s="1"/>
  <c r="B36" i="69"/>
  <c r="Z35" i="69"/>
  <c r="X35" i="69"/>
  <c r="L35" i="69"/>
  <c r="N35" i="69" s="1"/>
  <c r="B35" i="69"/>
  <c r="Z34" i="69"/>
  <c r="X34" i="69"/>
  <c r="L34" i="69"/>
  <c r="N34" i="69" s="1"/>
  <c r="B34" i="69"/>
  <c r="X33" i="69"/>
  <c r="Z33" i="69" s="1"/>
  <c r="L33" i="69"/>
  <c r="N33" i="69" s="1"/>
  <c r="B33" i="69"/>
  <c r="T32" i="69"/>
  <c r="P32" i="69"/>
  <c r="H32" i="69"/>
  <c r="D32" i="69"/>
  <c r="L32" i="69" s="1"/>
  <c r="N32" i="69" s="1"/>
  <c r="B32" i="69"/>
  <c r="X31" i="69"/>
  <c r="Z31" i="69" s="1"/>
  <c r="N31" i="69"/>
  <c r="L31" i="69"/>
  <c r="B31" i="69"/>
  <c r="X30" i="69"/>
  <c r="Z30" i="69" s="1"/>
  <c r="L30" i="69"/>
  <c r="N30" i="69" s="1"/>
  <c r="B30" i="69"/>
  <c r="X29" i="69"/>
  <c r="Z29" i="69" s="1"/>
  <c r="L29" i="69"/>
  <c r="N29" i="69" s="1"/>
  <c r="B29" i="69"/>
  <c r="X28" i="69"/>
  <c r="Z28" i="69" s="1"/>
  <c r="L28" i="69"/>
  <c r="N28" i="69" s="1"/>
  <c r="B28" i="69"/>
  <c r="X27" i="69"/>
  <c r="Z27" i="69" s="1"/>
  <c r="L27" i="69"/>
  <c r="N27" i="69" s="1"/>
  <c r="B27" i="69"/>
  <c r="X26" i="69"/>
  <c r="Z26" i="69" s="1"/>
  <c r="L26" i="69"/>
  <c r="N26" i="69" s="1"/>
  <c r="B26" i="69"/>
  <c r="X25" i="69"/>
  <c r="Z25" i="69" s="1"/>
  <c r="L25" i="69"/>
  <c r="N25" i="69" s="1"/>
  <c r="B25" i="69"/>
  <c r="X24" i="69"/>
  <c r="Z24" i="69" s="1"/>
  <c r="L24" i="69"/>
  <c r="N24" i="69" s="1"/>
  <c r="B24" i="69"/>
  <c r="T23" i="69"/>
  <c r="P23" i="69"/>
  <c r="X23" i="69" s="1"/>
  <c r="H23" i="69"/>
  <c r="N23" i="69" s="1"/>
  <c r="D23" i="69"/>
  <c r="L23" i="69" s="1"/>
  <c r="B23" i="69"/>
  <c r="T22" i="69"/>
  <c r="P22" i="69"/>
  <c r="H22" i="69"/>
  <c r="D22" i="69"/>
  <c r="L22" i="69" s="1"/>
  <c r="T20" i="69"/>
  <c r="X18" i="69"/>
  <c r="Z18" i="69" s="1"/>
  <c r="N18" i="69"/>
  <c r="L18" i="69"/>
  <c r="B18" i="69"/>
  <c r="X17" i="69"/>
  <c r="Z17" i="69" s="1"/>
  <c r="N17" i="69"/>
  <c r="L17" i="69"/>
  <c r="B17" i="69"/>
  <c r="T16" i="69"/>
  <c r="Z16" i="69" s="1"/>
  <c r="P16" i="69"/>
  <c r="X16" i="69" s="1"/>
  <c r="H16" i="69"/>
  <c r="D16" i="69"/>
  <c r="X14" i="69"/>
  <c r="Z14" i="69" s="1"/>
  <c r="T14" i="69"/>
  <c r="P14" i="69"/>
  <c r="H14" i="69"/>
  <c r="H12" i="69" s="1"/>
  <c r="J17" i="69" s="1"/>
  <c r="D14" i="69"/>
  <c r="B14" i="69"/>
  <c r="X13" i="69"/>
  <c r="Z13" i="69" s="1"/>
  <c r="T13" i="69"/>
  <c r="P13" i="69"/>
  <c r="H13" i="69"/>
  <c r="D13" i="69"/>
  <c r="L13" i="69" s="1"/>
  <c r="N13" i="69" s="1"/>
  <c r="B13" i="69"/>
  <c r="T12" i="69"/>
  <c r="V57" i="69" s="1"/>
  <c r="P12" i="69"/>
  <c r="R32" i="69" s="1"/>
  <c r="D6" i="69"/>
  <c r="D4" i="69"/>
  <c r="X98" i="68"/>
  <c r="Z98" i="68" s="1"/>
  <c r="L98" i="68"/>
  <c r="N98" i="68" s="1"/>
  <c r="T94" i="68"/>
  <c r="Z94" i="68" s="1"/>
  <c r="P94" i="68"/>
  <c r="X94" i="68" s="1"/>
  <c r="H94" i="68"/>
  <c r="N94" i="68" s="1"/>
  <c r="D94" i="68"/>
  <c r="X92" i="68"/>
  <c r="Z92" i="68" s="1"/>
  <c r="L92" i="68"/>
  <c r="N92" i="68" s="1"/>
  <c r="B92" i="68"/>
  <c r="Z91" i="68"/>
  <c r="X91" i="68"/>
  <c r="T91" i="68"/>
  <c r="P91" i="68"/>
  <c r="H91" i="68"/>
  <c r="D91" i="68"/>
  <c r="L91" i="68" s="1"/>
  <c r="N91" i="68" s="1"/>
  <c r="B91" i="68"/>
  <c r="Z90" i="68"/>
  <c r="X90" i="68"/>
  <c r="N90" i="68"/>
  <c r="L90" i="68"/>
  <c r="B90" i="68"/>
  <c r="Z89" i="68"/>
  <c r="X89" i="68"/>
  <c r="L89" i="68"/>
  <c r="N89" i="68" s="1"/>
  <c r="B89" i="68"/>
  <c r="Z88" i="68"/>
  <c r="X88" i="68"/>
  <c r="N88" i="68"/>
  <c r="L88" i="68"/>
  <c r="B88" i="68"/>
  <c r="T87" i="68"/>
  <c r="P87" i="68"/>
  <c r="X87" i="68" s="1"/>
  <c r="Z87" i="68" s="1"/>
  <c r="H87" i="68"/>
  <c r="D87" i="68"/>
  <c r="B87" i="68"/>
  <c r="X86" i="68"/>
  <c r="Z86" i="68" s="1"/>
  <c r="L86" i="68"/>
  <c r="N86" i="68" s="1"/>
  <c r="B86" i="68"/>
  <c r="X85" i="68"/>
  <c r="Z85" i="68" s="1"/>
  <c r="L85" i="68"/>
  <c r="N85" i="68" s="1"/>
  <c r="B85" i="68"/>
  <c r="X84" i="68"/>
  <c r="Z84" i="68" s="1"/>
  <c r="T84" i="68"/>
  <c r="P84" i="68"/>
  <c r="H84" i="68"/>
  <c r="D84" i="68"/>
  <c r="L84" i="68" s="1"/>
  <c r="B84" i="68"/>
  <c r="Z83" i="68"/>
  <c r="X83" i="68"/>
  <c r="N83" i="68"/>
  <c r="L83" i="68"/>
  <c r="B83" i="68"/>
  <c r="X82" i="68"/>
  <c r="T82" i="68"/>
  <c r="Z82" i="68" s="1"/>
  <c r="P82" i="68"/>
  <c r="L82" i="68"/>
  <c r="H82" i="68"/>
  <c r="N82" i="68" s="1"/>
  <c r="D82" i="68"/>
  <c r="B82" i="68"/>
  <c r="Z81" i="68"/>
  <c r="X81" i="68"/>
  <c r="N81" i="68"/>
  <c r="L81" i="68"/>
  <c r="B81" i="68"/>
  <c r="X80" i="68"/>
  <c r="T80" i="68"/>
  <c r="P80" i="68"/>
  <c r="N80" i="68"/>
  <c r="H80" i="68"/>
  <c r="D80" i="68"/>
  <c r="L80" i="68" s="1"/>
  <c r="B80" i="68"/>
  <c r="Z79" i="68"/>
  <c r="X79" i="68"/>
  <c r="N79" i="68"/>
  <c r="L79" i="68"/>
  <c r="B79" i="68"/>
  <c r="T78" i="68"/>
  <c r="P78" i="68"/>
  <c r="X78" i="68" s="1"/>
  <c r="N78" i="68"/>
  <c r="L78" i="68"/>
  <c r="H78" i="68"/>
  <c r="D78" i="68"/>
  <c r="B78" i="68"/>
  <c r="Z77" i="68"/>
  <c r="X77" i="68"/>
  <c r="L77" i="68"/>
  <c r="N77" i="68" s="1"/>
  <c r="B77" i="68"/>
  <c r="X76" i="68"/>
  <c r="Z76" i="68" s="1"/>
  <c r="L76" i="68"/>
  <c r="N76" i="68" s="1"/>
  <c r="B76" i="68"/>
  <c r="Z75" i="68"/>
  <c r="X75" i="68"/>
  <c r="T75" i="68"/>
  <c r="P75" i="68"/>
  <c r="N75" i="68"/>
  <c r="L75" i="68"/>
  <c r="H75" i="68"/>
  <c r="D75" i="68"/>
  <c r="B75" i="68"/>
  <c r="Z74" i="68"/>
  <c r="X74" i="68"/>
  <c r="L74" i="68"/>
  <c r="N74" i="68" s="1"/>
  <c r="B74" i="68"/>
  <c r="T73" i="68"/>
  <c r="P73" i="68"/>
  <c r="X73" i="68" s="1"/>
  <c r="Z73" i="68" s="1"/>
  <c r="H73" i="68"/>
  <c r="D73" i="68"/>
  <c r="L73" i="68" s="1"/>
  <c r="N73" i="68" s="1"/>
  <c r="B73" i="68"/>
  <c r="Z72" i="68"/>
  <c r="X72" i="68"/>
  <c r="L72" i="68"/>
  <c r="N72" i="68" s="1"/>
  <c r="B72" i="68"/>
  <c r="T71" i="68"/>
  <c r="Z71" i="68" s="1"/>
  <c r="P71" i="68"/>
  <c r="X71" i="68" s="1"/>
  <c r="L71" i="68"/>
  <c r="N71" i="68" s="1"/>
  <c r="H71" i="68"/>
  <c r="D71" i="68"/>
  <c r="B71" i="68"/>
  <c r="X70" i="68"/>
  <c r="Z70" i="68" s="1"/>
  <c r="N70" i="68"/>
  <c r="L70" i="68"/>
  <c r="B70" i="68"/>
  <c r="Z69" i="68"/>
  <c r="X69" i="68"/>
  <c r="N69" i="68"/>
  <c r="L69" i="68"/>
  <c r="B69" i="68"/>
  <c r="Z68" i="68"/>
  <c r="X68" i="68"/>
  <c r="N68" i="68"/>
  <c r="L68" i="68"/>
  <c r="B68" i="68"/>
  <c r="Z67" i="68"/>
  <c r="X67" i="68"/>
  <c r="N67" i="68"/>
  <c r="L67" i="68"/>
  <c r="B67" i="68"/>
  <c r="T66" i="68"/>
  <c r="P66" i="68"/>
  <c r="H66" i="68"/>
  <c r="D66" i="68"/>
  <c r="B66" i="68"/>
  <c r="X65" i="68"/>
  <c r="Z65" i="68" s="1"/>
  <c r="L65" i="68"/>
  <c r="N65" i="68" s="1"/>
  <c r="B65" i="68"/>
  <c r="X64" i="68"/>
  <c r="Z64" i="68" s="1"/>
  <c r="N64" i="68"/>
  <c r="L64" i="68"/>
  <c r="B64" i="68"/>
  <c r="Z63" i="68"/>
  <c r="X63" i="68"/>
  <c r="L63" i="68"/>
  <c r="N63" i="68" s="1"/>
  <c r="B63" i="68"/>
  <c r="Z62" i="68"/>
  <c r="X62" i="68"/>
  <c r="L62" i="68"/>
  <c r="N62" i="68" s="1"/>
  <c r="B62" i="68"/>
  <c r="X61" i="68"/>
  <c r="Z61" i="68" s="1"/>
  <c r="L61" i="68"/>
  <c r="N61" i="68" s="1"/>
  <c r="B61" i="68"/>
  <c r="Z60" i="68"/>
  <c r="X60" i="68"/>
  <c r="L60" i="68"/>
  <c r="N60" i="68" s="1"/>
  <c r="B60" i="68"/>
  <c r="Z59" i="68"/>
  <c r="X59" i="68"/>
  <c r="N59" i="68"/>
  <c r="L59" i="68"/>
  <c r="B59" i="68"/>
  <c r="Z58" i="68"/>
  <c r="X58" i="68"/>
  <c r="L58" i="68"/>
  <c r="N58" i="68" s="1"/>
  <c r="B58" i="68"/>
  <c r="T57" i="68"/>
  <c r="Z57" i="68" s="1"/>
  <c r="P57" i="68"/>
  <c r="X57" i="68" s="1"/>
  <c r="N57" i="68"/>
  <c r="H57" i="68"/>
  <c r="D57" i="68"/>
  <c r="L57" i="68" s="1"/>
  <c r="B57" i="68"/>
  <c r="T56" i="68"/>
  <c r="P56" i="68"/>
  <c r="X56" i="68" s="1"/>
  <c r="Z56" i="68" s="1"/>
  <c r="L56" i="68"/>
  <c r="H56" i="68"/>
  <c r="D56" i="68"/>
  <c r="X52" i="68"/>
  <c r="Z52" i="68" s="1"/>
  <c r="N52" i="68"/>
  <c r="L52" i="68"/>
  <c r="B52" i="68"/>
  <c r="X51" i="68"/>
  <c r="Z51" i="68" s="1"/>
  <c r="N51" i="68"/>
  <c r="L51" i="68"/>
  <c r="B51" i="68"/>
  <c r="X50" i="68"/>
  <c r="Z50" i="68" s="1"/>
  <c r="N50" i="68"/>
  <c r="L50" i="68"/>
  <c r="B50" i="68"/>
  <c r="X49" i="68"/>
  <c r="Z49" i="68" s="1"/>
  <c r="L49" i="68"/>
  <c r="N49" i="68" s="1"/>
  <c r="B49" i="68"/>
  <c r="Z48" i="68"/>
  <c r="X48" i="68"/>
  <c r="N48" i="68"/>
  <c r="L48" i="68"/>
  <c r="B48" i="68"/>
  <c r="X47" i="68"/>
  <c r="Z47" i="68" s="1"/>
  <c r="L47" i="68"/>
  <c r="N47" i="68" s="1"/>
  <c r="B47" i="68"/>
  <c r="X46" i="68"/>
  <c r="Z46" i="68" s="1"/>
  <c r="L46" i="68"/>
  <c r="N46" i="68" s="1"/>
  <c r="B46" i="68"/>
  <c r="X45" i="68"/>
  <c r="Z45" i="68" s="1"/>
  <c r="L45" i="68"/>
  <c r="N45" i="68" s="1"/>
  <c r="B45" i="68"/>
  <c r="X44" i="68"/>
  <c r="Z44" i="68" s="1"/>
  <c r="N44" i="68"/>
  <c r="L44" i="68"/>
  <c r="B44" i="68"/>
  <c r="X43" i="68"/>
  <c r="Z43" i="68" s="1"/>
  <c r="N43" i="68"/>
  <c r="L43" i="68"/>
  <c r="B43" i="68"/>
  <c r="X42" i="68"/>
  <c r="Z42" i="68" s="1"/>
  <c r="N42" i="68"/>
  <c r="L42" i="68"/>
  <c r="B42" i="68"/>
  <c r="X41" i="68"/>
  <c r="Z41" i="68" s="1"/>
  <c r="L41" i="68"/>
  <c r="N41" i="68" s="1"/>
  <c r="B41" i="68"/>
  <c r="Z40" i="68"/>
  <c r="X40" i="68"/>
  <c r="N40" i="68"/>
  <c r="L40" i="68"/>
  <c r="B40" i="68"/>
  <c r="X39" i="68"/>
  <c r="Z39" i="68" s="1"/>
  <c r="L39" i="68"/>
  <c r="N39" i="68" s="1"/>
  <c r="B39" i="68"/>
  <c r="X38" i="68"/>
  <c r="Z38" i="68" s="1"/>
  <c r="L38" i="68"/>
  <c r="N38" i="68" s="1"/>
  <c r="B38" i="68"/>
  <c r="X37" i="68"/>
  <c r="Z37" i="68" s="1"/>
  <c r="L37" i="68"/>
  <c r="N37" i="68" s="1"/>
  <c r="B37" i="68"/>
  <c r="X36" i="68"/>
  <c r="Z36" i="68" s="1"/>
  <c r="T36" i="68"/>
  <c r="P36" i="68"/>
  <c r="H36" i="68"/>
  <c r="D36" i="68"/>
  <c r="T34" i="68"/>
  <c r="P34" i="68"/>
  <c r="H34" i="68"/>
  <c r="D34" i="68"/>
  <c r="L34" i="68" s="1"/>
  <c r="N34" i="68" s="1"/>
  <c r="B34" i="68"/>
  <c r="Z33" i="68"/>
  <c r="X33" i="68"/>
  <c r="T33" i="68"/>
  <c r="P33" i="68"/>
  <c r="L33" i="68"/>
  <c r="N33" i="68" s="1"/>
  <c r="H33" i="68"/>
  <c r="D33" i="68"/>
  <c r="B33" i="68"/>
  <c r="T32" i="68"/>
  <c r="P32" i="68"/>
  <c r="X32" i="68" s="1"/>
  <c r="L32" i="68"/>
  <c r="N32" i="68" s="1"/>
  <c r="H32" i="68"/>
  <c r="D32" i="68"/>
  <c r="B32" i="68"/>
  <c r="T31" i="68"/>
  <c r="P31" i="68"/>
  <c r="H31" i="68"/>
  <c r="D31" i="68"/>
  <c r="L31" i="68" s="1"/>
  <c r="B31" i="68"/>
  <c r="T30" i="68"/>
  <c r="X30" i="68" s="1"/>
  <c r="Z30" i="68" s="1"/>
  <c r="P30" i="68"/>
  <c r="L30" i="68"/>
  <c r="N30" i="68" s="1"/>
  <c r="H30" i="68"/>
  <c r="D30" i="68"/>
  <c r="B30" i="68"/>
  <c r="T29" i="68"/>
  <c r="P29" i="68"/>
  <c r="X29" i="68" s="1"/>
  <c r="H29" i="68"/>
  <c r="D29" i="68"/>
  <c r="L29" i="68" s="1"/>
  <c r="N29" i="68" s="1"/>
  <c r="B29" i="68"/>
  <c r="X28" i="68"/>
  <c r="T28" i="68"/>
  <c r="P28" i="68"/>
  <c r="H28" i="68"/>
  <c r="D28" i="68"/>
  <c r="L28" i="68" s="1"/>
  <c r="B28" i="68"/>
  <c r="X27" i="68"/>
  <c r="T27" i="68"/>
  <c r="P27" i="68"/>
  <c r="N27" i="68"/>
  <c r="L27" i="68"/>
  <c r="H27" i="68"/>
  <c r="D27" i="68"/>
  <c r="B27" i="68"/>
  <c r="T26" i="68"/>
  <c r="P26" i="68"/>
  <c r="H26" i="68"/>
  <c r="D26" i="68"/>
  <c r="L26" i="68" s="1"/>
  <c r="N26" i="68" s="1"/>
  <c r="B26" i="68"/>
  <c r="T25" i="68"/>
  <c r="Z25" i="68" s="1"/>
  <c r="P25" i="68"/>
  <c r="X25" i="68" s="1"/>
  <c r="N25" i="68"/>
  <c r="L25" i="68"/>
  <c r="H25" i="68"/>
  <c r="D25" i="68"/>
  <c r="B25" i="68"/>
  <c r="T24" i="68"/>
  <c r="P24" i="68"/>
  <c r="X24" i="68" s="1"/>
  <c r="H24" i="68"/>
  <c r="N24" i="68" s="1"/>
  <c r="D24" i="68"/>
  <c r="L24" i="68" s="1"/>
  <c r="B24" i="68"/>
  <c r="X23" i="68"/>
  <c r="T23" i="68"/>
  <c r="P23" i="68"/>
  <c r="H23" i="68"/>
  <c r="N23" i="68" s="1"/>
  <c r="D23" i="68"/>
  <c r="L23" i="68" s="1"/>
  <c r="B23" i="68"/>
  <c r="X22" i="68"/>
  <c r="T22" i="68"/>
  <c r="Z22" i="68" s="1"/>
  <c r="P22" i="68"/>
  <c r="N22" i="68"/>
  <c r="L22" i="68"/>
  <c r="H22" i="68"/>
  <c r="D22" i="68"/>
  <c r="B22" i="68"/>
  <c r="Z21" i="68"/>
  <c r="X21" i="68"/>
  <c r="T21" i="68"/>
  <c r="P21" i="68"/>
  <c r="H21" i="68"/>
  <c r="D21" i="68"/>
  <c r="L21" i="68" s="1"/>
  <c r="N21" i="68" s="1"/>
  <c r="B21" i="68"/>
  <c r="T20" i="68"/>
  <c r="P20" i="68"/>
  <c r="X20" i="68" s="1"/>
  <c r="N20" i="68"/>
  <c r="L20" i="68"/>
  <c r="H20" i="68"/>
  <c r="D20" i="68"/>
  <c r="B20" i="68"/>
  <c r="T19" i="68"/>
  <c r="P19" i="68"/>
  <c r="H19" i="68"/>
  <c r="D19" i="68"/>
  <c r="L19" i="68" s="1"/>
  <c r="N19" i="68" s="1"/>
  <c r="B19" i="68"/>
  <c r="Z18" i="68"/>
  <c r="X18" i="68"/>
  <c r="T18" i="68"/>
  <c r="P18" i="68"/>
  <c r="L18" i="68"/>
  <c r="N18" i="68" s="1"/>
  <c r="H18" i="68"/>
  <c r="D18" i="68"/>
  <c r="B18" i="68"/>
  <c r="T17" i="68"/>
  <c r="P17" i="68"/>
  <c r="H17" i="68"/>
  <c r="D17" i="68"/>
  <c r="L17" i="68" s="1"/>
  <c r="N17" i="68" s="1"/>
  <c r="B17" i="68"/>
  <c r="X16" i="68"/>
  <c r="T16" i="68"/>
  <c r="P16" i="68"/>
  <c r="H16" i="68"/>
  <c r="D16" i="68"/>
  <c r="B16" i="68"/>
  <c r="T15" i="68"/>
  <c r="P15" i="68"/>
  <c r="L15" i="68"/>
  <c r="N15" i="68" s="1"/>
  <c r="H15" i="68"/>
  <c r="H12" i="68" s="1"/>
  <c r="D15" i="68"/>
  <c r="B15" i="68"/>
  <c r="X14" i="68"/>
  <c r="Z14" i="68" s="1"/>
  <c r="T14" i="68"/>
  <c r="P14" i="68"/>
  <c r="H14" i="68"/>
  <c r="D14" i="68"/>
  <c r="B14" i="68"/>
  <c r="Z13" i="68"/>
  <c r="X13" i="68"/>
  <c r="T13" i="68"/>
  <c r="P13" i="68"/>
  <c r="N13" i="68"/>
  <c r="L13" i="68"/>
  <c r="H13" i="68"/>
  <c r="D13" i="68"/>
  <c r="B13" i="68"/>
  <c r="D6" i="68"/>
  <c r="D4" i="68"/>
  <c r="Z47" i="67"/>
  <c r="X47" i="67"/>
  <c r="N47" i="67"/>
  <c r="L47" i="67"/>
  <c r="F47" i="67"/>
  <c r="V45" i="67"/>
  <c r="F45" i="67"/>
  <c r="Z43" i="67"/>
  <c r="X43" i="67"/>
  <c r="V43" i="67"/>
  <c r="T43" i="67"/>
  <c r="P43" i="67"/>
  <c r="H43" i="67"/>
  <c r="N43" i="67" s="1"/>
  <c r="D43" i="67"/>
  <c r="L43" i="67" s="1"/>
  <c r="X41" i="67"/>
  <c r="Z41" i="67" s="1"/>
  <c r="V41" i="67"/>
  <c r="N41" i="67"/>
  <c r="L41" i="67"/>
  <c r="B41" i="67"/>
  <c r="T40" i="67"/>
  <c r="P40" i="67"/>
  <c r="X40" i="67" s="1"/>
  <c r="N40" i="67"/>
  <c r="H40" i="67"/>
  <c r="D40" i="67"/>
  <c r="L40" i="67" s="1"/>
  <c r="B40" i="67"/>
  <c r="Z39" i="67"/>
  <c r="X39" i="67"/>
  <c r="V39" i="67"/>
  <c r="N39" i="67"/>
  <c r="L39" i="67"/>
  <c r="B39" i="67"/>
  <c r="V38" i="67"/>
  <c r="T38" i="67"/>
  <c r="P38" i="67"/>
  <c r="X38" i="67" s="1"/>
  <c r="Z38" i="67" s="1"/>
  <c r="L38" i="67"/>
  <c r="N38" i="67" s="1"/>
  <c r="H38" i="67"/>
  <c r="D38" i="67"/>
  <c r="B38" i="67"/>
  <c r="Z37" i="67"/>
  <c r="X37" i="67"/>
  <c r="V37" i="67"/>
  <c r="N37" i="67"/>
  <c r="L37" i="67"/>
  <c r="J37" i="67"/>
  <c r="F37" i="67"/>
  <c r="B37" i="67"/>
  <c r="Z36" i="67"/>
  <c r="T36" i="67"/>
  <c r="P36" i="67"/>
  <c r="X36" i="67" s="1"/>
  <c r="H36" i="67"/>
  <c r="N36" i="67" s="1"/>
  <c r="F36" i="67"/>
  <c r="D36" i="67"/>
  <c r="L36" i="67" s="1"/>
  <c r="B36" i="67"/>
  <c r="X35" i="67"/>
  <c r="Z35" i="67" s="1"/>
  <c r="N35" i="67"/>
  <c r="L35" i="67"/>
  <c r="B35" i="67"/>
  <c r="X34" i="67"/>
  <c r="Z34" i="67" s="1"/>
  <c r="V34" i="67"/>
  <c r="N34" i="67"/>
  <c r="L34" i="67"/>
  <c r="B34" i="67"/>
  <c r="Z33" i="67"/>
  <c r="X33" i="67"/>
  <c r="V33" i="67"/>
  <c r="N33" i="67"/>
  <c r="L33" i="67"/>
  <c r="B33" i="67"/>
  <c r="X32" i="67"/>
  <c r="Z32" i="67" s="1"/>
  <c r="V32" i="67"/>
  <c r="L32" i="67"/>
  <c r="N32" i="67" s="1"/>
  <c r="F32" i="67"/>
  <c r="B32" i="67"/>
  <c r="Z31" i="67"/>
  <c r="X31" i="67"/>
  <c r="N31" i="67"/>
  <c r="L31" i="67"/>
  <c r="B31" i="67"/>
  <c r="X30" i="67"/>
  <c r="Z30" i="67" s="1"/>
  <c r="V30" i="67"/>
  <c r="N30" i="67"/>
  <c r="L30" i="67"/>
  <c r="F30" i="67"/>
  <c r="B30" i="67"/>
  <c r="V29" i="67"/>
  <c r="T29" i="67"/>
  <c r="P29" i="67"/>
  <c r="X29" i="67" s="1"/>
  <c r="H29" i="67"/>
  <c r="F29" i="67"/>
  <c r="D29" i="67"/>
  <c r="L29" i="67" s="1"/>
  <c r="N29" i="67" s="1"/>
  <c r="B29" i="67"/>
  <c r="X28" i="67"/>
  <c r="Z28" i="67" s="1"/>
  <c r="V28" i="67"/>
  <c r="N28" i="67"/>
  <c r="L28" i="67"/>
  <c r="B28" i="67"/>
  <c r="Z27" i="67"/>
  <c r="X27" i="67"/>
  <c r="V27" i="67"/>
  <c r="N27" i="67"/>
  <c r="L27" i="67"/>
  <c r="J27" i="67"/>
  <c r="F27" i="67"/>
  <c r="B27" i="67"/>
  <c r="Z26" i="67"/>
  <c r="X26" i="67"/>
  <c r="V26" i="67"/>
  <c r="N26" i="67"/>
  <c r="L26" i="67"/>
  <c r="F26" i="67"/>
  <c r="B26" i="67"/>
  <c r="Z25" i="67"/>
  <c r="X25" i="67"/>
  <c r="V25" i="67"/>
  <c r="N25" i="67"/>
  <c r="L25" i="67"/>
  <c r="B25" i="67"/>
  <c r="X24" i="67"/>
  <c r="Z24" i="67" s="1"/>
  <c r="V24" i="67"/>
  <c r="N24" i="67"/>
  <c r="L24" i="67"/>
  <c r="B24" i="67"/>
  <c r="Z23" i="67"/>
  <c r="X23" i="67"/>
  <c r="V23" i="67"/>
  <c r="N23" i="67"/>
  <c r="L23" i="67"/>
  <c r="F23" i="67"/>
  <c r="B23" i="67"/>
  <c r="Z22" i="67"/>
  <c r="X22" i="67"/>
  <c r="V22" i="67"/>
  <c r="N22" i="67"/>
  <c r="L22" i="67"/>
  <c r="F22" i="67"/>
  <c r="B22" i="67"/>
  <c r="Z21" i="67"/>
  <c r="X21" i="67"/>
  <c r="V21" i="67"/>
  <c r="L21" i="67"/>
  <c r="N21" i="67" s="1"/>
  <c r="B21" i="67"/>
  <c r="X20" i="67"/>
  <c r="Z20" i="67" s="1"/>
  <c r="V20" i="67"/>
  <c r="N20" i="67"/>
  <c r="L20" i="67"/>
  <c r="B20" i="67"/>
  <c r="V19" i="67"/>
  <c r="T19" i="67"/>
  <c r="P19" i="67"/>
  <c r="X19" i="67" s="1"/>
  <c r="Z19" i="67" s="1"/>
  <c r="L19" i="67"/>
  <c r="N19" i="67" s="1"/>
  <c r="H19" i="67"/>
  <c r="D19" i="67"/>
  <c r="B19" i="67"/>
  <c r="T18" i="67"/>
  <c r="P18" i="67"/>
  <c r="X18" i="67" s="1"/>
  <c r="H18" i="67"/>
  <c r="D18" i="67"/>
  <c r="L18" i="67" s="1"/>
  <c r="N18" i="67" s="1"/>
  <c r="T14" i="67"/>
  <c r="Z14" i="67" s="1"/>
  <c r="P14" i="67"/>
  <c r="N14" i="67"/>
  <c r="H14" i="67"/>
  <c r="D14" i="67"/>
  <c r="D16" i="67" s="1"/>
  <c r="Z12" i="67"/>
  <c r="T12" i="67"/>
  <c r="P12" i="67"/>
  <c r="R19" i="67" s="1"/>
  <c r="L12" i="67"/>
  <c r="H12" i="67"/>
  <c r="D12" i="67"/>
  <c r="F39" i="67" s="1"/>
  <c r="D6" i="67"/>
  <c r="D4" i="67"/>
  <c r="V104" i="63"/>
  <c r="V101" i="63"/>
  <c r="Z99" i="63"/>
  <c r="X99" i="63"/>
  <c r="V99" i="63"/>
  <c r="N99" i="63"/>
  <c r="L99" i="63"/>
  <c r="T95" i="63"/>
  <c r="P95" i="63"/>
  <c r="X95" i="63" s="1"/>
  <c r="H95" i="63"/>
  <c r="D95" i="63"/>
  <c r="L95" i="63" s="1"/>
  <c r="N95" i="63" s="1"/>
  <c r="B95" i="63"/>
  <c r="V94" i="63"/>
  <c r="T94" i="63"/>
  <c r="P94" i="63"/>
  <c r="N94" i="63"/>
  <c r="L94" i="63"/>
  <c r="H94" i="63"/>
  <c r="D94" i="63"/>
  <c r="D93" i="63" s="1"/>
  <c r="L93" i="63" s="1"/>
  <c r="B94" i="63"/>
  <c r="T93" i="63"/>
  <c r="H93" i="63"/>
  <c r="N93" i="63" s="1"/>
  <c r="X91" i="63"/>
  <c r="Z91" i="63" s="1"/>
  <c r="N91" i="63"/>
  <c r="L91" i="63"/>
  <c r="B91" i="63"/>
  <c r="T90" i="63"/>
  <c r="P90" i="63"/>
  <c r="X90" i="63" s="1"/>
  <c r="Z90" i="63" s="1"/>
  <c r="N90" i="63"/>
  <c r="L90" i="63"/>
  <c r="H90" i="63"/>
  <c r="D90" i="63"/>
  <c r="B90" i="63"/>
  <c r="Z89" i="63"/>
  <c r="X89" i="63"/>
  <c r="L89" i="63"/>
  <c r="N89" i="63" s="1"/>
  <c r="J89" i="63"/>
  <c r="B89" i="63"/>
  <c r="X88" i="63"/>
  <c r="Z88" i="63" s="1"/>
  <c r="N88" i="63"/>
  <c r="L88" i="63"/>
  <c r="J88" i="63"/>
  <c r="B88" i="63"/>
  <c r="T87" i="63"/>
  <c r="P87" i="63"/>
  <c r="X87" i="63" s="1"/>
  <c r="Z87" i="63" s="1"/>
  <c r="H87" i="63"/>
  <c r="D87" i="63"/>
  <c r="B87" i="63"/>
  <c r="Z86" i="63"/>
  <c r="X86" i="63"/>
  <c r="N86" i="63"/>
  <c r="L86" i="63"/>
  <c r="B86" i="63"/>
  <c r="X85" i="63"/>
  <c r="Z85" i="63" s="1"/>
  <c r="V85" i="63"/>
  <c r="T85" i="63"/>
  <c r="P85" i="63"/>
  <c r="H85" i="63"/>
  <c r="D85" i="63"/>
  <c r="L85" i="63" s="1"/>
  <c r="N85" i="63" s="1"/>
  <c r="B85" i="63"/>
  <c r="Z84" i="63"/>
  <c r="X84" i="63"/>
  <c r="L84" i="63"/>
  <c r="N84" i="63" s="1"/>
  <c r="B84" i="63"/>
  <c r="T83" i="63"/>
  <c r="P83" i="63"/>
  <c r="H83" i="63"/>
  <c r="N83" i="63" s="1"/>
  <c r="D83" i="63"/>
  <c r="L83" i="63" s="1"/>
  <c r="B83" i="63"/>
  <c r="Z82" i="63"/>
  <c r="X82" i="63"/>
  <c r="V82" i="63"/>
  <c r="N82" i="63"/>
  <c r="L82" i="63"/>
  <c r="B82" i="63"/>
  <c r="Z81" i="63"/>
  <c r="X81" i="63"/>
  <c r="R81" i="63"/>
  <c r="L81" i="63"/>
  <c r="N81" i="63" s="1"/>
  <c r="J81" i="63"/>
  <c r="B81" i="63"/>
  <c r="X80" i="63"/>
  <c r="Z80" i="63" s="1"/>
  <c r="V80" i="63"/>
  <c r="N80" i="63"/>
  <c r="L80" i="63"/>
  <c r="J80" i="63"/>
  <c r="B80" i="63"/>
  <c r="Z79" i="63"/>
  <c r="X79" i="63"/>
  <c r="L79" i="63"/>
  <c r="N79" i="63" s="1"/>
  <c r="B79" i="63"/>
  <c r="Z78" i="63"/>
  <c r="X78" i="63"/>
  <c r="V78" i="63"/>
  <c r="N78" i="63"/>
  <c r="L78" i="63"/>
  <c r="B78" i="63"/>
  <c r="X77" i="63"/>
  <c r="Z77" i="63" s="1"/>
  <c r="L77" i="63"/>
  <c r="N77" i="63" s="1"/>
  <c r="J77" i="63"/>
  <c r="B77" i="63"/>
  <c r="X76" i="63"/>
  <c r="V76" i="63"/>
  <c r="T76" i="63"/>
  <c r="Z76" i="63" s="1"/>
  <c r="P76" i="63"/>
  <c r="N76" i="63"/>
  <c r="J76" i="63"/>
  <c r="H76" i="63"/>
  <c r="L76" i="63" s="1"/>
  <c r="D76" i="63"/>
  <c r="B76" i="63"/>
  <c r="X75" i="63"/>
  <c r="Z75" i="63" s="1"/>
  <c r="L75" i="63"/>
  <c r="N75" i="63" s="1"/>
  <c r="F75" i="63"/>
  <c r="B75" i="63"/>
  <c r="X74" i="63"/>
  <c r="Z74" i="63" s="1"/>
  <c r="T74" i="63"/>
  <c r="P74" i="63"/>
  <c r="J74" i="63"/>
  <c r="H74" i="63"/>
  <c r="F74" i="63"/>
  <c r="D74" i="63"/>
  <c r="L74" i="63" s="1"/>
  <c r="B74" i="63"/>
  <c r="Z73" i="63"/>
  <c r="X73" i="63"/>
  <c r="N73" i="63"/>
  <c r="L73" i="63"/>
  <c r="F73" i="63"/>
  <c r="B73" i="63"/>
  <c r="X72" i="63"/>
  <c r="Z72" i="63" s="1"/>
  <c r="L72" i="63"/>
  <c r="N72" i="63" s="1"/>
  <c r="J72" i="63"/>
  <c r="B72" i="63"/>
  <c r="X71" i="63"/>
  <c r="Z71" i="63" s="1"/>
  <c r="V71" i="63"/>
  <c r="R71" i="63"/>
  <c r="N71" i="63"/>
  <c r="L71" i="63"/>
  <c r="B71" i="63"/>
  <c r="T70" i="63"/>
  <c r="P70" i="63"/>
  <c r="X70" i="63" s="1"/>
  <c r="Z70" i="63" s="1"/>
  <c r="N70" i="63"/>
  <c r="L70" i="63"/>
  <c r="H70" i="63"/>
  <c r="D70" i="63"/>
  <c r="B70" i="63"/>
  <c r="X69" i="63"/>
  <c r="Z69" i="63" s="1"/>
  <c r="L69" i="63"/>
  <c r="N69" i="63" s="1"/>
  <c r="J69" i="63"/>
  <c r="B69" i="63"/>
  <c r="X68" i="63"/>
  <c r="Z68" i="63" s="1"/>
  <c r="V68" i="63"/>
  <c r="N68" i="63"/>
  <c r="L68" i="63"/>
  <c r="J68" i="63"/>
  <c r="F68" i="63"/>
  <c r="B68" i="63"/>
  <c r="Z67" i="63"/>
  <c r="X67" i="63"/>
  <c r="N67" i="63"/>
  <c r="L67" i="63"/>
  <c r="B67" i="63"/>
  <c r="Z66" i="63"/>
  <c r="X66" i="63"/>
  <c r="V66" i="63"/>
  <c r="L66" i="63"/>
  <c r="N66" i="63" s="1"/>
  <c r="B66" i="63"/>
  <c r="T65" i="63"/>
  <c r="P65" i="63"/>
  <c r="X65" i="63" s="1"/>
  <c r="N65" i="63"/>
  <c r="H65" i="63"/>
  <c r="D65" i="63"/>
  <c r="L65" i="63" s="1"/>
  <c r="B65" i="63"/>
  <c r="Z64" i="63"/>
  <c r="X64" i="63"/>
  <c r="V64" i="63"/>
  <c r="L64" i="63"/>
  <c r="N64" i="63" s="1"/>
  <c r="B64" i="63"/>
  <c r="X63" i="63"/>
  <c r="T63" i="63"/>
  <c r="Z63" i="63" s="1"/>
  <c r="P63" i="63"/>
  <c r="L63" i="63"/>
  <c r="N63" i="63" s="1"/>
  <c r="J63" i="63"/>
  <c r="H63" i="63"/>
  <c r="D63" i="63"/>
  <c r="B63" i="63"/>
  <c r="Z62" i="63"/>
  <c r="X62" i="63"/>
  <c r="N62" i="63"/>
  <c r="L62" i="63"/>
  <c r="J62" i="63"/>
  <c r="F62" i="63"/>
  <c r="B62" i="63"/>
  <c r="T61" i="63"/>
  <c r="P61" i="63"/>
  <c r="L61" i="63"/>
  <c r="J61" i="63"/>
  <c r="H61" i="63"/>
  <c r="N61" i="63" s="1"/>
  <c r="F61" i="63"/>
  <c r="D61" i="63"/>
  <c r="B61" i="63"/>
  <c r="X60" i="63"/>
  <c r="Z60" i="63" s="1"/>
  <c r="V60" i="63"/>
  <c r="N60" i="63"/>
  <c r="L60" i="63"/>
  <c r="J60" i="63"/>
  <c r="F60" i="63"/>
  <c r="B60" i="63"/>
  <c r="T59" i="63"/>
  <c r="P59" i="63"/>
  <c r="X59" i="63" s="1"/>
  <c r="Z59" i="63" s="1"/>
  <c r="H59" i="63"/>
  <c r="F59" i="63"/>
  <c r="D59" i="63"/>
  <c r="L59" i="63" s="1"/>
  <c r="B59" i="63"/>
  <c r="X58" i="63"/>
  <c r="Z58" i="63" s="1"/>
  <c r="N58" i="63"/>
  <c r="L58" i="63"/>
  <c r="B58" i="63"/>
  <c r="Z57" i="63"/>
  <c r="X57" i="63"/>
  <c r="V57" i="63"/>
  <c r="T57" i="63"/>
  <c r="P57" i="63"/>
  <c r="L57" i="63"/>
  <c r="H57" i="63"/>
  <c r="D57" i="63"/>
  <c r="B57" i="63"/>
  <c r="Z56" i="63"/>
  <c r="X56" i="63"/>
  <c r="N56" i="63"/>
  <c r="L56" i="63"/>
  <c r="J56" i="63"/>
  <c r="B56" i="63"/>
  <c r="V55" i="63"/>
  <c r="T55" i="63"/>
  <c r="Z55" i="63" s="1"/>
  <c r="P55" i="63"/>
  <c r="H55" i="63"/>
  <c r="N55" i="63" s="1"/>
  <c r="D55" i="63"/>
  <c r="B55" i="63"/>
  <c r="Z54" i="63"/>
  <c r="X54" i="63"/>
  <c r="V54" i="63"/>
  <c r="N54" i="63"/>
  <c r="L54" i="63"/>
  <c r="B54" i="63"/>
  <c r="T53" i="63"/>
  <c r="Z53" i="63" s="1"/>
  <c r="P53" i="63"/>
  <c r="X53" i="63" s="1"/>
  <c r="N53" i="63"/>
  <c r="H53" i="63"/>
  <c r="D53" i="63"/>
  <c r="L53" i="63" s="1"/>
  <c r="B53" i="63"/>
  <c r="Z52" i="63"/>
  <c r="X52" i="63"/>
  <c r="V52" i="63"/>
  <c r="N52" i="63"/>
  <c r="L52" i="63"/>
  <c r="B52" i="63"/>
  <c r="X51" i="63"/>
  <c r="T51" i="63"/>
  <c r="P51" i="63"/>
  <c r="L51" i="63"/>
  <c r="N51" i="63" s="1"/>
  <c r="J51" i="63"/>
  <c r="H51" i="63"/>
  <c r="D51" i="63"/>
  <c r="B51" i="63"/>
  <c r="Z50" i="63"/>
  <c r="X50" i="63"/>
  <c r="L50" i="63"/>
  <c r="N50" i="63" s="1"/>
  <c r="J50" i="63"/>
  <c r="F50" i="63"/>
  <c r="B50" i="63"/>
  <c r="T49" i="63"/>
  <c r="P49" i="63"/>
  <c r="L49" i="63"/>
  <c r="J49" i="63"/>
  <c r="H49" i="63"/>
  <c r="F49" i="63"/>
  <c r="D49" i="63"/>
  <c r="B49" i="63"/>
  <c r="X48" i="63"/>
  <c r="Z48" i="63" s="1"/>
  <c r="V48" i="63"/>
  <c r="N48" i="63"/>
  <c r="L48" i="63"/>
  <c r="J48" i="63"/>
  <c r="F48" i="63"/>
  <c r="B48" i="63"/>
  <c r="Z47" i="63"/>
  <c r="X47" i="63"/>
  <c r="V47" i="63"/>
  <c r="N47" i="63"/>
  <c r="L47" i="63"/>
  <c r="B47" i="63"/>
  <c r="V46" i="63"/>
  <c r="T46" i="63"/>
  <c r="X46" i="63" s="1"/>
  <c r="P46" i="63"/>
  <c r="L46" i="63"/>
  <c r="J46" i="63"/>
  <c r="H46" i="63"/>
  <c r="N46" i="63" s="1"/>
  <c r="D46" i="63"/>
  <c r="B46" i="63"/>
  <c r="X45" i="63"/>
  <c r="Z45" i="63" s="1"/>
  <c r="V45" i="63"/>
  <c r="N45" i="63"/>
  <c r="L45" i="63"/>
  <c r="F45" i="63"/>
  <c r="B45" i="63"/>
  <c r="Z44" i="63"/>
  <c r="X44" i="63"/>
  <c r="V44" i="63"/>
  <c r="R44" i="63"/>
  <c r="L44" i="63"/>
  <c r="N44" i="63" s="1"/>
  <c r="F44" i="63"/>
  <c r="B44" i="63"/>
  <c r="T43" i="63"/>
  <c r="P43" i="63"/>
  <c r="X43" i="63" s="1"/>
  <c r="L43" i="63"/>
  <c r="N43" i="63" s="1"/>
  <c r="J43" i="63"/>
  <c r="H43" i="63"/>
  <c r="F43" i="63"/>
  <c r="D43" i="63"/>
  <c r="B43" i="63"/>
  <c r="Z42" i="63"/>
  <c r="X42" i="63"/>
  <c r="N42" i="63"/>
  <c r="L42" i="63"/>
  <c r="J42" i="63"/>
  <c r="F42" i="63"/>
  <c r="B42" i="63"/>
  <c r="T41" i="63"/>
  <c r="P41" i="63"/>
  <c r="L41" i="63"/>
  <c r="J41" i="63"/>
  <c r="H41" i="63"/>
  <c r="F41" i="63"/>
  <c r="D41" i="63"/>
  <c r="B41" i="63"/>
  <c r="X40" i="63"/>
  <c r="Z40" i="63" s="1"/>
  <c r="V40" i="63"/>
  <c r="N40" i="63"/>
  <c r="L40" i="63"/>
  <c r="J40" i="63"/>
  <c r="F40" i="63"/>
  <c r="B40" i="63"/>
  <c r="V39" i="63"/>
  <c r="T39" i="63"/>
  <c r="P39" i="63"/>
  <c r="X39" i="63" s="1"/>
  <c r="Z39" i="63" s="1"/>
  <c r="H39" i="63"/>
  <c r="F39" i="63"/>
  <c r="D39" i="63"/>
  <c r="L39" i="63" s="1"/>
  <c r="B39" i="63"/>
  <c r="X38" i="63"/>
  <c r="Z38" i="63" s="1"/>
  <c r="N38" i="63"/>
  <c r="L38" i="63"/>
  <c r="B38" i="63"/>
  <c r="X37" i="63"/>
  <c r="Z37" i="63" s="1"/>
  <c r="V37" i="63"/>
  <c r="T37" i="63"/>
  <c r="P37" i="63"/>
  <c r="H37" i="63"/>
  <c r="D37" i="63"/>
  <c r="L37" i="63" s="1"/>
  <c r="B37" i="63"/>
  <c r="Z36" i="63"/>
  <c r="X36" i="63"/>
  <c r="V36" i="63"/>
  <c r="L36" i="63"/>
  <c r="N36" i="63" s="1"/>
  <c r="J36" i="63"/>
  <c r="B36" i="63"/>
  <c r="X35" i="63"/>
  <c r="Z35" i="63" s="1"/>
  <c r="V35" i="63"/>
  <c r="N35" i="63"/>
  <c r="L35" i="63"/>
  <c r="B35" i="63"/>
  <c r="Z34" i="63"/>
  <c r="X34" i="63"/>
  <c r="N34" i="63"/>
  <c r="L34" i="63"/>
  <c r="J34" i="63"/>
  <c r="F34" i="63"/>
  <c r="B34" i="63"/>
  <c r="Z33" i="63"/>
  <c r="X33" i="63"/>
  <c r="R33" i="63"/>
  <c r="L33" i="63"/>
  <c r="N33" i="63" s="1"/>
  <c r="F33" i="63"/>
  <c r="B33" i="63"/>
  <c r="Z32" i="63"/>
  <c r="X32" i="63"/>
  <c r="V32" i="63"/>
  <c r="N32" i="63"/>
  <c r="L32" i="63"/>
  <c r="J32" i="63"/>
  <c r="B32" i="63"/>
  <c r="X31" i="63"/>
  <c r="Z31" i="63" s="1"/>
  <c r="V31" i="63"/>
  <c r="N31" i="63"/>
  <c r="L31" i="63"/>
  <c r="J31" i="63"/>
  <c r="B31" i="63"/>
  <c r="Z30" i="63"/>
  <c r="X30" i="63"/>
  <c r="V30" i="63"/>
  <c r="N30" i="63"/>
  <c r="L30" i="63"/>
  <c r="J30" i="63"/>
  <c r="F30" i="63"/>
  <c r="B30" i="63"/>
  <c r="T29" i="63"/>
  <c r="P29" i="63"/>
  <c r="J29" i="63"/>
  <c r="H29" i="63"/>
  <c r="F29" i="63"/>
  <c r="D29" i="63"/>
  <c r="L29" i="63" s="1"/>
  <c r="B29" i="63"/>
  <c r="X28" i="63"/>
  <c r="Z28" i="63" s="1"/>
  <c r="V28" i="63"/>
  <c r="N28" i="63"/>
  <c r="L28" i="63"/>
  <c r="J28" i="63"/>
  <c r="F28" i="63"/>
  <c r="B28" i="63"/>
  <c r="Z27" i="63"/>
  <c r="X27" i="63"/>
  <c r="V27" i="63"/>
  <c r="L27" i="63"/>
  <c r="N27" i="63" s="1"/>
  <c r="F27" i="63"/>
  <c r="B27" i="63"/>
  <c r="X26" i="63"/>
  <c r="Z26" i="63" s="1"/>
  <c r="V26" i="63"/>
  <c r="N26" i="63"/>
  <c r="L26" i="63"/>
  <c r="B26" i="63"/>
  <c r="Z25" i="63"/>
  <c r="X25" i="63"/>
  <c r="R25" i="63"/>
  <c r="N25" i="63"/>
  <c r="L25" i="63"/>
  <c r="J25" i="63"/>
  <c r="F25" i="63"/>
  <c r="B25" i="63"/>
  <c r="X24" i="63"/>
  <c r="Z24" i="63" s="1"/>
  <c r="V24" i="63"/>
  <c r="N24" i="63"/>
  <c r="L24" i="63"/>
  <c r="J24" i="63"/>
  <c r="F24" i="63"/>
  <c r="B24" i="63"/>
  <c r="Z23" i="63"/>
  <c r="X23" i="63"/>
  <c r="V23" i="63"/>
  <c r="L23" i="63"/>
  <c r="N23" i="63" s="1"/>
  <c r="F23" i="63"/>
  <c r="B23" i="63"/>
  <c r="Z22" i="63"/>
  <c r="X22" i="63"/>
  <c r="V22" i="63"/>
  <c r="L22" i="63"/>
  <c r="N22" i="63" s="1"/>
  <c r="F22" i="63"/>
  <c r="B22" i="63"/>
  <c r="X21" i="63"/>
  <c r="Z21" i="63" s="1"/>
  <c r="R21" i="63"/>
  <c r="L21" i="63"/>
  <c r="N21" i="63" s="1"/>
  <c r="J21" i="63"/>
  <c r="F21" i="63"/>
  <c r="B21" i="63"/>
  <c r="X20" i="63"/>
  <c r="Z20" i="63" s="1"/>
  <c r="V20" i="63"/>
  <c r="N20" i="63"/>
  <c r="L20" i="63"/>
  <c r="J20" i="63"/>
  <c r="F20" i="63"/>
  <c r="B20" i="63"/>
  <c r="V19" i="63"/>
  <c r="T19" i="63"/>
  <c r="P19" i="63"/>
  <c r="X19" i="63" s="1"/>
  <c r="Z19" i="63" s="1"/>
  <c r="H19" i="63"/>
  <c r="F19" i="63"/>
  <c r="D19" i="63"/>
  <c r="L19" i="63" s="1"/>
  <c r="B19" i="63"/>
  <c r="Z18" i="63"/>
  <c r="X18" i="63"/>
  <c r="T18" i="63"/>
  <c r="P18" i="63"/>
  <c r="J18" i="63"/>
  <c r="H18" i="63"/>
  <c r="F18" i="63"/>
  <c r="D18" i="63"/>
  <c r="L18" i="63" s="1"/>
  <c r="J16" i="63"/>
  <c r="F16" i="63"/>
  <c r="T14" i="63"/>
  <c r="Z14" i="63" s="1"/>
  <c r="R14" i="63"/>
  <c r="P14" i="63"/>
  <c r="X14" i="63" s="1"/>
  <c r="J14" i="63"/>
  <c r="H14" i="63"/>
  <c r="N14" i="63" s="1"/>
  <c r="F14" i="63"/>
  <c r="D14" i="63"/>
  <c r="L14" i="63" s="1"/>
  <c r="Z12" i="63"/>
  <c r="X12" i="63"/>
  <c r="T12" i="63"/>
  <c r="V87" i="63" s="1"/>
  <c r="P12" i="63"/>
  <c r="R83" i="63" s="1"/>
  <c r="N12" i="63"/>
  <c r="L12" i="63"/>
  <c r="H12" i="63"/>
  <c r="J97" i="63" s="1"/>
  <c r="D12" i="63"/>
  <c r="F64" i="63" s="1"/>
  <c r="D6" i="63"/>
  <c r="D4" i="63"/>
  <c r="R50" i="61"/>
  <c r="Z48" i="61"/>
  <c r="X48" i="61"/>
  <c r="V48" i="61"/>
  <c r="N48" i="61"/>
  <c r="L48" i="61"/>
  <c r="F46" i="61"/>
  <c r="Z44" i="61"/>
  <c r="T44" i="61"/>
  <c r="P44" i="61"/>
  <c r="X44" i="61" s="1"/>
  <c r="H44" i="61"/>
  <c r="N44" i="61" s="1"/>
  <c r="D44" i="61"/>
  <c r="L44" i="61" s="1"/>
  <c r="Z42" i="61"/>
  <c r="X42" i="61"/>
  <c r="R42" i="61"/>
  <c r="L42" i="61"/>
  <c r="N42" i="61" s="1"/>
  <c r="B42" i="61"/>
  <c r="X41" i="61"/>
  <c r="T41" i="61"/>
  <c r="Z41" i="61" s="1"/>
  <c r="P41" i="61"/>
  <c r="L41" i="61"/>
  <c r="N41" i="61" s="1"/>
  <c r="H41" i="61"/>
  <c r="D41" i="61"/>
  <c r="B41" i="61"/>
  <c r="X40" i="61"/>
  <c r="Z40" i="61" s="1"/>
  <c r="L40" i="61"/>
  <c r="N40" i="61" s="1"/>
  <c r="B40" i="61"/>
  <c r="X39" i="61"/>
  <c r="T39" i="61"/>
  <c r="P39" i="61"/>
  <c r="H39" i="61"/>
  <c r="F39" i="61"/>
  <c r="D39" i="61"/>
  <c r="L39" i="61" s="1"/>
  <c r="N39" i="61" s="1"/>
  <c r="B39" i="61"/>
  <c r="Z38" i="61"/>
  <c r="X38" i="61"/>
  <c r="N38" i="61"/>
  <c r="L38" i="61"/>
  <c r="B38" i="61"/>
  <c r="X37" i="61"/>
  <c r="Z37" i="61" s="1"/>
  <c r="L37" i="61"/>
  <c r="N37" i="61" s="1"/>
  <c r="B37" i="61"/>
  <c r="T36" i="61"/>
  <c r="P36" i="61"/>
  <c r="X36" i="61" s="1"/>
  <c r="Z36" i="61" s="1"/>
  <c r="N36" i="61"/>
  <c r="L36" i="61"/>
  <c r="H36" i="61"/>
  <c r="D36" i="61"/>
  <c r="B36" i="61"/>
  <c r="X35" i="61"/>
  <c r="Z35" i="61" s="1"/>
  <c r="N35" i="61"/>
  <c r="L35" i="61"/>
  <c r="F35" i="61"/>
  <c r="B35" i="61"/>
  <c r="V34" i="61"/>
  <c r="T34" i="61"/>
  <c r="P34" i="61"/>
  <c r="X34" i="61" s="1"/>
  <c r="Z34" i="61" s="1"/>
  <c r="L34" i="61"/>
  <c r="H34" i="61"/>
  <c r="N34" i="61" s="1"/>
  <c r="F34" i="61"/>
  <c r="D34" i="61"/>
  <c r="B34" i="61"/>
  <c r="X33" i="61"/>
  <c r="Z33" i="61" s="1"/>
  <c r="L33" i="61"/>
  <c r="N33" i="61" s="1"/>
  <c r="F33" i="61"/>
  <c r="B33" i="61"/>
  <c r="Z32" i="61"/>
  <c r="X32" i="61"/>
  <c r="V32" i="61"/>
  <c r="T32" i="61"/>
  <c r="P32" i="61"/>
  <c r="H32" i="61"/>
  <c r="F32" i="61"/>
  <c r="D32" i="61"/>
  <c r="L32" i="61" s="1"/>
  <c r="B32" i="61"/>
  <c r="X31" i="61"/>
  <c r="Z31" i="61" s="1"/>
  <c r="L31" i="61"/>
  <c r="N31" i="61" s="1"/>
  <c r="B31" i="61"/>
  <c r="Z30" i="61"/>
  <c r="X30" i="61"/>
  <c r="V30" i="61"/>
  <c r="N30" i="61"/>
  <c r="L30" i="61"/>
  <c r="B30" i="61"/>
  <c r="X29" i="61"/>
  <c r="Z29" i="61" s="1"/>
  <c r="V29" i="61"/>
  <c r="L29" i="61"/>
  <c r="N29" i="61" s="1"/>
  <c r="B29" i="61"/>
  <c r="Z28" i="61"/>
  <c r="X28" i="61"/>
  <c r="L28" i="61"/>
  <c r="N28" i="61" s="1"/>
  <c r="B28" i="61"/>
  <c r="T27" i="61"/>
  <c r="X27" i="61" s="1"/>
  <c r="P27" i="61"/>
  <c r="H27" i="61"/>
  <c r="N27" i="61" s="1"/>
  <c r="D27" i="61"/>
  <c r="L27" i="61" s="1"/>
  <c r="B27" i="61"/>
  <c r="Z26" i="61"/>
  <c r="X26" i="61"/>
  <c r="V26" i="61"/>
  <c r="N26" i="61"/>
  <c r="L26" i="61"/>
  <c r="F26" i="61"/>
  <c r="B26" i="61"/>
  <c r="X25" i="61"/>
  <c r="Z25" i="61" s="1"/>
  <c r="V25" i="61"/>
  <c r="L25" i="61"/>
  <c r="N25" i="61" s="1"/>
  <c r="B25" i="61"/>
  <c r="X24" i="61"/>
  <c r="Z24" i="61" s="1"/>
  <c r="V24" i="61"/>
  <c r="N24" i="61"/>
  <c r="L24" i="61"/>
  <c r="B24" i="61"/>
  <c r="X23" i="61"/>
  <c r="Z23" i="61" s="1"/>
  <c r="N23" i="61"/>
  <c r="L23" i="61"/>
  <c r="F23" i="61"/>
  <c r="B23" i="61"/>
  <c r="Z22" i="61"/>
  <c r="X22" i="61"/>
  <c r="V22" i="61"/>
  <c r="N22" i="61"/>
  <c r="L22" i="61"/>
  <c r="F22" i="61"/>
  <c r="B22" i="61"/>
  <c r="X21" i="61"/>
  <c r="Z21" i="61" s="1"/>
  <c r="V21" i="61"/>
  <c r="L21" i="61"/>
  <c r="N21" i="61" s="1"/>
  <c r="B21" i="61"/>
  <c r="X20" i="61"/>
  <c r="Z20" i="61" s="1"/>
  <c r="V20" i="61"/>
  <c r="N20" i="61"/>
  <c r="L20" i="61"/>
  <c r="B20" i="61"/>
  <c r="T19" i="61"/>
  <c r="P19" i="61"/>
  <c r="X19" i="61" s="1"/>
  <c r="L19" i="61"/>
  <c r="N19" i="61" s="1"/>
  <c r="H19" i="61"/>
  <c r="D19" i="61"/>
  <c r="B19" i="61"/>
  <c r="T18" i="61"/>
  <c r="P18" i="61"/>
  <c r="X18" i="61" s="1"/>
  <c r="N18" i="61"/>
  <c r="L18" i="61"/>
  <c r="H18" i="61"/>
  <c r="F18" i="61"/>
  <c r="D18" i="61"/>
  <c r="F16" i="61"/>
  <c r="T14" i="61"/>
  <c r="Z14" i="61" s="1"/>
  <c r="P14" i="61"/>
  <c r="X14" i="61" s="1"/>
  <c r="N14" i="61"/>
  <c r="L14" i="61"/>
  <c r="H14" i="61"/>
  <c r="F14" i="61"/>
  <c r="D14" i="61"/>
  <c r="Z12" i="61"/>
  <c r="T12" i="61"/>
  <c r="V50" i="61" s="1"/>
  <c r="P12" i="61"/>
  <c r="R48" i="61" s="1"/>
  <c r="H12" i="61"/>
  <c r="D12" i="61"/>
  <c r="D6" i="61"/>
  <c r="D4" i="61"/>
  <c r="J51" i="60"/>
  <c r="J48" i="60"/>
  <c r="Z46" i="60"/>
  <c r="X46" i="60"/>
  <c r="N46" i="60"/>
  <c r="L46" i="60"/>
  <c r="F44" i="60"/>
  <c r="Z42" i="60"/>
  <c r="X42" i="60"/>
  <c r="T42" i="60"/>
  <c r="P42" i="60"/>
  <c r="H42" i="60"/>
  <c r="N42" i="60" s="1"/>
  <c r="F42" i="60"/>
  <c r="D42" i="60"/>
  <c r="L42" i="60" s="1"/>
  <c r="Z40" i="60"/>
  <c r="X40" i="60"/>
  <c r="N40" i="60"/>
  <c r="L40" i="60"/>
  <c r="B40" i="60"/>
  <c r="T39" i="60"/>
  <c r="P39" i="60"/>
  <c r="L39" i="60"/>
  <c r="H39" i="60"/>
  <c r="N39" i="60" s="1"/>
  <c r="D39" i="60"/>
  <c r="B39" i="60"/>
  <c r="Z38" i="60"/>
  <c r="X38" i="60"/>
  <c r="N38" i="60"/>
  <c r="L38" i="60"/>
  <c r="B38" i="60"/>
  <c r="T37" i="60"/>
  <c r="Z37" i="60" s="1"/>
  <c r="P37" i="60"/>
  <c r="X37" i="60" s="1"/>
  <c r="H37" i="60"/>
  <c r="L37" i="60" s="1"/>
  <c r="D37" i="60"/>
  <c r="B37" i="60"/>
  <c r="X36" i="60"/>
  <c r="Z36" i="60" s="1"/>
  <c r="N36" i="60"/>
  <c r="L36" i="60"/>
  <c r="B36" i="60"/>
  <c r="T35" i="60"/>
  <c r="R35" i="60"/>
  <c r="P35" i="60"/>
  <c r="X35" i="60" s="1"/>
  <c r="Z35" i="60" s="1"/>
  <c r="L35" i="60"/>
  <c r="N35" i="60" s="1"/>
  <c r="H35" i="60"/>
  <c r="D35" i="60"/>
  <c r="B35" i="60"/>
  <c r="Z34" i="60"/>
  <c r="X34" i="60"/>
  <c r="R34" i="60"/>
  <c r="N34" i="60"/>
  <c r="L34" i="60"/>
  <c r="J34" i="60"/>
  <c r="B34" i="60"/>
  <c r="X33" i="60"/>
  <c r="Z33" i="60" s="1"/>
  <c r="N33" i="60"/>
  <c r="L33" i="60"/>
  <c r="J33" i="60"/>
  <c r="F33" i="60"/>
  <c r="B33" i="60"/>
  <c r="Z32" i="60"/>
  <c r="X32" i="60"/>
  <c r="T32" i="60"/>
  <c r="P32" i="60"/>
  <c r="H32" i="60"/>
  <c r="N32" i="60" s="1"/>
  <c r="F32" i="60"/>
  <c r="D32" i="60"/>
  <c r="L32" i="60" s="1"/>
  <c r="B32" i="60"/>
  <c r="X31" i="60"/>
  <c r="Z31" i="60" s="1"/>
  <c r="N31" i="60"/>
  <c r="L31" i="60"/>
  <c r="B31" i="60"/>
  <c r="Z30" i="60"/>
  <c r="X30" i="60"/>
  <c r="T30" i="60"/>
  <c r="P30" i="60"/>
  <c r="H30" i="60"/>
  <c r="D30" i="60"/>
  <c r="L30" i="60" s="1"/>
  <c r="N30" i="60" s="1"/>
  <c r="B30" i="60"/>
  <c r="X29" i="60"/>
  <c r="Z29" i="60" s="1"/>
  <c r="L29" i="60"/>
  <c r="N29" i="60" s="1"/>
  <c r="B29" i="60"/>
  <c r="X28" i="60"/>
  <c r="T28" i="60"/>
  <c r="Z28" i="60" s="1"/>
  <c r="R28" i="60"/>
  <c r="P28" i="60"/>
  <c r="H28" i="60"/>
  <c r="D28" i="60"/>
  <c r="L28" i="60" s="1"/>
  <c r="N28" i="60" s="1"/>
  <c r="B28" i="60"/>
  <c r="Z27" i="60"/>
  <c r="X27" i="60"/>
  <c r="R27" i="60"/>
  <c r="L27" i="60"/>
  <c r="N27" i="60" s="1"/>
  <c r="F27" i="60"/>
  <c r="B27" i="60"/>
  <c r="X26" i="60"/>
  <c r="Z26" i="60" s="1"/>
  <c r="R26" i="60"/>
  <c r="N26" i="60"/>
  <c r="L26" i="60"/>
  <c r="J26" i="60"/>
  <c r="B26" i="60"/>
  <c r="X25" i="60"/>
  <c r="Z25" i="60" s="1"/>
  <c r="N25" i="60"/>
  <c r="L25" i="60"/>
  <c r="J25" i="60"/>
  <c r="F25" i="60"/>
  <c r="B25" i="60"/>
  <c r="Z24" i="60"/>
  <c r="X24" i="60"/>
  <c r="N24" i="60"/>
  <c r="L24" i="60"/>
  <c r="B24" i="60"/>
  <c r="Z23" i="60"/>
  <c r="X23" i="60"/>
  <c r="R23" i="60"/>
  <c r="L23" i="60"/>
  <c r="N23" i="60" s="1"/>
  <c r="F23" i="60"/>
  <c r="B23" i="60"/>
  <c r="X22" i="60"/>
  <c r="Z22" i="60" s="1"/>
  <c r="R22" i="60"/>
  <c r="N22" i="60"/>
  <c r="L22" i="60"/>
  <c r="J22" i="60"/>
  <c r="B22" i="60"/>
  <c r="X21" i="60"/>
  <c r="Z21" i="60" s="1"/>
  <c r="N21" i="60"/>
  <c r="L21" i="60"/>
  <c r="J21" i="60"/>
  <c r="F21" i="60"/>
  <c r="B21" i="60"/>
  <c r="Z20" i="60"/>
  <c r="X20" i="60"/>
  <c r="N20" i="60"/>
  <c r="L20" i="60"/>
  <c r="B20" i="60"/>
  <c r="T19" i="60"/>
  <c r="P19" i="60"/>
  <c r="L19" i="60"/>
  <c r="H19" i="60"/>
  <c r="N19" i="60" s="1"/>
  <c r="D19" i="60"/>
  <c r="B19" i="60"/>
  <c r="T18" i="60"/>
  <c r="P18" i="60"/>
  <c r="H18" i="60"/>
  <c r="D18" i="60"/>
  <c r="L18" i="60" s="1"/>
  <c r="N18" i="60" s="1"/>
  <c r="D16" i="60"/>
  <c r="T14" i="60"/>
  <c r="Z14" i="60" s="1"/>
  <c r="P14" i="60"/>
  <c r="N14" i="60"/>
  <c r="H14" i="60"/>
  <c r="D14" i="60"/>
  <c r="L14" i="60" s="1"/>
  <c r="T12" i="60"/>
  <c r="V30" i="60" s="1"/>
  <c r="P12" i="60"/>
  <c r="R30" i="60" s="1"/>
  <c r="N12" i="60"/>
  <c r="H12" i="60"/>
  <c r="J36" i="60" s="1"/>
  <c r="D12" i="60"/>
  <c r="F51" i="60" s="1"/>
  <c r="D6" i="60"/>
  <c r="D4" i="60"/>
  <c r="V62" i="59"/>
  <c r="R62" i="59"/>
  <c r="V59" i="59"/>
  <c r="R59" i="59"/>
  <c r="Z57" i="59"/>
  <c r="X57" i="59"/>
  <c r="V57" i="59"/>
  <c r="N57" i="59"/>
  <c r="L57" i="59"/>
  <c r="J55" i="59"/>
  <c r="F55" i="59"/>
  <c r="T53" i="59"/>
  <c r="Z53" i="59" s="1"/>
  <c r="P53" i="59"/>
  <c r="X53" i="59" s="1"/>
  <c r="J53" i="59"/>
  <c r="H53" i="59"/>
  <c r="N53" i="59" s="1"/>
  <c r="F53" i="59"/>
  <c r="D53" i="59"/>
  <c r="Z51" i="59"/>
  <c r="X51" i="59"/>
  <c r="L51" i="59"/>
  <c r="N51" i="59" s="1"/>
  <c r="B51" i="59"/>
  <c r="Z50" i="59"/>
  <c r="X50" i="59"/>
  <c r="T50" i="59"/>
  <c r="P50" i="59"/>
  <c r="J50" i="59"/>
  <c r="H50" i="59"/>
  <c r="N50" i="59" s="1"/>
  <c r="D50" i="59"/>
  <c r="L50" i="59" s="1"/>
  <c r="B50" i="59"/>
  <c r="Z49" i="59"/>
  <c r="X49" i="59"/>
  <c r="L49" i="59"/>
  <c r="N49" i="59" s="1"/>
  <c r="F49" i="59"/>
  <c r="B49" i="59"/>
  <c r="X48" i="59"/>
  <c r="V48" i="59"/>
  <c r="T48" i="59"/>
  <c r="P48" i="59"/>
  <c r="H48" i="59"/>
  <c r="F48" i="59"/>
  <c r="D48" i="59"/>
  <c r="L48" i="59" s="1"/>
  <c r="N48" i="59" s="1"/>
  <c r="B48" i="59"/>
  <c r="Z47" i="59"/>
  <c r="X47" i="59"/>
  <c r="V47" i="59"/>
  <c r="N47" i="59"/>
  <c r="L47" i="59"/>
  <c r="B47" i="59"/>
  <c r="Z46" i="59"/>
  <c r="X46" i="59"/>
  <c r="R46" i="59"/>
  <c r="N46" i="59"/>
  <c r="L46" i="59"/>
  <c r="B46" i="59"/>
  <c r="T45" i="59"/>
  <c r="P45" i="59"/>
  <c r="X45" i="59" s="1"/>
  <c r="N45" i="59"/>
  <c r="L45" i="59"/>
  <c r="H45" i="59"/>
  <c r="D45" i="59"/>
  <c r="B45" i="59"/>
  <c r="Z44" i="59"/>
  <c r="X44" i="59"/>
  <c r="V44" i="59"/>
  <c r="L44" i="59"/>
  <c r="N44" i="59" s="1"/>
  <c r="J44" i="59"/>
  <c r="F44" i="59"/>
  <c r="B44" i="59"/>
  <c r="T43" i="59"/>
  <c r="P43" i="59"/>
  <c r="X43" i="59" s="1"/>
  <c r="J43" i="59"/>
  <c r="H43" i="59"/>
  <c r="F43" i="59"/>
  <c r="D43" i="59"/>
  <c r="B43" i="59"/>
  <c r="Z42" i="59"/>
  <c r="X42" i="59"/>
  <c r="N42" i="59"/>
  <c r="L42" i="59"/>
  <c r="F42" i="59"/>
  <c r="B42" i="59"/>
  <c r="Z41" i="59"/>
  <c r="X41" i="59"/>
  <c r="L41" i="59"/>
  <c r="N41" i="59" s="1"/>
  <c r="F41" i="59"/>
  <c r="B41" i="59"/>
  <c r="X40" i="59"/>
  <c r="Z40" i="59" s="1"/>
  <c r="V40" i="59"/>
  <c r="L40" i="59"/>
  <c r="N40" i="59" s="1"/>
  <c r="B40" i="59"/>
  <c r="X39" i="59"/>
  <c r="V39" i="59"/>
  <c r="T39" i="59"/>
  <c r="Z39" i="59" s="1"/>
  <c r="R39" i="59"/>
  <c r="P39" i="59"/>
  <c r="H39" i="59"/>
  <c r="D39" i="59"/>
  <c r="L39" i="59" s="1"/>
  <c r="N39" i="59" s="1"/>
  <c r="B39" i="59"/>
  <c r="Z38" i="59"/>
  <c r="X38" i="59"/>
  <c r="R38" i="59"/>
  <c r="N38" i="59"/>
  <c r="L38" i="59"/>
  <c r="B38" i="59"/>
  <c r="T37" i="59"/>
  <c r="P37" i="59"/>
  <c r="N37" i="59"/>
  <c r="L37" i="59"/>
  <c r="J37" i="59"/>
  <c r="H37" i="59"/>
  <c r="D37" i="59"/>
  <c r="B37" i="59"/>
  <c r="Z36" i="59"/>
  <c r="X36" i="59"/>
  <c r="V36" i="59"/>
  <c r="L36" i="59"/>
  <c r="N36" i="59" s="1"/>
  <c r="J36" i="59"/>
  <c r="F36" i="59"/>
  <c r="B36" i="59"/>
  <c r="T35" i="59"/>
  <c r="Z35" i="59" s="1"/>
  <c r="P35" i="59"/>
  <c r="X35" i="59" s="1"/>
  <c r="J35" i="59"/>
  <c r="H35" i="59"/>
  <c r="F35" i="59"/>
  <c r="D35" i="59"/>
  <c r="B35" i="59"/>
  <c r="Z34" i="59"/>
  <c r="X34" i="59"/>
  <c r="V34" i="59"/>
  <c r="N34" i="59"/>
  <c r="L34" i="59"/>
  <c r="F34" i="59"/>
  <c r="B34" i="59"/>
  <c r="Z33" i="59"/>
  <c r="X33" i="59"/>
  <c r="L33" i="59"/>
  <c r="N33" i="59" s="1"/>
  <c r="F33" i="59"/>
  <c r="B33" i="59"/>
  <c r="X32" i="59"/>
  <c r="Z32" i="59" s="1"/>
  <c r="V32" i="59"/>
  <c r="R32" i="59"/>
  <c r="L32" i="59"/>
  <c r="N32" i="59" s="1"/>
  <c r="B32" i="59"/>
  <c r="X31" i="59"/>
  <c r="Z31" i="59" s="1"/>
  <c r="V31" i="59"/>
  <c r="N31" i="59"/>
  <c r="L31" i="59"/>
  <c r="J31" i="59"/>
  <c r="B31" i="59"/>
  <c r="Z30" i="59"/>
  <c r="X30" i="59"/>
  <c r="V30" i="59"/>
  <c r="N30" i="59"/>
  <c r="L30" i="59"/>
  <c r="F30" i="59"/>
  <c r="B30" i="59"/>
  <c r="V29" i="59"/>
  <c r="T29" i="59"/>
  <c r="P29" i="59"/>
  <c r="X29" i="59" s="1"/>
  <c r="Z29" i="59" s="1"/>
  <c r="L29" i="59"/>
  <c r="J29" i="59"/>
  <c r="H29" i="59"/>
  <c r="N29" i="59" s="1"/>
  <c r="F29" i="59"/>
  <c r="D29" i="59"/>
  <c r="B29" i="59"/>
  <c r="X28" i="59"/>
  <c r="Z28" i="59" s="1"/>
  <c r="N28" i="59"/>
  <c r="L28" i="59"/>
  <c r="J28" i="59"/>
  <c r="F28" i="59"/>
  <c r="B28" i="59"/>
  <c r="Z27" i="59"/>
  <c r="X27" i="59"/>
  <c r="V27" i="59"/>
  <c r="N27" i="59"/>
  <c r="L27" i="59"/>
  <c r="F27" i="59"/>
  <c r="B27" i="59"/>
  <c r="Z26" i="59"/>
  <c r="X26" i="59"/>
  <c r="V26" i="59"/>
  <c r="R26" i="59"/>
  <c r="N26" i="59"/>
  <c r="L26" i="59"/>
  <c r="F26" i="59"/>
  <c r="B26" i="59"/>
  <c r="X25" i="59"/>
  <c r="Z25" i="59" s="1"/>
  <c r="R25" i="59"/>
  <c r="N25" i="59"/>
  <c r="L25" i="59"/>
  <c r="J25" i="59"/>
  <c r="F25" i="59"/>
  <c r="B25" i="59"/>
  <c r="X24" i="59"/>
  <c r="Z24" i="59" s="1"/>
  <c r="V24" i="59"/>
  <c r="N24" i="59"/>
  <c r="L24" i="59"/>
  <c r="J24" i="59"/>
  <c r="F24" i="59"/>
  <c r="B24" i="59"/>
  <c r="Z23" i="59"/>
  <c r="X23" i="59"/>
  <c r="V23" i="59"/>
  <c r="N23" i="59"/>
  <c r="L23" i="59"/>
  <c r="F23" i="59"/>
  <c r="B23" i="59"/>
  <c r="Z22" i="59"/>
  <c r="X22" i="59"/>
  <c r="V22" i="59"/>
  <c r="R22" i="59"/>
  <c r="N22" i="59"/>
  <c r="L22" i="59"/>
  <c r="F22" i="59"/>
  <c r="B22" i="59"/>
  <c r="X21" i="59"/>
  <c r="Z21" i="59" s="1"/>
  <c r="R21" i="59"/>
  <c r="N21" i="59"/>
  <c r="L21" i="59"/>
  <c r="J21" i="59"/>
  <c r="F21" i="59"/>
  <c r="B21" i="59"/>
  <c r="X20" i="59"/>
  <c r="Z20" i="59" s="1"/>
  <c r="V20" i="59"/>
  <c r="N20" i="59"/>
  <c r="L20" i="59"/>
  <c r="J20" i="59"/>
  <c r="F20" i="59"/>
  <c r="B20" i="59"/>
  <c r="Z19" i="59"/>
  <c r="X19" i="59"/>
  <c r="V19" i="59"/>
  <c r="T19" i="59"/>
  <c r="P19" i="59"/>
  <c r="H19" i="59"/>
  <c r="F19" i="59"/>
  <c r="D19" i="59"/>
  <c r="L19" i="59" s="1"/>
  <c r="B19" i="59"/>
  <c r="Z18" i="59"/>
  <c r="X18" i="59"/>
  <c r="T18" i="59"/>
  <c r="P18" i="59"/>
  <c r="J18" i="59"/>
  <c r="H18" i="59"/>
  <c r="F18" i="59"/>
  <c r="D18" i="59"/>
  <c r="L18" i="59" s="1"/>
  <c r="J16" i="59"/>
  <c r="F16" i="59"/>
  <c r="Z14" i="59"/>
  <c r="X14" i="59"/>
  <c r="T14" i="59"/>
  <c r="T16" i="59" s="1"/>
  <c r="P14" i="59"/>
  <c r="J14" i="59"/>
  <c r="H14" i="59"/>
  <c r="N14" i="59" s="1"/>
  <c r="F14" i="59"/>
  <c r="D14" i="59"/>
  <c r="L14" i="59" s="1"/>
  <c r="Z12" i="59"/>
  <c r="X12" i="59"/>
  <c r="T12" i="59"/>
  <c r="V50" i="59" s="1"/>
  <c r="P12" i="59"/>
  <c r="R40" i="59" s="1"/>
  <c r="N12" i="59"/>
  <c r="H12" i="59"/>
  <c r="J57" i="59" s="1"/>
  <c r="D12" i="59"/>
  <c r="F57" i="59" s="1"/>
  <c r="D6" i="59"/>
  <c r="D4" i="59"/>
  <c r="F77" i="58"/>
  <c r="F74" i="58"/>
  <c r="Z72" i="58"/>
  <c r="X72" i="58"/>
  <c r="N72" i="58"/>
  <c r="L72" i="58"/>
  <c r="V70" i="58"/>
  <c r="T68" i="58"/>
  <c r="Z68" i="58" s="1"/>
  <c r="P68" i="58"/>
  <c r="X68" i="58" s="1"/>
  <c r="N68" i="58"/>
  <c r="L68" i="58"/>
  <c r="H68" i="58"/>
  <c r="D68" i="58"/>
  <c r="Z66" i="58"/>
  <c r="X66" i="58"/>
  <c r="L66" i="58"/>
  <c r="N66" i="58" s="1"/>
  <c r="J66" i="58"/>
  <c r="B66" i="58"/>
  <c r="T65" i="58"/>
  <c r="P65" i="58"/>
  <c r="X65" i="58" s="1"/>
  <c r="Z65" i="58" s="1"/>
  <c r="J65" i="58"/>
  <c r="H65" i="58"/>
  <c r="D65" i="58"/>
  <c r="B65" i="58"/>
  <c r="Z64" i="58"/>
  <c r="X64" i="58"/>
  <c r="N64" i="58"/>
  <c r="L64" i="58"/>
  <c r="F64" i="58"/>
  <c r="B64" i="58"/>
  <c r="T63" i="58"/>
  <c r="P63" i="58"/>
  <c r="X63" i="58" s="1"/>
  <c r="Z63" i="58" s="1"/>
  <c r="L63" i="58"/>
  <c r="H63" i="58"/>
  <c r="N63" i="58" s="1"/>
  <c r="F63" i="58"/>
  <c r="D63" i="58"/>
  <c r="B63" i="58"/>
  <c r="X62" i="58"/>
  <c r="Z62" i="58" s="1"/>
  <c r="N62" i="58"/>
  <c r="L62" i="58"/>
  <c r="J62" i="58"/>
  <c r="B62" i="58"/>
  <c r="Z61" i="58"/>
  <c r="X61" i="58"/>
  <c r="T61" i="58"/>
  <c r="P61" i="58"/>
  <c r="H61" i="58"/>
  <c r="D61" i="58"/>
  <c r="B61" i="58"/>
  <c r="Z60" i="58"/>
  <c r="X60" i="58"/>
  <c r="N60" i="58"/>
  <c r="L60" i="58"/>
  <c r="B60" i="58"/>
  <c r="Z59" i="58"/>
  <c r="X59" i="58"/>
  <c r="R59" i="58"/>
  <c r="N59" i="58"/>
  <c r="L59" i="58"/>
  <c r="B59" i="58"/>
  <c r="Z58" i="58"/>
  <c r="X58" i="58"/>
  <c r="V58" i="58"/>
  <c r="L58" i="58"/>
  <c r="N58" i="58" s="1"/>
  <c r="J58" i="58"/>
  <c r="B58" i="58"/>
  <c r="Z57" i="58"/>
  <c r="X57" i="58"/>
  <c r="N57" i="58"/>
  <c r="L57" i="58"/>
  <c r="B57" i="58"/>
  <c r="Z56" i="58"/>
  <c r="X56" i="58"/>
  <c r="T56" i="58"/>
  <c r="P56" i="58"/>
  <c r="J56" i="58"/>
  <c r="H56" i="58"/>
  <c r="N56" i="58" s="1"/>
  <c r="D56" i="58"/>
  <c r="L56" i="58" s="1"/>
  <c r="B56" i="58"/>
  <c r="Z55" i="58"/>
  <c r="X55" i="58"/>
  <c r="N55" i="58"/>
  <c r="L55" i="58"/>
  <c r="F55" i="58"/>
  <c r="B55" i="58"/>
  <c r="X54" i="58"/>
  <c r="T54" i="58"/>
  <c r="Z54" i="58" s="1"/>
  <c r="P54" i="58"/>
  <c r="H54" i="58"/>
  <c r="F54" i="58"/>
  <c r="D54" i="58"/>
  <c r="L54" i="58" s="1"/>
  <c r="N54" i="58" s="1"/>
  <c r="B54" i="58"/>
  <c r="Z53" i="58"/>
  <c r="X53" i="58"/>
  <c r="N53" i="58"/>
  <c r="L53" i="58"/>
  <c r="B53" i="58"/>
  <c r="Z52" i="58"/>
  <c r="X52" i="58"/>
  <c r="R52" i="58"/>
  <c r="N52" i="58"/>
  <c r="L52" i="58"/>
  <c r="B52" i="58"/>
  <c r="T51" i="58"/>
  <c r="P51" i="58"/>
  <c r="X51" i="58" s="1"/>
  <c r="N51" i="58"/>
  <c r="L51" i="58"/>
  <c r="H51" i="58"/>
  <c r="D51" i="58"/>
  <c r="B51" i="58"/>
  <c r="Z50" i="58"/>
  <c r="X50" i="58"/>
  <c r="L50" i="58"/>
  <c r="N50" i="58" s="1"/>
  <c r="J50" i="58"/>
  <c r="B50" i="58"/>
  <c r="X49" i="58"/>
  <c r="Z49" i="58" s="1"/>
  <c r="L49" i="58"/>
  <c r="N49" i="58" s="1"/>
  <c r="J49" i="58"/>
  <c r="B49" i="58"/>
  <c r="Z48" i="58"/>
  <c r="X48" i="58"/>
  <c r="T48" i="58"/>
  <c r="P48" i="58"/>
  <c r="J48" i="58"/>
  <c r="H48" i="58"/>
  <c r="D48" i="58"/>
  <c r="L48" i="58" s="1"/>
  <c r="B48" i="58"/>
  <c r="Z47" i="58"/>
  <c r="X47" i="58"/>
  <c r="N47" i="58"/>
  <c r="L47" i="58"/>
  <c r="F47" i="58"/>
  <c r="B47" i="58"/>
  <c r="X46" i="58"/>
  <c r="T46" i="58"/>
  <c r="P46" i="58"/>
  <c r="H46" i="58"/>
  <c r="F46" i="58"/>
  <c r="D46" i="58"/>
  <c r="L46" i="58" s="1"/>
  <c r="N46" i="58" s="1"/>
  <c r="B46" i="58"/>
  <c r="Z45" i="58"/>
  <c r="X45" i="58"/>
  <c r="N45" i="58"/>
  <c r="L45" i="58"/>
  <c r="B45" i="58"/>
  <c r="Z44" i="58"/>
  <c r="T44" i="58"/>
  <c r="X44" i="58" s="1"/>
  <c r="R44" i="58"/>
  <c r="P44" i="58"/>
  <c r="H44" i="58"/>
  <c r="N44" i="58" s="1"/>
  <c r="D44" i="58"/>
  <c r="B44" i="58"/>
  <c r="Z43" i="58"/>
  <c r="X43" i="58"/>
  <c r="V43" i="58"/>
  <c r="R43" i="58"/>
  <c r="N43" i="58"/>
  <c r="L43" i="58"/>
  <c r="B43" i="58"/>
  <c r="T42" i="58"/>
  <c r="P42" i="58"/>
  <c r="X42" i="58" s="1"/>
  <c r="N42" i="58"/>
  <c r="L42" i="58"/>
  <c r="H42" i="58"/>
  <c r="D42" i="58"/>
  <c r="B42" i="58"/>
  <c r="X41" i="58"/>
  <c r="Z41" i="58" s="1"/>
  <c r="L41" i="58"/>
  <c r="N41" i="58" s="1"/>
  <c r="B41" i="58"/>
  <c r="T40" i="58"/>
  <c r="R40" i="58"/>
  <c r="P40" i="58"/>
  <c r="X40" i="58" s="1"/>
  <c r="Z40" i="58" s="1"/>
  <c r="L40" i="58"/>
  <c r="J40" i="58"/>
  <c r="H40" i="58"/>
  <c r="N40" i="58" s="1"/>
  <c r="D40" i="58"/>
  <c r="B40" i="58"/>
  <c r="Z39" i="58"/>
  <c r="X39" i="58"/>
  <c r="R39" i="58"/>
  <c r="N39" i="58"/>
  <c r="L39" i="58"/>
  <c r="J39" i="58"/>
  <c r="F39" i="58"/>
  <c r="B39" i="58"/>
  <c r="T38" i="58"/>
  <c r="P38" i="58"/>
  <c r="H38" i="58"/>
  <c r="L38" i="58" s="1"/>
  <c r="F38" i="58"/>
  <c r="D38" i="58"/>
  <c r="B38" i="58"/>
  <c r="X37" i="58"/>
  <c r="Z37" i="58" s="1"/>
  <c r="L37" i="58"/>
  <c r="N37" i="58" s="1"/>
  <c r="J37" i="58"/>
  <c r="B37" i="58"/>
  <c r="Z36" i="58"/>
  <c r="X36" i="58"/>
  <c r="T36" i="58"/>
  <c r="P36" i="58"/>
  <c r="J36" i="58"/>
  <c r="H36" i="58"/>
  <c r="D36" i="58"/>
  <c r="L36" i="58" s="1"/>
  <c r="B36" i="58"/>
  <c r="Z35" i="58"/>
  <c r="X35" i="58"/>
  <c r="N35" i="58"/>
  <c r="L35" i="58"/>
  <c r="F35" i="58"/>
  <c r="B35" i="58"/>
  <c r="X34" i="58"/>
  <c r="T34" i="58"/>
  <c r="Z34" i="58" s="1"/>
  <c r="P34" i="58"/>
  <c r="N34" i="58"/>
  <c r="H34" i="58"/>
  <c r="F34" i="58"/>
  <c r="D34" i="58"/>
  <c r="L34" i="58" s="1"/>
  <c r="B34" i="58"/>
  <c r="Z33" i="58"/>
  <c r="X33" i="58"/>
  <c r="L33" i="58"/>
  <c r="N33" i="58" s="1"/>
  <c r="B33" i="58"/>
  <c r="Z32" i="58"/>
  <c r="X32" i="58"/>
  <c r="R32" i="58"/>
  <c r="N32" i="58"/>
  <c r="L32" i="58"/>
  <c r="B32" i="58"/>
  <c r="Z31" i="58"/>
  <c r="X31" i="58"/>
  <c r="R31" i="58"/>
  <c r="N31" i="58"/>
  <c r="L31" i="58"/>
  <c r="J31" i="58"/>
  <c r="F31" i="58"/>
  <c r="B31" i="58"/>
  <c r="X30" i="58"/>
  <c r="Z30" i="58" s="1"/>
  <c r="N30" i="58"/>
  <c r="L30" i="58"/>
  <c r="J30" i="58"/>
  <c r="F30" i="58"/>
  <c r="B30" i="58"/>
  <c r="Z29" i="58"/>
  <c r="X29" i="58"/>
  <c r="T29" i="58"/>
  <c r="P29" i="58"/>
  <c r="H29" i="58"/>
  <c r="F29" i="58"/>
  <c r="D29" i="58"/>
  <c r="L29" i="58" s="1"/>
  <c r="B29" i="58"/>
  <c r="Z28" i="58"/>
  <c r="X28" i="58"/>
  <c r="N28" i="58"/>
  <c r="L28" i="58"/>
  <c r="B28" i="58"/>
  <c r="Z27" i="58"/>
  <c r="X27" i="58"/>
  <c r="V27" i="58"/>
  <c r="R27" i="58"/>
  <c r="N27" i="58"/>
  <c r="L27" i="58"/>
  <c r="B27" i="58"/>
  <c r="Z26" i="58"/>
  <c r="X26" i="58"/>
  <c r="V26" i="58"/>
  <c r="R26" i="58"/>
  <c r="L26" i="58"/>
  <c r="N26" i="58" s="1"/>
  <c r="J26" i="58"/>
  <c r="B26" i="58"/>
  <c r="X25" i="58"/>
  <c r="Z25" i="58" s="1"/>
  <c r="L25" i="58"/>
  <c r="N25" i="58" s="1"/>
  <c r="J25" i="58"/>
  <c r="B25" i="58"/>
  <c r="Z24" i="58"/>
  <c r="X24" i="58"/>
  <c r="L24" i="58"/>
  <c r="N24" i="58" s="1"/>
  <c r="B24" i="58"/>
  <c r="Z23" i="58"/>
  <c r="X23" i="58"/>
  <c r="R23" i="58"/>
  <c r="N23" i="58"/>
  <c r="L23" i="58"/>
  <c r="B23" i="58"/>
  <c r="Z22" i="58"/>
  <c r="X22" i="58"/>
  <c r="V22" i="58"/>
  <c r="R22" i="58"/>
  <c r="L22" i="58"/>
  <c r="N22" i="58" s="1"/>
  <c r="J22" i="58"/>
  <c r="B22" i="58"/>
  <c r="X21" i="58"/>
  <c r="Z21" i="58" s="1"/>
  <c r="L21" i="58"/>
  <c r="N21" i="58" s="1"/>
  <c r="J21" i="58"/>
  <c r="B21" i="58"/>
  <c r="Z20" i="58"/>
  <c r="X20" i="58"/>
  <c r="L20" i="58"/>
  <c r="N20" i="58" s="1"/>
  <c r="B20" i="58"/>
  <c r="T19" i="58"/>
  <c r="P19" i="58"/>
  <c r="J19" i="58"/>
  <c r="H19" i="58"/>
  <c r="D19" i="58"/>
  <c r="L19" i="58" s="1"/>
  <c r="N19" i="58" s="1"/>
  <c r="B19" i="58"/>
  <c r="X18" i="58"/>
  <c r="V18" i="58"/>
  <c r="T18" i="58"/>
  <c r="Z18" i="58" s="1"/>
  <c r="P18" i="58"/>
  <c r="H18" i="58"/>
  <c r="N18" i="58" s="1"/>
  <c r="F18" i="58"/>
  <c r="D18" i="58"/>
  <c r="L18" i="58" s="1"/>
  <c r="V16" i="58"/>
  <c r="F16" i="58"/>
  <c r="D16" i="58"/>
  <c r="X14" i="58"/>
  <c r="T14" i="58"/>
  <c r="Z14" i="58" s="1"/>
  <c r="P14" i="58"/>
  <c r="H14" i="58"/>
  <c r="N14" i="58" s="1"/>
  <c r="F14" i="58"/>
  <c r="D14" i="58"/>
  <c r="L14" i="58" s="1"/>
  <c r="X12" i="58"/>
  <c r="T12" i="58"/>
  <c r="V59" i="58" s="1"/>
  <c r="P12" i="58"/>
  <c r="R72" i="58" s="1"/>
  <c r="H12" i="58"/>
  <c r="J51" i="58" s="1"/>
  <c r="D12" i="58"/>
  <c r="F66" i="58" s="1"/>
  <c r="D6" i="58"/>
  <c r="D4" i="58"/>
  <c r="R67" i="57"/>
  <c r="Z62" i="57"/>
  <c r="X62" i="57"/>
  <c r="N62" i="57"/>
  <c r="L62" i="57"/>
  <c r="J60" i="57"/>
  <c r="T58" i="57"/>
  <c r="Z58" i="57" s="1"/>
  <c r="P58" i="57"/>
  <c r="X58" i="57" s="1"/>
  <c r="L58" i="57"/>
  <c r="J58" i="57"/>
  <c r="H58" i="57"/>
  <c r="N58" i="57" s="1"/>
  <c r="D58" i="57"/>
  <c r="Z56" i="57"/>
  <c r="X56" i="57"/>
  <c r="N56" i="57"/>
  <c r="L56" i="57"/>
  <c r="F56" i="57"/>
  <c r="B56" i="57"/>
  <c r="Z55" i="57"/>
  <c r="T55" i="57"/>
  <c r="P55" i="57"/>
  <c r="X55" i="57" s="1"/>
  <c r="N55" i="57"/>
  <c r="J55" i="57"/>
  <c r="H55" i="57"/>
  <c r="F55" i="57"/>
  <c r="D55" i="57"/>
  <c r="L55" i="57" s="1"/>
  <c r="B55" i="57"/>
  <c r="X54" i="57"/>
  <c r="Z54" i="57" s="1"/>
  <c r="L54" i="57"/>
  <c r="N54" i="57" s="1"/>
  <c r="J54" i="57"/>
  <c r="F54" i="57"/>
  <c r="B54" i="57"/>
  <c r="X53" i="57"/>
  <c r="Z53" i="57" s="1"/>
  <c r="T53" i="57"/>
  <c r="P53" i="57"/>
  <c r="J53" i="57"/>
  <c r="H53" i="57"/>
  <c r="F53" i="57"/>
  <c r="D53" i="57"/>
  <c r="B53" i="57"/>
  <c r="Z52" i="57"/>
  <c r="X52" i="57"/>
  <c r="L52" i="57"/>
  <c r="N52" i="57" s="1"/>
  <c r="B52" i="57"/>
  <c r="Z51" i="57"/>
  <c r="X51" i="57"/>
  <c r="V51" i="57"/>
  <c r="N51" i="57"/>
  <c r="L51" i="57"/>
  <c r="B51" i="57"/>
  <c r="Z50" i="57"/>
  <c r="X50" i="57"/>
  <c r="V50" i="57"/>
  <c r="N50" i="57"/>
  <c r="L50" i="57"/>
  <c r="J50" i="57"/>
  <c r="B50" i="57"/>
  <c r="T49" i="57"/>
  <c r="P49" i="57"/>
  <c r="X49" i="57" s="1"/>
  <c r="Z49" i="57" s="1"/>
  <c r="J49" i="57"/>
  <c r="H49" i="57"/>
  <c r="D49" i="57"/>
  <c r="B49" i="57"/>
  <c r="X48" i="57"/>
  <c r="Z48" i="57" s="1"/>
  <c r="L48" i="57"/>
  <c r="N48" i="57" s="1"/>
  <c r="F48" i="57"/>
  <c r="B48" i="57"/>
  <c r="T47" i="57"/>
  <c r="X47" i="57" s="1"/>
  <c r="Z47" i="57" s="1"/>
  <c r="P47" i="57"/>
  <c r="L47" i="57"/>
  <c r="N47" i="57" s="1"/>
  <c r="J47" i="57"/>
  <c r="H47" i="57"/>
  <c r="F47" i="57"/>
  <c r="D47" i="57"/>
  <c r="B47" i="57"/>
  <c r="X46" i="57"/>
  <c r="Z46" i="57" s="1"/>
  <c r="L46" i="57"/>
  <c r="N46" i="57" s="1"/>
  <c r="J46" i="57"/>
  <c r="F46" i="57"/>
  <c r="B46" i="57"/>
  <c r="Z45" i="57"/>
  <c r="X45" i="57"/>
  <c r="N45" i="57"/>
  <c r="L45" i="57"/>
  <c r="B45" i="57"/>
  <c r="T44" i="57"/>
  <c r="X44" i="57" s="1"/>
  <c r="Z44" i="57" s="1"/>
  <c r="P44" i="57"/>
  <c r="H44" i="57"/>
  <c r="N44" i="57" s="1"/>
  <c r="D44" i="57"/>
  <c r="L44" i="57" s="1"/>
  <c r="B44" i="57"/>
  <c r="Z43" i="57"/>
  <c r="X43" i="57"/>
  <c r="V43" i="57"/>
  <c r="N43" i="57"/>
  <c r="L43" i="57"/>
  <c r="B43" i="57"/>
  <c r="V42" i="57"/>
  <c r="T42" i="57"/>
  <c r="P42" i="57"/>
  <c r="X42" i="57" s="1"/>
  <c r="N42" i="57"/>
  <c r="L42" i="57"/>
  <c r="H42" i="57"/>
  <c r="D42" i="57"/>
  <c r="B42" i="57"/>
  <c r="X41" i="57"/>
  <c r="Z41" i="57" s="1"/>
  <c r="V41" i="57"/>
  <c r="L41" i="57"/>
  <c r="N41" i="57" s="1"/>
  <c r="J41" i="57"/>
  <c r="B41" i="57"/>
  <c r="T40" i="57"/>
  <c r="Z40" i="57" s="1"/>
  <c r="P40" i="57"/>
  <c r="X40" i="57" s="1"/>
  <c r="L40" i="57"/>
  <c r="J40" i="57"/>
  <c r="H40" i="57"/>
  <c r="D40" i="57"/>
  <c r="B40" i="57"/>
  <c r="Z39" i="57"/>
  <c r="X39" i="57"/>
  <c r="N39" i="57"/>
  <c r="L39" i="57"/>
  <c r="J39" i="57"/>
  <c r="F39" i="57"/>
  <c r="B39" i="57"/>
  <c r="Z38" i="57"/>
  <c r="X38" i="57"/>
  <c r="N38" i="57"/>
  <c r="L38" i="57"/>
  <c r="J38" i="57"/>
  <c r="F38" i="57"/>
  <c r="B38" i="57"/>
  <c r="X37" i="57"/>
  <c r="Z37" i="57" s="1"/>
  <c r="T37" i="57"/>
  <c r="P37" i="57"/>
  <c r="J37" i="57"/>
  <c r="H37" i="57"/>
  <c r="F37" i="57"/>
  <c r="D37" i="57"/>
  <c r="L37" i="57" s="1"/>
  <c r="B37" i="57"/>
  <c r="X36" i="57"/>
  <c r="Z36" i="57" s="1"/>
  <c r="L36" i="57"/>
  <c r="N36" i="57" s="1"/>
  <c r="B36" i="57"/>
  <c r="V35" i="57"/>
  <c r="T35" i="57"/>
  <c r="P35" i="57"/>
  <c r="J35" i="57"/>
  <c r="H35" i="57"/>
  <c r="D35" i="57"/>
  <c r="L35" i="57" s="1"/>
  <c r="N35" i="57" s="1"/>
  <c r="B35" i="57"/>
  <c r="X34" i="57"/>
  <c r="Z34" i="57" s="1"/>
  <c r="R34" i="57"/>
  <c r="L34" i="57"/>
  <c r="N34" i="57" s="1"/>
  <c r="B34" i="57"/>
  <c r="X33" i="57"/>
  <c r="Z33" i="57" s="1"/>
  <c r="T33" i="57"/>
  <c r="P33" i="57"/>
  <c r="H33" i="57"/>
  <c r="L33" i="57" s="1"/>
  <c r="N33" i="57" s="1"/>
  <c r="D33" i="57"/>
  <c r="B33" i="57"/>
  <c r="Z32" i="57"/>
  <c r="X32" i="57"/>
  <c r="N32" i="57"/>
  <c r="L32" i="57"/>
  <c r="B32" i="57"/>
  <c r="Z31" i="57"/>
  <c r="X31" i="57"/>
  <c r="N31" i="57"/>
  <c r="L31" i="57"/>
  <c r="J31" i="57"/>
  <c r="F31" i="57"/>
  <c r="B31" i="57"/>
  <c r="X30" i="57"/>
  <c r="Z30" i="57" s="1"/>
  <c r="L30" i="57"/>
  <c r="N30" i="57" s="1"/>
  <c r="J30" i="57"/>
  <c r="F30" i="57"/>
  <c r="B30" i="57"/>
  <c r="Z29" i="57"/>
  <c r="X29" i="57"/>
  <c r="V29" i="57"/>
  <c r="N29" i="57"/>
  <c r="L29" i="57"/>
  <c r="J29" i="57"/>
  <c r="B29" i="57"/>
  <c r="X28" i="57"/>
  <c r="Z28" i="57" s="1"/>
  <c r="T28" i="57"/>
  <c r="P28" i="57"/>
  <c r="H28" i="57"/>
  <c r="N28" i="57" s="1"/>
  <c r="D28" i="57"/>
  <c r="L28" i="57" s="1"/>
  <c r="B28" i="57"/>
  <c r="Z27" i="57"/>
  <c r="X27" i="57"/>
  <c r="V27" i="57"/>
  <c r="N27" i="57"/>
  <c r="L27" i="57"/>
  <c r="B27" i="57"/>
  <c r="X26" i="57"/>
  <c r="Z26" i="57" s="1"/>
  <c r="V26" i="57"/>
  <c r="L26" i="57"/>
  <c r="N26" i="57" s="1"/>
  <c r="J26" i="57"/>
  <c r="F26" i="57"/>
  <c r="B26" i="57"/>
  <c r="Z25" i="57"/>
  <c r="X25" i="57"/>
  <c r="L25" i="57"/>
  <c r="N25" i="57" s="1"/>
  <c r="J25" i="57"/>
  <c r="B25" i="57"/>
  <c r="Z24" i="57"/>
  <c r="X24" i="57"/>
  <c r="L24" i="57"/>
  <c r="N24" i="57" s="1"/>
  <c r="B24" i="57"/>
  <c r="Z23" i="57"/>
  <c r="X23" i="57"/>
  <c r="R23" i="57"/>
  <c r="N23" i="57"/>
  <c r="L23" i="57"/>
  <c r="B23" i="57"/>
  <c r="X22" i="57"/>
  <c r="Z22" i="57" s="1"/>
  <c r="V22" i="57"/>
  <c r="L22" i="57"/>
  <c r="N22" i="57" s="1"/>
  <c r="J22" i="57"/>
  <c r="F22" i="57"/>
  <c r="B22" i="57"/>
  <c r="X21" i="57"/>
  <c r="Z21" i="57" s="1"/>
  <c r="L21" i="57"/>
  <c r="N21" i="57" s="1"/>
  <c r="J21" i="57"/>
  <c r="B21" i="57"/>
  <c r="Z20" i="57"/>
  <c r="X20" i="57"/>
  <c r="L20" i="57"/>
  <c r="N20" i="57" s="1"/>
  <c r="B20" i="57"/>
  <c r="V19" i="57"/>
  <c r="T19" i="57"/>
  <c r="P19" i="57"/>
  <c r="J19" i="57"/>
  <c r="H19" i="57"/>
  <c r="D19" i="57"/>
  <c r="L19" i="57" s="1"/>
  <c r="N19" i="57" s="1"/>
  <c r="B19" i="57"/>
  <c r="V18" i="57"/>
  <c r="T18" i="57"/>
  <c r="X18" i="57" s="1"/>
  <c r="P18" i="57"/>
  <c r="H18" i="57"/>
  <c r="F18" i="57"/>
  <c r="D18" i="57"/>
  <c r="L18" i="57" s="1"/>
  <c r="V16" i="57"/>
  <c r="H16" i="57"/>
  <c r="F16" i="57"/>
  <c r="D16" i="57"/>
  <c r="V14" i="57"/>
  <c r="T14" i="57"/>
  <c r="Z14" i="57" s="1"/>
  <c r="P14" i="57"/>
  <c r="H14" i="57"/>
  <c r="N14" i="57" s="1"/>
  <c r="F14" i="57"/>
  <c r="D14" i="57"/>
  <c r="X12" i="57"/>
  <c r="T12" i="57"/>
  <c r="V33" i="57" s="1"/>
  <c r="P12" i="57"/>
  <c r="R35" i="57" s="1"/>
  <c r="H12" i="57"/>
  <c r="J62" i="57" s="1"/>
  <c r="D12" i="57"/>
  <c r="F50" i="57" s="1"/>
  <c r="D6" i="57"/>
  <c r="D4" i="57"/>
  <c r="R70" i="56"/>
  <c r="Z65" i="56"/>
  <c r="X65" i="56"/>
  <c r="R65" i="56"/>
  <c r="N65" i="56"/>
  <c r="L65" i="56"/>
  <c r="R63" i="56"/>
  <c r="J63" i="56"/>
  <c r="T61" i="56"/>
  <c r="Z61" i="56" s="1"/>
  <c r="R61" i="56"/>
  <c r="P61" i="56"/>
  <c r="L61" i="56"/>
  <c r="J61" i="56"/>
  <c r="H61" i="56"/>
  <c r="N61" i="56" s="1"/>
  <c r="D61" i="56"/>
  <c r="X59" i="56"/>
  <c r="Z59" i="56" s="1"/>
  <c r="N59" i="56"/>
  <c r="L59" i="56"/>
  <c r="B59" i="56"/>
  <c r="Z58" i="56"/>
  <c r="T58" i="56"/>
  <c r="R58" i="56"/>
  <c r="P58" i="56"/>
  <c r="X58" i="56" s="1"/>
  <c r="L58" i="56"/>
  <c r="N58" i="56" s="1"/>
  <c r="J58" i="56"/>
  <c r="H58" i="56"/>
  <c r="D58" i="56"/>
  <c r="B58" i="56"/>
  <c r="X57" i="56"/>
  <c r="Z57" i="56" s="1"/>
  <c r="R57" i="56"/>
  <c r="L57" i="56"/>
  <c r="N57" i="56" s="1"/>
  <c r="J57" i="56"/>
  <c r="B57" i="56"/>
  <c r="Z56" i="56"/>
  <c r="X56" i="56"/>
  <c r="T56" i="56"/>
  <c r="P56" i="56"/>
  <c r="J56" i="56"/>
  <c r="H56" i="56"/>
  <c r="N56" i="56" s="1"/>
  <c r="D56" i="56"/>
  <c r="L56" i="56" s="1"/>
  <c r="B56" i="56"/>
  <c r="X55" i="56"/>
  <c r="Z55" i="56" s="1"/>
  <c r="N55" i="56"/>
  <c r="L55" i="56"/>
  <c r="B55" i="56"/>
  <c r="Z54" i="56"/>
  <c r="X54" i="56"/>
  <c r="N54" i="56"/>
  <c r="L54" i="56"/>
  <c r="B54" i="56"/>
  <c r="Z53" i="56"/>
  <c r="X53" i="56"/>
  <c r="R53" i="56"/>
  <c r="N53" i="56"/>
  <c r="L53" i="56"/>
  <c r="J53" i="56"/>
  <c r="B53" i="56"/>
  <c r="V52" i="56"/>
  <c r="T52" i="56"/>
  <c r="R52" i="56"/>
  <c r="P52" i="56"/>
  <c r="X52" i="56" s="1"/>
  <c r="Z52" i="56" s="1"/>
  <c r="J52" i="56"/>
  <c r="H52" i="56"/>
  <c r="D52" i="56"/>
  <c r="B52" i="56"/>
  <c r="X51" i="56"/>
  <c r="Z51" i="56" s="1"/>
  <c r="N51" i="56"/>
  <c r="L51" i="56"/>
  <c r="B51" i="56"/>
  <c r="T50" i="56"/>
  <c r="R50" i="56"/>
  <c r="P50" i="56"/>
  <c r="X50" i="56" s="1"/>
  <c r="Z50" i="56" s="1"/>
  <c r="N50" i="56"/>
  <c r="L50" i="56"/>
  <c r="J50" i="56"/>
  <c r="H50" i="56"/>
  <c r="D50" i="56"/>
  <c r="B50" i="56"/>
  <c r="X49" i="56"/>
  <c r="Z49" i="56" s="1"/>
  <c r="N49" i="56"/>
  <c r="L49" i="56"/>
  <c r="J49" i="56"/>
  <c r="B49" i="56"/>
  <c r="Z48" i="56"/>
  <c r="X48" i="56"/>
  <c r="V48" i="56"/>
  <c r="N48" i="56"/>
  <c r="L48" i="56"/>
  <c r="J48" i="56"/>
  <c r="B48" i="56"/>
  <c r="X47" i="56"/>
  <c r="T47" i="56"/>
  <c r="Z47" i="56" s="1"/>
  <c r="P47" i="56"/>
  <c r="H47" i="56"/>
  <c r="D47" i="56"/>
  <c r="B47" i="56"/>
  <c r="Z46" i="56"/>
  <c r="X46" i="56"/>
  <c r="V46" i="56"/>
  <c r="R46" i="56"/>
  <c r="N46" i="56"/>
  <c r="L46" i="56"/>
  <c r="B46" i="56"/>
  <c r="X45" i="56"/>
  <c r="Z45" i="56" s="1"/>
  <c r="R45" i="56"/>
  <c r="N45" i="56"/>
  <c r="L45" i="56"/>
  <c r="J45" i="56"/>
  <c r="B45" i="56"/>
  <c r="T44" i="56"/>
  <c r="R44" i="56"/>
  <c r="P44" i="56"/>
  <c r="X44" i="56" s="1"/>
  <c r="Z44" i="56" s="1"/>
  <c r="J44" i="56"/>
  <c r="H44" i="56"/>
  <c r="N44" i="56" s="1"/>
  <c r="D44" i="56"/>
  <c r="L44" i="56" s="1"/>
  <c r="B44" i="56"/>
  <c r="X43" i="56"/>
  <c r="Z43" i="56" s="1"/>
  <c r="R43" i="56"/>
  <c r="L43" i="56"/>
  <c r="N43" i="56" s="1"/>
  <c r="B43" i="56"/>
  <c r="X42" i="56"/>
  <c r="Z42" i="56" s="1"/>
  <c r="T42" i="56"/>
  <c r="P42" i="56"/>
  <c r="J42" i="56"/>
  <c r="H42" i="56"/>
  <c r="D42" i="56"/>
  <c r="L42" i="56" s="1"/>
  <c r="N42" i="56" s="1"/>
  <c r="B42" i="56"/>
  <c r="Z41" i="56"/>
  <c r="X41" i="56"/>
  <c r="R41" i="56"/>
  <c r="L41" i="56"/>
  <c r="N41" i="56" s="1"/>
  <c r="J41" i="56"/>
  <c r="B41" i="56"/>
  <c r="T40" i="56"/>
  <c r="X40" i="56" s="1"/>
  <c r="Z40" i="56" s="1"/>
  <c r="P40" i="56"/>
  <c r="J40" i="56"/>
  <c r="H40" i="56"/>
  <c r="N40" i="56" s="1"/>
  <c r="D40" i="56"/>
  <c r="L40" i="56" s="1"/>
  <c r="B40" i="56"/>
  <c r="X39" i="56"/>
  <c r="Z39" i="56" s="1"/>
  <c r="L39" i="56"/>
  <c r="N39" i="56" s="1"/>
  <c r="B39" i="56"/>
  <c r="T38" i="56"/>
  <c r="Z38" i="56" s="1"/>
  <c r="P38" i="56"/>
  <c r="X38" i="56" s="1"/>
  <c r="J38" i="56"/>
  <c r="H38" i="56"/>
  <c r="D38" i="56"/>
  <c r="L38" i="56" s="1"/>
  <c r="N38" i="56" s="1"/>
  <c r="B38" i="56"/>
  <c r="X37" i="56"/>
  <c r="Z37" i="56" s="1"/>
  <c r="N37" i="56"/>
  <c r="L37" i="56"/>
  <c r="B37" i="56"/>
  <c r="V36" i="56"/>
  <c r="T36" i="56"/>
  <c r="R36" i="56"/>
  <c r="P36" i="56"/>
  <c r="X36" i="56" s="1"/>
  <c r="Z36" i="56" s="1"/>
  <c r="N36" i="56"/>
  <c r="L36" i="56"/>
  <c r="H36" i="56"/>
  <c r="D36" i="56"/>
  <c r="B36" i="56"/>
  <c r="X35" i="56"/>
  <c r="Z35" i="56" s="1"/>
  <c r="R35" i="56"/>
  <c r="L35" i="56"/>
  <c r="N35" i="56" s="1"/>
  <c r="J35" i="56"/>
  <c r="B35" i="56"/>
  <c r="T34" i="56"/>
  <c r="X34" i="56" s="1"/>
  <c r="P34" i="56"/>
  <c r="L34" i="56"/>
  <c r="J34" i="56"/>
  <c r="H34" i="56"/>
  <c r="N34" i="56" s="1"/>
  <c r="D34" i="56"/>
  <c r="B34" i="56"/>
  <c r="Z33" i="56"/>
  <c r="X33" i="56"/>
  <c r="R33" i="56"/>
  <c r="L33" i="56"/>
  <c r="N33" i="56" s="1"/>
  <c r="J33" i="56"/>
  <c r="B33" i="56"/>
  <c r="V32" i="56"/>
  <c r="T32" i="56"/>
  <c r="R32" i="56"/>
  <c r="P32" i="56"/>
  <c r="X32" i="56" s="1"/>
  <c r="J32" i="56"/>
  <c r="H32" i="56"/>
  <c r="D32" i="56"/>
  <c r="B32" i="56"/>
  <c r="X31" i="56"/>
  <c r="Z31" i="56" s="1"/>
  <c r="R31" i="56"/>
  <c r="L31" i="56"/>
  <c r="N31" i="56" s="1"/>
  <c r="B31" i="56"/>
  <c r="X30" i="56"/>
  <c r="Z30" i="56" s="1"/>
  <c r="N30" i="56"/>
  <c r="L30" i="56"/>
  <c r="J30" i="56"/>
  <c r="B30" i="56"/>
  <c r="X29" i="56"/>
  <c r="Z29" i="56" s="1"/>
  <c r="R29" i="56"/>
  <c r="N29" i="56"/>
  <c r="L29" i="56"/>
  <c r="B29" i="56"/>
  <c r="V28" i="56"/>
  <c r="T28" i="56"/>
  <c r="R28" i="56"/>
  <c r="P28" i="56"/>
  <c r="X28" i="56" s="1"/>
  <c r="Z28" i="56" s="1"/>
  <c r="L28" i="56"/>
  <c r="N28" i="56" s="1"/>
  <c r="H28" i="56"/>
  <c r="D28" i="56"/>
  <c r="B28" i="56"/>
  <c r="Z27" i="56"/>
  <c r="X27" i="56"/>
  <c r="R27" i="56"/>
  <c r="L27" i="56"/>
  <c r="N27" i="56" s="1"/>
  <c r="J27" i="56"/>
  <c r="B27" i="56"/>
  <c r="X26" i="56"/>
  <c r="Z26" i="56" s="1"/>
  <c r="R26" i="56"/>
  <c r="N26" i="56"/>
  <c r="L26" i="56"/>
  <c r="J26" i="56"/>
  <c r="B26" i="56"/>
  <c r="Z25" i="56"/>
  <c r="X25" i="56"/>
  <c r="R25" i="56"/>
  <c r="L25" i="56"/>
  <c r="N25" i="56" s="1"/>
  <c r="J25" i="56"/>
  <c r="B25" i="56"/>
  <c r="Z24" i="56"/>
  <c r="X24" i="56"/>
  <c r="V24" i="56"/>
  <c r="R24" i="56"/>
  <c r="N24" i="56"/>
  <c r="L24" i="56"/>
  <c r="J24" i="56"/>
  <c r="B24" i="56"/>
  <c r="Z23" i="56"/>
  <c r="X23" i="56"/>
  <c r="R23" i="56"/>
  <c r="N23" i="56"/>
  <c r="L23" i="56"/>
  <c r="J23" i="56"/>
  <c r="B23" i="56"/>
  <c r="X22" i="56"/>
  <c r="Z22" i="56" s="1"/>
  <c r="R22" i="56"/>
  <c r="N22" i="56"/>
  <c r="L22" i="56"/>
  <c r="J22" i="56"/>
  <c r="B22" i="56"/>
  <c r="Z21" i="56"/>
  <c r="X21" i="56"/>
  <c r="R21" i="56"/>
  <c r="N21" i="56"/>
  <c r="L21" i="56"/>
  <c r="J21" i="56"/>
  <c r="B21" i="56"/>
  <c r="X20" i="56"/>
  <c r="Z20" i="56" s="1"/>
  <c r="L20" i="56"/>
  <c r="N20" i="56" s="1"/>
  <c r="J20" i="56"/>
  <c r="B20" i="56"/>
  <c r="T19" i="56"/>
  <c r="X19" i="56" s="1"/>
  <c r="R19" i="56"/>
  <c r="P19" i="56"/>
  <c r="N19" i="56"/>
  <c r="J19" i="56"/>
  <c r="H19" i="56"/>
  <c r="D19" i="56"/>
  <c r="L19" i="56" s="1"/>
  <c r="B19" i="56"/>
  <c r="Z18" i="56"/>
  <c r="T18" i="56"/>
  <c r="R18" i="56"/>
  <c r="P18" i="56"/>
  <c r="X18" i="56" s="1"/>
  <c r="J18" i="56"/>
  <c r="H18" i="56"/>
  <c r="D18" i="56"/>
  <c r="L18" i="56" s="1"/>
  <c r="T16" i="56"/>
  <c r="R16" i="56"/>
  <c r="J16" i="56"/>
  <c r="V14" i="56"/>
  <c r="T14" i="56"/>
  <c r="Z14" i="56" s="1"/>
  <c r="R14" i="56"/>
  <c r="P14" i="56"/>
  <c r="J14" i="56"/>
  <c r="H14" i="56"/>
  <c r="N14" i="56" s="1"/>
  <c r="D14" i="56"/>
  <c r="T12" i="56"/>
  <c r="V21" i="56" s="1"/>
  <c r="P12" i="56"/>
  <c r="R67" i="56" s="1"/>
  <c r="N12" i="56"/>
  <c r="H12" i="56"/>
  <c r="J65" i="56" s="1"/>
  <c r="D12" i="56"/>
  <c r="D6" i="56"/>
  <c r="D4" i="56"/>
  <c r="F37" i="55"/>
  <c r="V34" i="55"/>
  <c r="F34" i="55"/>
  <c r="Z32" i="55"/>
  <c r="X32" i="55"/>
  <c r="V32" i="55"/>
  <c r="N32" i="55"/>
  <c r="L32" i="55"/>
  <c r="V30" i="55"/>
  <c r="J30" i="55"/>
  <c r="F30" i="55"/>
  <c r="Z28" i="55"/>
  <c r="V28" i="55"/>
  <c r="T28" i="55"/>
  <c r="P28" i="55"/>
  <c r="X28" i="55" s="1"/>
  <c r="H28" i="55"/>
  <c r="N28" i="55" s="1"/>
  <c r="D28" i="55"/>
  <c r="Z26" i="55"/>
  <c r="X26" i="55"/>
  <c r="N26" i="55"/>
  <c r="L26" i="55"/>
  <c r="B26" i="55"/>
  <c r="X25" i="55"/>
  <c r="V25" i="55"/>
  <c r="T25" i="55"/>
  <c r="Z25" i="55" s="1"/>
  <c r="P25" i="55"/>
  <c r="L25" i="55"/>
  <c r="N25" i="55" s="1"/>
  <c r="H25" i="55"/>
  <c r="F25" i="55"/>
  <c r="D25" i="55"/>
  <c r="B25" i="55"/>
  <c r="Z24" i="55"/>
  <c r="X24" i="55"/>
  <c r="V24" i="55"/>
  <c r="N24" i="55"/>
  <c r="L24" i="55"/>
  <c r="F24" i="55"/>
  <c r="B24" i="55"/>
  <c r="V23" i="55"/>
  <c r="T23" i="55"/>
  <c r="P23" i="55"/>
  <c r="N23" i="55"/>
  <c r="L23" i="55"/>
  <c r="H23" i="55"/>
  <c r="F23" i="55"/>
  <c r="D23" i="55"/>
  <c r="B23" i="55"/>
  <c r="X22" i="55"/>
  <c r="Z22" i="55" s="1"/>
  <c r="V22" i="55"/>
  <c r="L22" i="55"/>
  <c r="N22" i="55" s="1"/>
  <c r="B22" i="55"/>
  <c r="V21" i="55"/>
  <c r="T21" i="55"/>
  <c r="P21" i="55"/>
  <c r="X21" i="55" s="1"/>
  <c r="Z21" i="55" s="1"/>
  <c r="H21" i="55"/>
  <c r="L21" i="55" s="1"/>
  <c r="D21" i="55"/>
  <c r="B21" i="55"/>
  <c r="X20" i="55"/>
  <c r="Z20" i="55" s="1"/>
  <c r="N20" i="55"/>
  <c r="L20" i="55"/>
  <c r="F20" i="55"/>
  <c r="B20" i="55"/>
  <c r="X19" i="55"/>
  <c r="Z19" i="55" s="1"/>
  <c r="V19" i="55"/>
  <c r="T19" i="55"/>
  <c r="P19" i="55"/>
  <c r="L19" i="55"/>
  <c r="H19" i="55"/>
  <c r="N19" i="55" s="1"/>
  <c r="F19" i="55"/>
  <c r="D19" i="55"/>
  <c r="B19" i="55"/>
  <c r="T18" i="55"/>
  <c r="P18" i="55"/>
  <c r="H18" i="55"/>
  <c r="L18" i="55" s="1"/>
  <c r="N18" i="55" s="1"/>
  <c r="F18" i="55"/>
  <c r="D18" i="55"/>
  <c r="F16" i="55"/>
  <c r="T14" i="55"/>
  <c r="Z14" i="55" s="1"/>
  <c r="P14" i="55"/>
  <c r="N14" i="55"/>
  <c r="H14" i="55"/>
  <c r="L14" i="55" s="1"/>
  <c r="F14" i="55"/>
  <c r="D14" i="55"/>
  <c r="Z12" i="55"/>
  <c r="T12" i="55"/>
  <c r="V37" i="55" s="1"/>
  <c r="P12" i="55"/>
  <c r="R32" i="55" s="1"/>
  <c r="H12" i="55"/>
  <c r="D12" i="55"/>
  <c r="F26" i="55" s="1"/>
  <c r="D6" i="55"/>
  <c r="D4" i="55"/>
  <c r="J31" i="54"/>
  <c r="T29" i="54"/>
  <c r="P29" i="54"/>
  <c r="X29" i="54" s="1"/>
  <c r="Z29" i="54" s="1"/>
  <c r="J29" i="54"/>
  <c r="H29" i="54"/>
  <c r="N29" i="54" s="1"/>
  <c r="D29" i="54"/>
  <c r="L29" i="54" s="1"/>
  <c r="T28" i="54"/>
  <c r="P28" i="54"/>
  <c r="X28" i="54" s="1"/>
  <c r="Z28" i="54" s="1"/>
  <c r="J28" i="54"/>
  <c r="H28" i="54"/>
  <c r="N28" i="54" s="1"/>
  <c r="D28" i="54"/>
  <c r="L28" i="54" s="1"/>
  <c r="J26" i="54"/>
  <c r="Z24" i="54"/>
  <c r="X24" i="54"/>
  <c r="N24" i="54"/>
  <c r="L24" i="54"/>
  <c r="Z20" i="54"/>
  <c r="T20" i="54"/>
  <c r="X20" i="54" s="1"/>
  <c r="P20" i="54"/>
  <c r="H20" i="54"/>
  <c r="D20" i="54"/>
  <c r="Z18" i="54"/>
  <c r="T18" i="54"/>
  <c r="X18" i="54" s="1"/>
  <c r="P18" i="54"/>
  <c r="H18" i="54"/>
  <c r="D18" i="54"/>
  <c r="Z16" i="54"/>
  <c r="H16" i="54"/>
  <c r="N16" i="54" s="1"/>
  <c r="Z14" i="54"/>
  <c r="T14" i="54"/>
  <c r="T16" i="54" s="1"/>
  <c r="T22" i="54" s="1"/>
  <c r="T26" i="54" s="1"/>
  <c r="P14" i="54"/>
  <c r="H14" i="54"/>
  <c r="D14" i="54"/>
  <c r="Z12" i="54"/>
  <c r="T12" i="54"/>
  <c r="V22" i="54" s="1"/>
  <c r="P12" i="54"/>
  <c r="R22" i="54" s="1"/>
  <c r="N12" i="54"/>
  <c r="H12" i="54"/>
  <c r="J22" i="54" s="1"/>
  <c r="D12" i="54"/>
  <c r="F31" i="54" s="1"/>
  <c r="D6" i="54"/>
  <c r="D4" i="54"/>
  <c r="Z99" i="51"/>
  <c r="X99" i="51"/>
  <c r="N99" i="51"/>
  <c r="L99" i="51"/>
  <c r="X95" i="51"/>
  <c r="T95" i="51"/>
  <c r="Z95" i="51" s="1"/>
  <c r="R95" i="51"/>
  <c r="P95" i="51"/>
  <c r="L95" i="51"/>
  <c r="N95" i="51" s="1"/>
  <c r="H95" i="51"/>
  <c r="D95" i="51"/>
  <c r="B95" i="51"/>
  <c r="T94" i="51"/>
  <c r="T92" i="51" s="1"/>
  <c r="P94" i="51"/>
  <c r="N94" i="51"/>
  <c r="L94" i="51"/>
  <c r="H94" i="51"/>
  <c r="D94" i="51"/>
  <c r="B94" i="51"/>
  <c r="T93" i="51"/>
  <c r="P93" i="51"/>
  <c r="P92" i="51" s="1"/>
  <c r="X92" i="51" s="1"/>
  <c r="H93" i="51"/>
  <c r="H92" i="51" s="1"/>
  <c r="D93" i="51"/>
  <c r="B93" i="51"/>
  <c r="X90" i="51"/>
  <c r="Z90" i="51" s="1"/>
  <c r="N90" i="51"/>
  <c r="L90" i="51"/>
  <c r="B90" i="51"/>
  <c r="X89" i="51"/>
  <c r="T89" i="51"/>
  <c r="P89" i="51"/>
  <c r="L89" i="51"/>
  <c r="N89" i="51" s="1"/>
  <c r="H89" i="51"/>
  <c r="D89" i="51"/>
  <c r="B89" i="51"/>
  <c r="Z88" i="51"/>
  <c r="X88" i="51"/>
  <c r="R88" i="51"/>
  <c r="N88" i="51"/>
  <c r="L88" i="51"/>
  <c r="B88" i="51"/>
  <c r="X87" i="51"/>
  <c r="Z87" i="51" s="1"/>
  <c r="L87" i="51"/>
  <c r="N87" i="51" s="1"/>
  <c r="B87" i="51"/>
  <c r="Z86" i="51"/>
  <c r="X86" i="51"/>
  <c r="N86" i="51"/>
  <c r="L86" i="51"/>
  <c r="B86" i="51"/>
  <c r="T85" i="51"/>
  <c r="X85" i="51" s="1"/>
  <c r="Z85" i="51" s="1"/>
  <c r="P85" i="51"/>
  <c r="H85" i="51"/>
  <c r="D85" i="51"/>
  <c r="B85" i="51"/>
  <c r="X84" i="51"/>
  <c r="Z84" i="51" s="1"/>
  <c r="N84" i="51"/>
  <c r="L84" i="51"/>
  <c r="B84" i="51"/>
  <c r="T83" i="51"/>
  <c r="Z83" i="51" s="1"/>
  <c r="P83" i="51"/>
  <c r="X83" i="51" s="1"/>
  <c r="H83" i="51"/>
  <c r="D83" i="51"/>
  <c r="L83" i="51" s="1"/>
  <c r="N83" i="51" s="1"/>
  <c r="B83" i="51"/>
  <c r="Z82" i="51"/>
  <c r="X82" i="51"/>
  <c r="N82" i="51"/>
  <c r="L82" i="51"/>
  <c r="B82" i="51"/>
  <c r="X81" i="51"/>
  <c r="T81" i="51"/>
  <c r="Z81" i="51" s="1"/>
  <c r="P81" i="51"/>
  <c r="N81" i="51"/>
  <c r="L81" i="51"/>
  <c r="H81" i="51"/>
  <c r="D81" i="51"/>
  <c r="B81" i="51"/>
  <c r="Z80" i="51"/>
  <c r="X80" i="51"/>
  <c r="N80" i="51"/>
  <c r="L80" i="51"/>
  <c r="B80" i="51"/>
  <c r="T79" i="51"/>
  <c r="P79" i="51"/>
  <c r="N79" i="51"/>
  <c r="H79" i="51"/>
  <c r="D79" i="51"/>
  <c r="L79" i="51" s="1"/>
  <c r="B79" i="51"/>
  <c r="Z78" i="51"/>
  <c r="X78" i="51"/>
  <c r="N78" i="51"/>
  <c r="L78" i="51"/>
  <c r="B78" i="51"/>
  <c r="Z77" i="51"/>
  <c r="X77" i="51"/>
  <c r="N77" i="51"/>
  <c r="L77" i="51"/>
  <c r="B77" i="51"/>
  <c r="T76" i="51"/>
  <c r="X76" i="51" s="1"/>
  <c r="P76" i="51"/>
  <c r="N76" i="51"/>
  <c r="H76" i="51"/>
  <c r="D76" i="51"/>
  <c r="L76" i="51" s="1"/>
  <c r="B76" i="51"/>
  <c r="X75" i="51"/>
  <c r="Z75" i="51" s="1"/>
  <c r="L75" i="51"/>
  <c r="N75" i="51" s="1"/>
  <c r="F75" i="51"/>
  <c r="B75" i="51"/>
  <c r="X74" i="51"/>
  <c r="T74" i="51"/>
  <c r="P74" i="51"/>
  <c r="L74" i="51"/>
  <c r="N74" i="51" s="1"/>
  <c r="H74" i="51"/>
  <c r="F74" i="51"/>
  <c r="D74" i="51"/>
  <c r="B74" i="51"/>
  <c r="Z73" i="51"/>
  <c r="X73" i="51"/>
  <c r="N73" i="51"/>
  <c r="L73" i="51"/>
  <c r="B73" i="51"/>
  <c r="T72" i="51"/>
  <c r="P72" i="51"/>
  <c r="N72" i="51"/>
  <c r="L72" i="51"/>
  <c r="H72" i="51"/>
  <c r="D72" i="51"/>
  <c r="B72" i="51"/>
  <c r="X71" i="51"/>
  <c r="Z71" i="51" s="1"/>
  <c r="L71" i="51"/>
  <c r="N71" i="51" s="1"/>
  <c r="B71" i="51"/>
  <c r="T70" i="51"/>
  <c r="P70" i="51"/>
  <c r="X70" i="51" s="1"/>
  <c r="Z70" i="51" s="1"/>
  <c r="H70" i="51"/>
  <c r="L70" i="51" s="1"/>
  <c r="D70" i="51"/>
  <c r="B70" i="51"/>
  <c r="X69" i="51"/>
  <c r="Z69" i="51" s="1"/>
  <c r="N69" i="51"/>
  <c r="L69" i="51"/>
  <c r="B69" i="51"/>
  <c r="X68" i="51"/>
  <c r="Z68" i="51" s="1"/>
  <c r="N68" i="51"/>
  <c r="L68" i="51"/>
  <c r="F68" i="51"/>
  <c r="B68" i="51"/>
  <c r="X67" i="51"/>
  <c r="Z67" i="51" s="1"/>
  <c r="L67" i="51"/>
  <c r="N67" i="51" s="1"/>
  <c r="F67" i="51"/>
  <c r="B67" i="51"/>
  <c r="Z66" i="51"/>
  <c r="X66" i="51"/>
  <c r="N66" i="51"/>
  <c r="L66" i="51"/>
  <c r="B66" i="51"/>
  <c r="X65" i="51"/>
  <c r="Z65" i="51" s="1"/>
  <c r="N65" i="51"/>
  <c r="L65" i="51"/>
  <c r="B65" i="51"/>
  <c r="X64" i="51"/>
  <c r="T64" i="51"/>
  <c r="Z64" i="51" s="1"/>
  <c r="P64" i="51"/>
  <c r="L64" i="51"/>
  <c r="H64" i="51"/>
  <c r="D64" i="51"/>
  <c r="B64" i="51"/>
  <c r="X63" i="51"/>
  <c r="Z63" i="51" s="1"/>
  <c r="R63" i="51"/>
  <c r="L63" i="51"/>
  <c r="N63" i="51" s="1"/>
  <c r="B63" i="51"/>
  <c r="Z62" i="51"/>
  <c r="X62" i="51"/>
  <c r="N62" i="51"/>
  <c r="L62" i="51"/>
  <c r="B62" i="51"/>
  <c r="Z61" i="51"/>
  <c r="X61" i="51"/>
  <c r="N61" i="51"/>
  <c r="L61" i="51"/>
  <c r="B61" i="51"/>
  <c r="Z60" i="51"/>
  <c r="X60" i="51"/>
  <c r="L60" i="51"/>
  <c r="N60" i="51" s="1"/>
  <c r="B60" i="51"/>
  <c r="X59" i="51"/>
  <c r="Z59" i="51" s="1"/>
  <c r="L59" i="51"/>
  <c r="N59" i="51" s="1"/>
  <c r="B59" i="51"/>
  <c r="Z58" i="51"/>
  <c r="X58" i="51"/>
  <c r="N58" i="51"/>
  <c r="L58" i="51"/>
  <c r="B58" i="51"/>
  <c r="Z57" i="51"/>
  <c r="X57" i="51"/>
  <c r="N57" i="51"/>
  <c r="L57" i="51"/>
  <c r="B57" i="51"/>
  <c r="Z56" i="51"/>
  <c r="X56" i="51"/>
  <c r="L56" i="51"/>
  <c r="N56" i="51" s="1"/>
  <c r="B56" i="51"/>
  <c r="X55" i="51"/>
  <c r="Z55" i="51" s="1"/>
  <c r="L55" i="51"/>
  <c r="N55" i="51" s="1"/>
  <c r="B55" i="51"/>
  <c r="Z54" i="51"/>
  <c r="X54" i="51"/>
  <c r="T54" i="51"/>
  <c r="P54" i="51"/>
  <c r="H54" i="51"/>
  <c r="D54" i="51"/>
  <c r="B54" i="51"/>
  <c r="T53" i="51"/>
  <c r="P53" i="51"/>
  <c r="X53" i="51" s="1"/>
  <c r="Z53" i="51" s="1"/>
  <c r="H53" i="51"/>
  <c r="N53" i="51" s="1"/>
  <c r="D53" i="51"/>
  <c r="L53" i="51" s="1"/>
  <c r="D51" i="51"/>
  <c r="Z49" i="51"/>
  <c r="X49" i="51"/>
  <c r="L49" i="51"/>
  <c r="N49" i="51" s="1"/>
  <c r="B49" i="51"/>
  <c r="X48" i="51"/>
  <c r="Z48" i="51" s="1"/>
  <c r="N48" i="51"/>
  <c r="L48" i="51"/>
  <c r="B48" i="51"/>
  <c r="X47" i="51"/>
  <c r="Z47" i="51" s="1"/>
  <c r="L47" i="51"/>
  <c r="N47" i="51" s="1"/>
  <c r="B47" i="51"/>
  <c r="Z46" i="51"/>
  <c r="X46" i="51"/>
  <c r="L46" i="51"/>
  <c r="N46" i="51" s="1"/>
  <c r="B46" i="51"/>
  <c r="Z45" i="51"/>
  <c r="X45" i="51"/>
  <c r="N45" i="51"/>
  <c r="L45" i="51"/>
  <c r="B45" i="51"/>
  <c r="X44" i="51"/>
  <c r="Z44" i="51" s="1"/>
  <c r="N44" i="51"/>
  <c r="L44" i="51"/>
  <c r="B44" i="51"/>
  <c r="X43" i="51"/>
  <c r="Z43" i="51" s="1"/>
  <c r="L43" i="51"/>
  <c r="N43" i="51" s="1"/>
  <c r="B43" i="51"/>
  <c r="Z42" i="51"/>
  <c r="X42" i="51"/>
  <c r="L42" i="51"/>
  <c r="N42" i="51" s="1"/>
  <c r="B42" i="51"/>
  <c r="Z41" i="51"/>
  <c r="X41" i="51"/>
  <c r="L41" i="51"/>
  <c r="N41" i="51" s="1"/>
  <c r="B41" i="51"/>
  <c r="X40" i="51"/>
  <c r="Z40" i="51" s="1"/>
  <c r="N40" i="51"/>
  <c r="L40" i="51"/>
  <c r="B40" i="51"/>
  <c r="X39" i="51"/>
  <c r="Z39" i="51" s="1"/>
  <c r="L39" i="51"/>
  <c r="N39" i="51" s="1"/>
  <c r="B39" i="51"/>
  <c r="T38" i="51"/>
  <c r="P38" i="51"/>
  <c r="X38" i="51" s="1"/>
  <c r="Z38" i="51" s="1"/>
  <c r="H38" i="51"/>
  <c r="L38" i="51" s="1"/>
  <c r="D38" i="51"/>
  <c r="T36" i="51"/>
  <c r="P36" i="51"/>
  <c r="L36" i="51"/>
  <c r="N36" i="51" s="1"/>
  <c r="H36" i="51"/>
  <c r="D36" i="51"/>
  <c r="B36" i="51"/>
  <c r="T35" i="51"/>
  <c r="P35" i="51"/>
  <c r="X35" i="51" s="1"/>
  <c r="Z35" i="51" s="1"/>
  <c r="L35" i="51"/>
  <c r="N35" i="51" s="1"/>
  <c r="H35" i="51"/>
  <c r="D35" i="51"/>
  <c r="B35" i="51"/>
  <c r="T34" i="51"/>
  <c r="Z34" i="51" s="1"/>
  <c r="P34" i="51"/>
  <c r="H34" i="51"/>
  <c r="N34" i="51" s="1"/>
  <c r="D34" i="51"/>
  <c r="B34" i="51"/>
  <c r="T33" i="51"/>
  <c r="P33" i="51"/>
  <c r="L33" i="51"/>
  <c r="H33" i="51"/>
  <c r="N33" i="51" s="1"/>
  <c r="D33" i="51"/>
  <c r="B33" i="51"/>
  <c r="T32" i="51"/>
  <c r="P32" i="51"/>
  <c r="N32" i="51"/>
  <c r="L32" i="51"/>
  <c r="H32" i="51"/>
  <c r="D32" i="51"/>
  <c r="B32" i="51"/>
  <c r="T31" i="51"/>
  <c r="P31" i="51"/>
  <c r="X31" i="51" s="1"/>
  <c r="Z31" i="51" s="1"/>
  <c r="L31" i="51"/>
  <c r="N31" i="51" s="1"/>
  <c r="H31" i="51"/>
  <c r="D31" i="51"/>
  <c r="B31" i="51"/>
  <c r="T30" i="51"/>
  <c r="P30" i="51"/>
  <c r="H30" i="51"/>
  <c r="D30" i="51"/>
  <c r="B30" i="51"/>
  <c r="T29" i="51"/>
  <c r="P29" i="51"/>
  <c r="L29" i="51"/>
  <c r="H29" i="51"/>
  <c r="N29" i="51" s="1"/>
  <c r="D29" i="51"/>
  <c r="B29" i="51"/>
  <c r="T28" i="51"/>
  <c r="P28" i="51"/>
  <c r="L28" i="51"/>
  <c r="N28" i="51" s="1"/>
  <c r="H28" i="51"/>
  <c r="D28" i="51"/>
  <c r="B28" i="51"/>
  <c r="T27" i="51"/>
  <c r="P27" i="51"/>
  <c r="X27" i="51" s="1"/>
  <c r="Z27" i="51" s="1"/>
  <c r="N27" i="51"/>
  <c r="L27" i="51"/>
  <c r="H27" i="51"/>
  <c r="D27" i="51"/>
  <c r="B27" i="51"/>
  <c r="T26" i="51"/>
  <c r="P26" i="51"/>
  <c r="H26" i="51"/>
  <c r="D26" i="51"/>
  <c r="B26" i="51"/>
  <c r="T25" i="51"/>
  <c r="P25" i="51"/>
  <c r="L25" i="51"/>
  <c r="H25" i="51"/>
  <c r="N25" i="51" s="1"/>
  <c r="D25" i="51"/>
  <c r="B25" i="51"/>
  <c r="T24" i="51"/>
  <c r="P24" i="51"/>
  <c r="L24" i="51"/>
  <c r="N24" i="51" s="1"/>
  <c r="H24" i="51"/>
  <c r="D24" i="51"/>
  <c r="B24" i="51"/>
  <c r="T23" i="51"/>
  <c r="P23" i="51"/>
  <c r="X23" i="51" s="1"/>
  <c r="Z23" i="51" s="1"/>
  <c r="L23" i="51"/>
  <c r="N23" i="51" s="1"/>
  <c r="H23" i="51"/>
  <c r="D23" i="51"/>
  <c r="B23" i="51"/>
  <c r="T22" i="51"/>
  <c r="P22" i="51"/>
  <c r="X22" i="51" s="1"/>
  <c r="H22" i="51"/>
  <c r="D22" i="51"/>
  <c r="B22" i="51"/>
  <c r="T21" i="51"/>
  <c r="P21" i="51"/>
  <c r="L21" i="51"/>
  <c r="H21" i="51"/>
  <c r="N21" i="51" s="1"/>
  <c r="D21" i="51"/>
  <c r="B21" i="51"/>
  <c r="T20" i="51"/>
  <c r="P20" i="51"/>
  <c r="L20" i="51"/>
  <c r="N20" i="51" s="1"/>
  <c r="H20" i="51"/>
  <c r="D20" i="51"/>
  <c r="B20" i="51"/>
  <c r="T19" i="51"/>
  <c r="P19" i="51"/>
  <c r="X19" i="51" s="1"/>
  <c r="Z19" i="51" s="1"/>
  <c r="L19" i="51"/>
  <c r="N19" i="51" s="1"/>
  <c r="H19" i="51"/>
  <c r="D19" i="51"/>
  <c r="B19" i="51"/>
  <c r="T18" i="51"/>
  <c r="P18" i="51"/>
  <c r="X18" i="51" s="1"/>
  <c r="H18" i="51"/>
  <c r="N18" i="51" s="1"/>
  <c r="D18" i="51"/>
  <c r="B18" i="51"/>
  <c r="T17" i="51"/>
  <c r="P17" i="51"/>
  <c r="L17" i="51"/>
  <c r="H17" i="51"/>
  <c r="N17" i="51" s="1"/>
  <c r="D17" i="51"/>
  <c r="B17" i="51"/>
  <c r="T16" i="51"/>
  <c r="P16" i="51"/>
  <c r="L16" i="51"/>
  <c r="N16" i="51" s="1"/>
  <c r="H16" i="51"/>
  <c r="D16" i="51"/>
  <c r="B16" i="51"/>
  <c r="T15" i="51"/>
  <c r="P15" i="51"/>
  <c r="X15" i="51" s="1"/>
  <c r="Z15" i="51" s="1"/>
  <c r="L15" i="51"/>
  <c r="N15" i="51" s="1"/>
  <c r="H15" i="51"/>
  <c r="D15" i="51"/>
  <c r="B15" i="51"/>
  <c r="T14" i="51"/>
  <c r="P14" i="51"/>
  <c r="H14" i="51"/>
  <c r="D14" i="51"/>
  <c r="B14" i="51"/>
  <c r="T13" i="51"/>
  <c r="P13" i="51"/>
  <c r="P12" i="51" s="1"/>
  <c r="P51" i="51" s="1"/>
  <c r="L13" i="51"/>
  <c r="H13" i="51"/>
  <c r="N13" i="51" s="1"/>
  <c r="D13" i="51"/>
  <c r="B13" i="51"/>
  <c r="T12" i="51"/>
  <c r="D12" i="51"/>
  <c r="F78" i="51" s="1"/>
  <c r="D4" i="51"/>
  <c r="X57" i="48"/>
  <c r="Z57" i="48" s="1"/>
  <c r="L57" i="48"/>
  <c r="N57" i="48" s="1"/>
  <c r="X53" i="48"/>
  <c r="Z53" i="48" s="1"/>
  <c r="T53" i="48"/>
  <c r="P53" i="48"/>
  <c r="P52" i="48" s="1"/>
  <c r="X52" i="48" s="1"/>
  <c r="L53" i="48"/>
  <c r="H53" i="48"/>
  <c r="N53" i="48" s="1"/>
  <c r="D53" i="48"/>
  <c r="B53" i="48"/>
  <c r="Z52" i="48"/>
  <c r="T52" i="48"/>
  <c r="H52" i="48"/>
  <c r="D52" i="48"/>
  <c r="Z50" i="48"/>
  <c r="X50" i="48"/>
  <c r="N50" i="48"/>
  <c r="L50" i="48"/>
  <c r="B50" i="48"/>
  <c r="T49" i="48"/>
  <c r="P49" i="48"/>
  <c r="H49" i="48"/>
  <c r="D49" i="48"/>
  <c r="B49" i="48"/>
  <c r="X48" i="48"/>
  <c r="Z48" i="48" s="1"/>
  <c r="L48" i="48"/>
  <c r="N48" i="48" s="1"/>
  <c r="B48" i="48"/>
  <c r="X47" i="48"/>
  <c r="Z47" i="48" s="1"/>
  <c r="N47" i="48"/>
  <c r="L47" i="48"/>
  <c r="B47" i="48"/>
  <c r="T46" i="48"/>
  <c r="P46" i="48"/>
  <c r="X46" i="48" s="1"/>
  <c r="Z46" i="48" s="1"/>
  <c r="L46" i="48"/>
  <c r="H46" i="48"/>
  <c r="D46" i="48"/>
  <c r="B46" i="48"/>
  <c r="X45" i="48"/>
  <c r="Z45" i="48" s="1"/>
  <c r="N45" i="48"/>
  <c r="L45" i="48"/>
  <c r="B45" i="48"/>
  <c r="T44" i="48"/>
  <c r="P44" i="48"/>
  <c r="H44" i="48"/>
  <c r="D44" i="48"/>
  <c r="B44" i="48"/>
  <c r="X43" i="48"/>
  <c r="Z43" i="48" s="1"/>
  <c r="L43" i="48"/>
  <c r="N43" i="48" s="1"/>
  <c r="B43" i="48"/>
  <c r="Z42" i="48"/>
  <c r="X42" i="48"/>
  <c r="T42" i="48"/>
  <c r="P42" i="48"/>
  <c r="H42" i="48"/>
  <c r="D42" i="48"/>
  <c r="L42" i="48" s="1"/>
  <c r="B42" i="48"/>
  <c r="Z41" i="48"/>
  <c r="X41" i="48"/>
  <c r="N41" i="48"/>
  <c r="L41" i="48"/>
  <c r="B41" i="48"/>
  <c r="T40" i="48"/>
  <c r="Z40" i="48" s="1"/>
  <c r="P40" i="48"/>
  <c r="N40" i="48"/>
  <c r="H40" i="48"/>
  <c r="D40" i="48"/>
  <c r="L40" i="48" s="1"/>
  <c r="B40" i="48"/>
  <c r="Z39" i="48"/>
  <c r="X39" i="48"/>
  <c r="L39" i="48"/>
  <c r="N39" i="48" s="1"/>
  <c r="B39" i="48"/>
  <c r="T38" i="48"/>
  <c r="R38" i="48"/>
  <c r="P38" i="48"/>
  <c r="X38" i="48" s="1"/>
  <c r="H38" i="48"/>
  <c r="D38" i="48"/>
  <c r="L38" i="48" s="1"/>
  <c r="B38" i="48"/>
  <c r="Z37" i="48"/>
  <c r="X37" i="48"/>
  <c r="N37" i="48"/>
  <c r="L37" i="48"/>
  <c r="B37" i="48"/>
  <c r="Z36" i="48"/>
  <c r="T36" i="48"/>
  <c r="P36" i="48"/>
  <c r="X36" i="48" s="1"/>
  <c r="N36" i="48"/>
  <c r="L36" i="48"/>
  <c r="H36" i="48"/>
  <c r="D36" i="48"/>
  <c r="B36" i="48"/>
  <c r="X35" i="48"/>
  <c r="Z35" i="48" s="1"/>
  <c r="N35" i="48"/>
  <c r="L35" i="48"/>
  <c r="B35" i="48"/>
  <c r="Z34" i="48"/>
  <c r="X34" i="48"/>
  <c r="L34" i="48"/>
  <c r="N34" i="48" s="1"/>
  <c r="B34" i="48"/>
  <c r="Z33" i="48"/>
  <c r="X33" i="48"/>
  <c r="R33" i="48"/>
  <c r="L33" i="48"/>
  <c r="N33" i="48" s="1"/>
  <c r="B33" i="48"/>
  <c r="X32" i="48"/>
  <c r="Z32" i="48" s="1"/>
  <c r="L32" i="48"/>
  <c r="N32" i="48" s="1"/>
  <c r="B32" i="48"/>
  <c r="Z31" i="48"/>
  <c r="X31" i="48"/>
  <c r="N31" i="48"/>
  <c r="L31" i="48"/>
  <c r="B31" i="48"/>
  <c r="Z30" i="48"/>
  <c r="T30" i="48"/>
  <c r="P30" i="48"/>
  <c r="X30" i="48" s="1"/>
  <c r="H30" i="48"/>
  <c r="D30" i="48"/>
  <c r="L30" i="48" s="1"/>
  <c r="B30" i="48"/>
  <c r="X29" i="48"/>
  <c r="Z29" i="48" s="1"/>
  <c r="N29" i="48"/>
  <c r="L29" i="48"/>
  <c r="B29" i="48"/>
  <c r="X28" i="48"/>
  <c r="Z28" i="48" s="1"/>
  <c r="L28" i="48"/>
  <c r="N28" i="48" s="1"/>
  <c r="F28" i="48"/>
  <c r="B28" i="48"/>
  <c r="X27" i="48"/>
  <c r="Z27" i="48" s="1"/>
  <c r="L27" i="48"/>
  <c r="N27" i="48" s="1"/>
  <c r="B27" i="48"/>
  <c r="Z26" i="48"/>
  <c r="X26" i="48"/>
  <c r="V26" i="48"/>
  <c r="N26" i="48"/>
  <c r="L26" i="48"/>
  <c r="F26" i="48"/>
  <c r="B26" i="48"/>
  <c r="Z25" i="48"/>
  <c r="X25" i="48"/>
  <c r="L25" i="48"/>
  <c r="N25" i="48" s="1"/>
  <c r="F25" i="48"/>
  <c r="B25" i="48"/>
  <c r="X24" i="48"/>
  <c r="Z24" i="48" s="1"/>
  <c r="N24" i="48"/>
  <c r="L24" i="48"/>
  <c r="F24" i="48"/>
  <c r="B24" i="48"/>
  <c r="X23" i="48"/>
  <c r="Z23" i="48" s="1"/>
  <c r="L23" i="48"/>
  <c r="N23" i="48" s="1"/>
  <c r="F23" i="48"/>
  <c r="B23" i="48"/>
  <c r="X22" i="48"/>
  <c r="Z22" i="48" s="1"/>
  <c r="N22" i="48"/>
  <c r="L22" i="48"/>
  <c r="B22" i="48"/>
  <c r="X21" i="48"/>
  <c r="Z21" i="48" s="1"/>
  <c r="N21" i="48"/>
  <c r="L21" i="48"/>
  <c r="F21" i="48"/>
  <c r="B21" i="48"/>
  <c r="X20" i="48"/>
  <c r="Z20" i="48" s="1"/>
  <c r="V20" i="48"/>
  <c r="T20" i="48"/>
  <c r="P20" i="48"/>
  <c r="L20" i="48"/>
  <c r="H20" i="48"/>
  <c r="N20" i="48" s="1"/>
  <c r="F20" i="48"/>
  <c r="D20" i="48"/>
  <c r="B20" i="48"/>
  <c r="X19" i="48"/>
  <c r="T19" i="48"/>
  <c r="Z19" i="48" s="1"/>
  <c r="P19" i="48"/>
  <c r="H19" i="48"/>
  <c r="D19" i="48"/>
  <c r="L19" i="48" s="1"/>
  <c r="H17" i="48"/>
  <c r="X15" i="48"/>
  <c r="T15" i="48"/>
  <c r="Z15" i="48" s="1"/>
  <c r="P15" i="48"/>
  <c r="H15" i="48"/>
  <c r="N15" i="48" s="1"/>
  <c r="D15" i="48"/>
  <c r="D17" i="48" s="1"/>
  <c r="X13" i="48"/>
  <c r="Z13" i="48" s="1"/>
  <c r="T13" i="48"/>
  <c r="P13" i="48"/>
  <c r="P12" i="48" s="1"/>
  <c r="H13" i="48"/>
  <c r="H12" i="48" s="1"/>
  <c r="J40" i="48" s="1"/>
  <c r="D13" i="48"/>
  <c r="B13" i="48"/>
  <c r="T12" i="48"/>
  <c r="V46" i="48" s="1"/>
  <c r="D12" i="48"/>
  <c r="F39" i="48" s="1"/>
  <c r="D4" i="48"/>
  <c r="X90" i="45"/>
  <c r="Z90" i="45" s="1"/>
  <c r="L90" i="45"/>
  <c r="N90" i="45" s="1"/>
  <c r="Z86" i="45"/>
  <c r="T86" i="45"/>
  <c r="P86" i="45"/>
  <c r="X86" i="45" s="1"/>
  <c r="H86" i="45"/>
  <c r="L86" i="45" s="1"/>
  <c r="D86" i="45"/>
  <c r="X84" i="45"/>
  <c r="Z84" i="45" s="1"/>
  <c r="L84" i="45"/>
  <c r="N84" i="45" s="1"/>
  <c r="B84" i="45"/>
  <c r="T83" i="45"/>
  <c r="P83" i="45"/>
  <c r="X83" i="45" s="1"/>
  <c r="Z83" i="45" s="1"/>
  <c r="L83" i="45"/>
  <c r="H83" i="45"/>
  <c r="N83" i="45" s="1"/>
  <c r="D83" i="45"/>
  <c r="B83" i="45"/>
  <c r="X82" i="45"/>
  <c r="Z82" i="45" s="1"/>
  <c r="N82" i="45"/>
  <c r="L82" i="45"/>
  <c r="F82" i="45"/>
  <c r="B82" i="45"/>
  <c r="Z81" i="45"/>
  <c r="X81" i="45"/>
  <c r="T81" i="45"/>
  <c r="P81" i="45"/>
  <c r="L81" i="45"/>
  <c r="H81" i="45"/>
  <c r="N81" i="45" s="1"/>
  <c r="D81" i="45"/>
  <c r="B81" i="45"/>
  <c r="X80" i="45"/>
  <c r="Z80" i="45" s="1"/>
  <c r="L80" i="45"/>
  <c r="N80" i="45" s="1"/>
  <c r="B80" i="45"/>
  <c r="Z79" i="45"/>
  <c r="X79" i="45"/>
  <c r="T79" i="45"/>
  <c r="P79" i="45"/>
  <c r="H79" i="45"/>
  <c r="D79" i="45"/>
  <c r="L79" i="45" s="1"/>
  <c r="B79" i="45"/>
  <c r="X78" i="45"/>
  <c r="Z78" i="45" s="1"/>
  <c r="L78" i="45"/>
  <c r="N78" i="45" s="1"/>
  <c r="B78" i="45"/>
  <c r="X77" i="45"/>
  <c r="Z77" i="45" s="1"/>
  <c r="N77" i="45"/>
  <c r="L77" i="45"/>
  <c r="B77" i="45"/>
  <c r="X76" i="45"/>
  <c r="Z76" i="45" s="1"/>
  <c r="L76" i="45"/>
  <c r="N76" i="45" s="1"/>
  <c r="B76" i="45"/>
  <c r="Z75" i="45"/>
  <c r="X75" i="45"/>
  <c r="L75" i="45"/>
  <c r="N75" i="45" s="1"/>
  <c r="B75" i="45"/>
  <c r="X74" i="45"/>
  <c r="Z74" i="45" s="1"/>
  <c r="L74" i="45"/>
  <c r="N74" i="45" s="1"/>
  <c r="B74" i="45"/>
  <c r="X73" i="45"/>
  <c r="Z73" i="45" s="1"/>
  <c r="N73" i="45"/>
  <c r="L73" i="45"/>
  <c r="B73" i="45"/>
  <c r="X72" i="45"/>
  <c r="Z72" i="45" s="1"/>
  <c r="L72" i="45"/>
  <c r="N72" i="45" s="1"/>
  <c r="B72" i="45"/>
  <c r="Z71" i="45"/>
  <c r="X71" i="45"/>
  <c r="N71" i="45"/>
  <c r="L71" i="45"/>
  <c r="B71" i="45"/>
  <c r="T70" i="45"/>
  <c r="X70" i="45" s="1"/>
  <c r="P70" i="45"/>
  <c r="H70" i="45"/>
  <c r="D70" i="45"/>
  <c r="L70" i="45" s="1"/>
  <c r="N70" i="45" s="1"/>
  <c r="B70" i="45"/>
  <c r="Z69" i="45"/>
  <c r="X69" i="45"/>
  <c r="N69" i="45"/>
  <c r="L69" i="45"/>
  <c r="B69" i="45"/>
  <c r="X68" i="45"/>
  <c r="Z68" i="45" s="1"/>
  <c r="L68" i="45"/>
  <c r="N68" i="45" s="1"/>
  <c r="B68" i="45"/>
  <c r="X67" i="45"/>
  <c r="Z67" i="45" s="1"/>
  <c r="N67" i="45"/>
  <c r="L67" i="45"/>
  <c r="B67" i="45"/>
  <c r="X66" i="45"/>
  <c r="T66" i="45"/>
  <c r="Z66" i="45" s="1"/>
  <c r="R66" i="45"/>
  <c r="P66" i="45"/>
  <c r="L66" i="45"/>
  <c r="H66" i="45"/>
  <c r="D66" i="45"/>
  <c r="B66" i="45"/>
  <c r="Z65" i="45"/>
  <c r="X65" i="45"/>
  <c r="R65" i="45"/>
  <c r="L65" i="45"/>
  <c r="N65" i="45" s="1"/>
  <c r="B65" i="45"/>
  <c r="X64" i="45"/>
  <c r="T64" i="45"/>
  <c r="Z64" i="45" s="1"/>
  <c r="P64" i="45"/>
  <c r="H64" i="45"/>
  <c r="D64" i="45"/>
  <c r="B64" i="45"/>
  <c r="Z63" i="45"/>
  <c r="X63" i="45"/>
  <c r="L63" i="45"/>
  <c r="N63" i="45" s="1"/>
  <c r="B63" i="45"/>
  <c r="T62" i="45"/>
  <c r="X62" i="45" s="1"/>
  <c r="P62" i="45"/>
  <c r="H62" i="45"/>
  <c r="D62" i="45"/>
  <c r="L62" i="45" s="1"/>
  <c r="N62" i="45" s="1"/>
  <c r="B62" i="45"/>
  <c r="Z61" i="45"/>
  <c r="X61" i="45"/>
  <c r="N61" i="45"/>
  <c r="L61" i="45"/>
  <c r="B61" i="45"/>
  <c r="X60" i="45"/>
  <c r="T60" i="45"/>
  <c r="Z60" i="45" s="1"/>
  <c r="P60" i="45"/>
  <c r="L60" i="45"/>
  <c r="H60" i="45"/>
  <c r="N60" i="45" s="1"/>
  <c r="F60" i="45"/>
  <c r="D60" i="45"/>
  <c r="B60" i="45"/>
  <c r="Z59" i="45"/>
  <c r="X59" i="45"/>
  <c r="N59" i="45"/>
  <c r="L59" i="45"/>
  <c r="B59" i="45"/>
  <c r="T58" i="45"/>
  <c r="P58" i="45"/>
  <c r="X58" i="45" s="1"/>
  <c r="Z58" i="45" s="1"/>
  <c r="L58" i="45"/>
  <c r="H58" i="45"/>
  <c r="N58" i="45" s="1"/>
  <c r="D58" i="45"/>
  <c r="B58" i="45"/>
  <c r="X57" i="45"/>
  <c r="Z57" i="45" s="1"/>
  <c r="N57" i="45"/>
  <c r="L57" i="45"/>
  <c r="B57" i="45"/>
  <c r="T56" i="45"/>
  <c r="P56" i="45"/>
  <c r="X56" i="45" s="1"/>
  <c r="H56" i="45"/>
  <c r="L56" i="45" s="1"/>
  <c r="D56" i="45"/>
  <c r="B56" i="45"/>
  <c r="X55" i="45"/>
  <c r="Z55" i="45" s="1"/>
  <c r="N55" i="45"/>
  <c r="L55" i="45"/>
  <c r="B55" i="45"/>
  <c r="X54" i="45"/>
  <c r="T54" i="45"/>
  <c r="Z54" i="45" s="1"/>
  <c r="R54" i="45"/>
  <c r="P54" i="45"/>
  <c r="L54" i="45"/>
  <c r="H54" i="45"/>
  <c r="D54" i="45"/>
  <c r="B54" i="45"/>
  <c r="Z53" i="45"/>
  <c r="X53" i="45"/>
  <c r="R53" i="45"/>
  <c r="L53" i="45"/>
  <c r="N53" i="45" s="1"/>
  <c r="B53" i="45"/>
  <c r="X52" i="45"/>
  <c r="T52" i="45"/>
  <c r="Z52" i="45" s="1"/>
  <c r="P52" i="45"/>
  <c r="H52" i="45"/>
  <c r="D52" i="45"/>
  <c r="L52" i="45" s="1"/>
  <c r="B52" i="45"/>
  <c r="Z51" i="45"/>
  <c r="X51" i="45"/>
  <c r="N51" i="45"/>
  <c r="L51" i="45"/>
  <c r="B51" i="45"/>
  <c r="T50" i="45"/>
  <c r="X50" i="45" s="1"/>
  <c r="P50" i="45"/>
  <c r="J50" i="45"/>
  <c r="H50" i="45"/>
  <c r="N50" i="45" s="1"/>
  <c r="D50" i="45"/>
  <c r="L50" i="45" s="1"/>
  <c r="B50" i="45"/>
  <c r="Z49" i="45"/>
  <c r="X49" i="45"/>
  <c r="N49" i="45"/>
  <c r="L49" i="45"/>
  <c r="B49" i="45"/>
  <c r="X48" i="45"/>
  <c r="T48" i="45"/>
  <c r="P48" i="45"/>
  <c r="H48" i="45"/>
  <c r="F48" i="45"/>
  <c r="D48" i="45"/>
  <c r="L48" i="45" s="1"/>
  <c r="N48" i="45" s="1"/>
  <c r="B48" i="45"/>
  <c r="Z47" i="45"/>
  <c r="X47" i="45"/>
  <c r="N47" i="45"/>
  <c r="L47" i="45"/>
  <c r="B47" i="45"/>
  <c r="T46" i="45"/>
  <c r="P46" i="45"/>
  <c r="X46" i="45" s="1"/>
  <c r="Z46" i="45" s="1"/>
  <c r="L46" i="45"/>
  <c r="H46" i="45"/>
  <c r="N46" i="45" s="1"/>
  <c r="D46" i="45"/>
  <c r="B46" i="45"/>
  <c r="X45" i="45"/>
  <c r="Z45" i="45" s="1"/>
  <c r="N45" i="45"/>
  <c r="L45" i="45"/>
  <c r="B45" i="45"/>
  <c r="T44" i="45"/>
  <c r="P44" i="45"/>
  <c r="X44" i="45" s="1"/>
  <c r="H44" i="45"/>
  <c r="L44" i="45" s="1"/>
  <c r="D44" i="45"/>
  <c r="B44" i="45"/>
  <c r="X43" i="45"/>
  <c r="Z43" i="45" s="1"/>
  <c r="N43" i="45"/>
  <c r="L43" i="45"/>
  <c r="B43" i="45"/>
  <c r="Z42" i="45"/>
  <c r="X42" i="45"/>
  <c r="N42" i="45"/>
  <c r="L42" i="45"/>
  <c r="F42" i="45"/>
  <c r="B42" i="45"/>
  <c r="Z41" i="45"/>
  <c r="X41" i="45"/>
  <c r="N41" i="45"/>
  <c r="L41" i="45"/>
  <c r="B41" i="45"/>
  <c r="X40" i="45"/>
  <c r="Z40" i="45" s="1"/>
  <c r="L40" i="45"/>
  <c r="N40" i="45" s="1"/>
  <c r="B40" i="45"/>
  <c r="X39" i="45"/>
  <c r="Z39" i="45" s="1"/>
  <c r="N39" i="45"/>
  <c r="L39" i="45"/>
  <c r="B39" i="45"/>
  <c r="Z38" i="45"/>
  <c r="X38" i="45"/>
  <c r="N38" i="45"/>
  <c r="L38" i="45"/>
  <c r="F38" i="45"/>
  <c r="B38" i="45"/>
  <c r="Z37" i="45"/>
  <c r="X37" i="45"/>
  <c r="N37" i="45"/>
  <c r="L37" i="45"/>
  <c r="F37" i="45"/>
  <c r="B37" i="45"/>
  <c r="X36" i="45"/>
  <c r="T36" i="45"/>
  <c r="P36" i="45"/>
  <c r="H36" i="45"/>
  <c r="F36" i="45"/>
  <c r="D36" i="45"/>
  <c r="L36" i="45" s="1"/>
  <c r="N36" i="45" s="1"/>
  <c r="B36" i="45"/>
  <c r="Z35" i="45"/>
  <c r="X35" i="45"/>
  <c r="N35" i="45"/>
  <c r="L35" i="45"/>
  <c r="B35" i="45"/>
  <c r="Z34" i="45"/>
  <c r="X34" i="45"/>
  <c r="R34" i="45"/>
  <c r="L34" i="45"/>
  <c r="N34" i="45" s="1"/>
  <c r="B34" i="45"/>
  <c r="Z33" i="45"/>
  <c r="X33" i="45"/>
  <c r="R33" i="45"/>
  <c r="N33" i="45"/>
  <c r="L33" i="45"/>
  <c r="J33" i="45"/>
  <c r="B33" i="45"/>
  <c r="X32" i="45"/>
  <c r="Z32" i="45" s="1"/>
  <c r="N32" i="45"/>
  <c r="L32" i="45"/>
  <c r="B32" i="45"/>
  <c r="Z31" i="45"/>
  <c r="X31" i="45"/>
  <c r="N31" i="45"/>
  <c r="L31" i="45"/>
  <c r="B31" i="45"/>
  <c r="Z30" i="45"/>
  <c r="X30" i="45"/>
  <c r="R30" i="45"/>
  <c r="L30" i="45"/>
  <c r="N30" i="45" s="1"/>
  <c r="B30" i="45"/>
  <c r="X29" i="45"/>
  <c r="Z29" i="45" s="1"/>
  <c r="R29" i="45"/>
  <c r="N29" i="45"/>
  <c r="L29" i="45"/>
  <c r="B29" i="45"/>
  <c r="X28" i="45"/>
  <c r="Z28" i="45" s="1"/>
  <c r="N28" i="45"/>
  <c r="L28" i="45"/>
  <c r="J28" i="45"/>
  <c r="B28" i="45"/>
  <c r="Z27" i="45"/>
  <c r="X27" i="45"/>
  <c r="N27" i="45"/>
  <c r="L27" i="45"/>
  <c r="B27" i="45"/>
  <c r="Z26" i="45"/>
  <c r="T26" i="45"/>
  <c r="X26" i="45" s="1"/>
  <c r="P26" i="45"/>
  <c r="L26" i="45"/>
  <c r="H26" i="45"/>
  <c r="N26" i="45" s="1"/>
  <c r="D26" i="45"/>
  <c r="B26" i="45"/>
  <c r="T25" i="45"/>
  <c r="X25" i="45" s="1"/>
  <c r="Z25" i="45" s="1"/>
  <c r="P25" i="45"/>
  <c r="H25" i="45"/>
  <c r="D25" i="45"/>
  <c r="L25" i="45" s="1"/>
  <c r="N25" i="45" s="1"/>
  <c r="Z21" i="45"/>
  <c r="X21" i="45"/>
  <c r="N21" i="45"/>
  <c r="L21" i="45"/>
  <c r="B21" i="45"/>
  <c r="Z20" i="45"/>
  <c r="X20" i="45"/>
  <c r="L20" i="45"/>
  <c r="N20" i="45" s="1"/>
  <c r="B20" i="45"/>
  <c r="T19" i="45"/>
  <c r="P19" i="45"/>
  <c r="X19" i="45" s="1"/>
  <c r="Z19" i="45" s="1"/>
  <c r="J19" i="45"/>
  <c r="H19" i="45"/>
  <c r="D19" i="45"/>
  <c r="L19" i="45" s="1"/>
  <c r="N19" i="45" s="1"/>
  <c r="T17" i="45"/>
  <c r="P17" i="45"/>
  <c r="X17" i="45" s="1"/>
  <c r="Z17" i="45" s="1"/>
  <c r="L17" i="45"/>
  <c r="H17" i="45"/>
  <c r="N17" i="45" s="1"/>
  <c r="D17" i="45"/>
  <c r="B17" i="45"/>
  <c r="T16" i="45"/>
  <c r="P16" i="45"/>
  <c r="X16" i="45" s="1"/>
  <c r="Z16" i="45" s="1"/>
  <c r="H16" i="45"/>
  <c r="D16" i="45"/>
  <c r="B16" i="45"/>
  <c r="T15" i="45"/>
  <c r="P15" i="45"/>
  <c r="H15" i="45"/>
  <c r="N15" i="45" s="1"/>
  <c r="D15" i="45"/>
  <c r="L15" i="45" s="1"/>
  <c r="B15" i="45"/>
  <c r="T14" i="45"/>
  <c r="P14" i="45"/>
  <c r="X14" i="45" s="1"/>
  <c r="L14" i="45"/>
  <c r="H14" i="45"/>
  <c r="D14" i="45"/>
  <c r="B14" i="45"/>
  <c r="T13" i="45"/>
  <c r="P13" i="45"/>
  <c r="X13" i="45" s="1"/>
  <c r="Z13" i="45" s="1"/>
  <c r="L13" i="45"/>
  <c r="H13" i="45"/>
  <c r="H12" i="45" s="1"/>
  <c r="J32" i="45" s="1"/>
  <c r="D13" i="45"/>
  <c r="D12" i="45" s="1"/>
  <c r="F49" i="45" s="1"/>
  <c r="B13" i="45"/>
  <c r="P12" i="45"/>
  <c r="R90" i="45" s="1"/>
  <c r="D4" i="45"/>
  <c r="Z115" i="42"/>
  <c r="X115" i="42"/>
  <c r="N115" i="42"/>
  <c r="L115" i="42"/>
  <c r="X111" i="42"/>
  <c r="T111" i="42"/>
  <c r="P111" i="42"/>
  <c r="H111" i="42"/>
  <c r="D111" i="42"/>
  <c r="L111" i="42" s="1"/>
  <c r="N111" i="42" s="1"/>
  <c r="B111" i="42"/>
  <c r="T110" i="42"/>
  <c r="T108" i="42" s="1"/>
  <c r="P110" i="42"/>
  <c r="X110" i="42" s="1"/>
  <c r="Z110" i="42" s="1"/>
  <c r="L110" i="42"/>
  <c r="N110" i="42" s="1"/>
  <c r="H110" i="42"/>
  <c r="D110" i="42"/>
  <c r="B110" i="42"/>
  <c r="T109" i="42"/>
  <c r="Z109" i="42" s="1"/>
  <c r="P109" i="42"/>
  <c r="X109" i="42" s="1"/>
  <c r="H109" i="42"/>
  <c r="H108" i="42" s="1"/>
  <c r="D109" i="42"/>
  <c r="B109" i="42"/>
  <c r="X108" i="42"/>
  <c r="P108" i="42"/>
  <c r="X106" i="42"/>
  <c r="Z106" i="42" s="1"/>
  <c r="N106" i="42"/>
  <c r="L106" i="42"/>
  <c r="B106" i="42"/>
  <c r="X105" i="42"/>
  <c r="T105" i="42"/>
  <c r="P105" i="42"/>
  <c r="N105" i="42"/>
  <c r="H105" i="42"/>
  <c r="D105" i="42"/>
  <c r="L105" i="42" s="1"/>
  <c r="B105" i="42"/>
  <c r="Z104" i="42"/>
  <c r="X104" i="42"/>
  <c r="L104" i="42"/>
  <c r="N104" i="42" s="1"/>
  <c r="B104" i="42"/>
  <c r="X103" i="42"/>
  <c r="Z103" i="42" s="1"/>
  <c r="N103" i="42"/>
  <c r="L103" i="42"/>
  <c r="B103" i="42"/>
  <c r="X102" i="42"/>
  <c r="Z102" i="42" s="1"/>
  <c r="N102" i="42"/>
  <c r="L102" i="42"/>
  <c r="B102" i="42"/>
  <c r="Z101" i="42"/>
  <c r="X101" i="42"/>
  <c r="T101" i="42"/>
  <c r="P101" i="42"/>
  <c r="H101" i="42"/>
  <c r="D101" i="42"/>
  <c r="B101" i="42"/>
  <c r="X100" i="42"/>
  <c r="Z100" i="42" s="1"/>
  <c r="N100" i="42"/>
  <c r="L100" i="42"/>
  <c r="B100" i="42"/>
  <c r="T99" i="42"/>
  <c r="X99" i="42" s="1"/>
  <c r="Z99" i="42" s="1"/>
  <c r="P99" i="42"/>
  <c r="H99" i="42"/>
  <c r="D99" i="42"/>
  <c r="L99" i="42" s="1"/>
  <c r="N99" i="42" s="1"/>
  <c r="B99" i="42"/>
  <c r="X98" i="42"/>
  <c r="Z98" i="42" s="1"/>
  <c r="L98" i="42"/>
  <c r="N98" i="42" s="1"/>
  <c r="B98" i="42"/>
  <c r="X97" i="42"/>
  <c r="T97" i="42"/>
  <c r="Z97" i="42" s="1"/>
  <c r="P97" i="42"/>
  <c r="H97" i="42"/>
  <c r="D97" i="42"/>
  <c r="L97" i="42" s="1"/>
  <c r="N97" i="42" s="1"/>
  <c r="B97" i="42"/>
  <c r="Z96" i="42"/>
  <c r="X96" i="42"/>
  <c r="L96" i="42"/>
  <c r="N96" i="42" s="1"/>
  <c r="B96" i="42"/>
  <c r="X95" i="42"/>
  <c r="Z95" i="42" s="1"/>
  <c r="N95" i="42"/>
  <c r="L95" i="42"/>
  <c r="B95" i="42"/>
  <c r="X94" i="42"/>
  <c r="Z94" i="42" s="1"/>
  <c r="N94" i="42"/>
  <c r="L94" i="42"/>
  <c r="B94" i="42"/>
  <c r="Z93" i="42"/>
  <c r="X93" i="42"/>
  <c r="N93" i="42"/>
  <c r="L93" i="42"/>
  <c r="B93" i="42"/>
  <c r="Z92" i="42"/>
  <c r="X92" i="42"/>
  <c r="L92" i="42"/>
  <c r="N92" i="42" s="1"/>
  <c r="B92" i="42"/>
  <c r="X91" i="42"/>
  <c r="Z91" i="42" s="1"/>
  <c r="N91" i="42"/>
  <c r="L91" i="42"/>
  <c r="B91" i="42"/>
  <c r="X90" i="42"/>
  <c r="Z90" i="42" s="1"/>
  <c r="N90" i="42"/>
  <c r="L90" i="42"/>
  <c r="B90" i="42"/>
  <c r="Z89" i="42"/>
  <c r="X89" i="42"/>
  <c r="N89" i="42"/>
  <c r="L89" i="42"/>
  <c r="B89" i="42"/>
  <c r="Z88" i="42"/>
  <c r="X88" i="42"/>
  <c r="N88" i="42"/>
  <c r="L88" i="42"/>
  <c r="B88" i="42"/>
  <c r="T87" i="42"/>
  <c r="P87" i="42"/>
  <c r="H87" i="42"/>
  <c r="D87" i="42"/>
  <c r="L87" i="42" s="1"/>
  <c r="N87" i="42" s="1"/>
  <c r="B87" i="42"/>
  <c r="Z86" i="42"/>
  <c r="X86" i="42"/>
  <c r="L86" i="42"/>
  <c r="N86" i="42" s="1"/>
  <c r="B86" i="42"/>
  <c r="T85" i="42"/>
  <c r="P85" i="42"/>
  <c r="X85" i="42" s="1"/>
  <c r="Z85" i="42" s="1"/>
  <c r="H85" i="42"/>
  <c r="D85" i="42"/>
  <c r="B85" i="42"/>
  <c r="Z84" i="42"/>
  <c r="X84" i="42"/>
  <c r="N84" i="42"/>
  <c r="L84" i="42"/>
  <c r="F84" i="42"/>
  <c r="B84" i="42"/>
  <c r="Z83" i="42"/>
  <c r="X83" i="42"/>
  <c r="L83" i="42"/>
  <c r="N83" i="42" s="1"/>
  <c r="B83" i="42"/>
  <c r="X82" i="42"/>
  <c r="Z82" i="42" s="1"/>
  <c r="N82" i="42"/>
  <c r="L82" i="42"/>
  <c r="B82" i="42"/>
  <c r="X81" i="42"/>
  <c r="Z81" i="42" s="1"/>
  <c r="N81" i="42"/>
  <c r="L81" i="42"/>
  <c r="B81" i="42"/>
  <c r="Z80" i="42"/>
  <c r="X80" i="42"/>
  <c r="N80" i="42"/>
  <c r="L80" i="42"/>
  <c r="B80" i="42"/>
  <c r="T79" i="42"/>
  <c r="P79" i="42"/>
  <c r="X79" i="42" s="1"/>
  <c r="Z79" i="42" s="1"/>
  <c r="L79" i="42"/>
  <c r="H79" i="42"/>
  <c r="N79" i="42" s="1"/>
  <c r="D79" i="42"/>
  <c r="B79" i="42"/>
  <c r="X78" i="42"/>
  <c r="Z78" i="42" s="1"/>
  <c r="N78" i="42"/>
  <c r="L78" i="42"/>
  <c r="B78" i="42"/>
  <c r="Z77" i="42"/>
  <c r="X77" i="42"/>
  <c r="N77" i="42"/>
  <c r="L77" i="42"/>
  <c r="B77" i="42"/>
  <c r="T76" i="42"/>
  <c r="P76" i="42"/>
  <c r="X76" i="42" s="1"/>
  <c r="Z76" i="42" s="1"/>
  <c r="L76" i="42"/>
  <c r="N76" i="42" s="1"/>
  <c r="H76" i="42"/>
  <c r="D76" i="42"/>
  <c r="B76" i="42"/>
  <c r="Z75" i="42"/>
  <c r="X75" i="42"/>
  <c r="N75" i="42"/>
  <c r="L75" i="42"/>
  <c r="B75" i="42"/>
  <c r="Z74" i="42"/>
  <c r="X74" i="42"/>
  <c r="L74" i="42"/>
  <c r="N74" i="42" s="1"/>
  <c r="B74" i="42"/>
  <c r="T73" i="42"/>
  <c r="P73" i="42"/>
  <c r="X73" i="42" s="1"/>
  <c r="Z73" i="42" s="1"/>
  <c r="H73" i="42"/>
  <c r="D73" i="42"/>
  <c r="B73" i="42"/>
  <c r="Z72" i="42"/>
  <c r="X72" i="42"/>
  <c r="N72" i="42"/>
  <c r="L72" i="42"/>
  <c r="B72" i="42"/>
  <c r="T71" i="42"/>
  <c r="P71" i="42"/>
  <c r="X71" i="42" s="1"/>
  <c r="Z71" i="42" s="1"/>
  <c r="L71" i="42"/>
  <c r="H71" i="42"/>
  <c r="N71" i="42" s="1"/>
  <c r="F71" i="42"/>
  <c r="D71" i="42"/>
  <c r="B71" i="42"/>
  <c r="X70" i="42"/>
  <c r="Z70" i="42" s="1"/>
  <c r="N70" i="42"/>
  <c r="L70" i="42"/>
  <c r="B70" i="42"/>
  <c r="Z69" i="42"/>
  <c r="X69" i="42"/>
  <c r="T69" i="42"/>
  <c r="P69" i="42"/>
  <c r="H69" i="42"/>
  <c r="D69" i="42"/>
  <c r="B69" i="42"/>
  <c r="X68" i="42"/>
  <c r="Z68" i="42" s="1"/>
  <c r="N68" i="42"/>
  <c r="L68" i="42"/>
  <c r="B68" i="42"/>
  <c r="T67" i="42"/>
  <c r="P67" i="42"/>
  <c r="H67" i="42"/>
  <c r="D67" i="42"/>
  <c r="L67" i="42" s="1"/>
  <c r="N67" i="42" s="1"/>
  <c r="B67" i="42"/>
  <c r="X66" i="42"/>
  <c r="Z66" i="42" s="1"/>
  <c r="L66" i="42"/>
  <c r="N66" i="42" s="1"/>
  <c r="B66" i="42"/>
  <c r="X65" i="42"/>
  <c r="T65" i="42"/>
  <c r="P65" i="42"/>
  <c r="H65" i="42"/>
  <c r="D65" i="42"/>
  <c r="L65" i="42" s="1"/>
  <c r="N65" i="42" s="1"/>
  <c r="B65" i="42"/>
  <c r="Z64" i="42"/>
  <c r="X64" i="42"/>
  <c r="L64" i="42"/>
  <c r="N64" i="42" s="1"/>
  <c r="B64" i="42"/>
  <c r="X63" i="42"/>
  <c r="Z63" i="42" s="1"/>
  <c r="N63" i="42"/>
  <c r="L63" i="42"/>
  <c r="B63" i="42"/>
  <c r="X62" i="42"/>
  <c r="Z62" i="42" s="1"/>
  <c r="T62" i="42"/>
  <c r="P62" i="42"/>
  <c r="H62" i="42"/>
  <c r="D62" i="42"/>
  <c r="B62" i="42"/>
  <c r="Z61" i="42"/>
  <c r="X61" i="42"/>
  <c r="L61" i="42"/>
  <c r="N61" i="42" s="1"/>
  <c r="B61" i="42"/>
  <c r="X60" i="42"/>
  <c r="T60" i="42"/>
  <c r="Z60" i="42" s="1"/>
  <c r="P60" i="42"/>
  <c r="H60" i="42"/>
  <c r="D60" i="42"/>
  <c r="L60" i="42" s="1"/>
  <c r="N60" i="42" s="1"/>
  <c r="B60" i="42"/>
  <c r="Z59" i="42"/>
  <c r="X59" i="42"/>
  <c r="L59" i="42"/>
  <c r="N59" i="42" s="1"/>
  <c r="B59" i="42"/>
  <c r="X58" i="42"/>
  <c r="T58" i="42"/>
  <c r="P58" i="42"/>
  <c r="H58" i="42"/>
  <c r="D58" i="42"/>
  <c r="L58" i="42" s="1"/>
  <c r="N58" i="42" s="1"/>
  <c r="B58" i="42"/>
  <c r="Z57" i="42"/>
  <c r="X57" i="42"/>
  <c r="N57" i="42"/>
  <c r="L57" i="42"/>
  <c r="B57" i="42"/>
  <c r="Z56" i="42"/>
  <c r="X56" i="42"/>
  <c r="N56" i="42"/>
  <c r="L56" i="42"/>
  <c r="B56" i="42"/>
  <c r="X55" i="42"/>
  <c r="Z55" i="42" s="1"/>
  <c r="N55" i="42"/>
  <c r="L55" i="42"/>
  <c r="B55" i="42"/>
  <c r="X54" i="42"/>
  <c r="Z54" i="42" s="1"/>
  <c r="T54" i="42"/>
  <c r="P54" i="42"/>
  <c r="H54" i="42"/>
  <c r="N54" i="42" s="1"/>
  <c r="D54" i="42"/>
  <c r="L54" i="42" s="1"/>
  <c r="B54" i="42"/>
  <c r="X53" i="42"/>
  <c r="Z53" i="42" s="1"/>
  <c r="L53" i="42"/>
  <c r="N53" i="42" s="1"/>
  <c r="B53" i="42"/>
  <c r="Z52" i="42"/>
  <c r="X52" i="42"/>
  <c r="T52" i="42"/>
  <c r="P52" i="42"/>
  <c r="H52" i="42"/>
  <c r="N52" i="42" s="1"/>
  <c r="D52" i="42"/>
  <c r="L52" i="42" s="1"/>
  <c r="B52" i="42"/>
  <c r="Z51" i="42"/>
  <c r="X51" i="42"/>
  <c r="L51" i="42"/>
  <c r="N51" i="42" s="1"/>
  <c r="B51" i="42"/>
  <c r="T50" i="42"/>
  <c r="P50" i="42"/>
  <c r="H50" i="42"/>
  <c r="D50" i="42"/>
  <c r="L50" i="42" s="1"/>
  <c r="N50" i="42" s="1"/>
  <c r="B50" i="42"/>
  <c r="Z49" i="42"/>
  <c r="X49" i="42"/>
  <c r="N49" i="42"/>
  <c r="L49" i="42"/>
  <c r="B49" i="42"/>
  <c r="T48" i="42"/>
  <c r="P48" i="42"/>
  <c r="X48" i="42" s="1"/>
  <c r="L48" i="42"/>
  <c r="N48" i="42" s="1"/>
  <c r="H48" i="42"/>
  <c r="D48" i="42"/>
  <c r="B48" i="42"/>
  <c r="Z47" i="42"/>
  <c r="X47" i="42"/>
  <c r="N47" i="42"/>
  <c r="L47" i="42"/>
  <c r="F47" i="42"/>
  <c r="B47" i="42"/>
  <c r="Z46" i="42"/>
  <c r="X46" i="42"/>
  <c r="L46" i="42"/>
  <c r="N46" i="42" s="1"/>
  <c r="B46" i="42"/>
  <c r="X45" i="42"/>
  <c r="Z45" i="42" s="1"/>
  <c r="L45" i="42"/>
  <c r="N45" i="42" s="1"/>
  <c r="B45" i="42"/>
  <c r="Z44" i="42"/>
  <c r="X44" i="42"/>
  <c r="N44" i="42"/>
  <c r="L44" i="42"/>
  <c r="B44" i="42"/>
  <c r="Z43" i="42"/>
  <c r="X43" i="42"/>
  <c r="N43" i="42"/>
  <c r="L43" i="42"/>
  <c r="B43" i="42"/>
  <c r="Z42" i="42"/>
  <c r="X42" i="42"/>
  <c r="N42" i="42"/>
  <c r="L42" i="42"/>
  <c r="B42" i="42"/>
  <c r="X41" i="42"/>
  <c r="Z41" i="42" s="1"/>
  <c r="L41" i="42"/>
  <c r="N41" i="42" s="1"/>
  <c r="B41" i="42"/>
  <c r="Z40" i="42"/>
  <c r="X40" i="42"/>
  <c r="T40" i="42"/>
  <c r="P40" i="42"/>
  <c r="H40" i="42"/>
  <c r="N40" i="42" s="1"/>
  <c r="D40" i="42"/>
  <c r="L40" i="42" s="1"/>
  <c r="B40" i="42"/>
  <c r="X39" i="42"/>
  <c r="Z39" i="42" s="1"/>
  <c r="L39" i="42"/>
  <c r="N39" i="42" s="1"/>
  <c r="B39" i="42"/>
  <c r="Z38" i="42"/>
  <c r="X38" i="42"/>
  <c r="L38" i="42"/>
  <c r="N38" i="42" s="1"/>
  <c r="B38" i="42"/>
  <c r="X37" i="42"/>
  <c r="Z37" i="42" s="1"/>
  <c r="N37" i="42"/>
  <c r="L37" i="42"/>
  <c r="F37" i="42"/>
  <c r="B37" i="42"/>
  <c r="X36" i="42"/>
  <c r="Z36" i="42" s="1"/>
  <c r="L36" i="42"/>
  <c r="N36" i="42" s="1"/>
  <c r="B36" i="42"/>
  <c r="X35" i="42"/>
  <c r="Z35" i="42" s="1"/>
  <c r="N35" i="42"/>
  <c r="L35" i="42"/>
  <c r="B35" i="42"/>
  <c r="X34" i="42"/>
  <c r="Z34" i="42" s="1"/>
  <c r="N34" i="42"/>
  <c r="L34" i="42"/>
  <c r="F34" i="42"/>
  <c r="B34" i="42"/>
  <c r="Z33" i="42"/>
  <c r="X33" i="42"/>
  <c r="N33" i="42"/>
  <c r="L33" i="42"/>
  <c r="F33" i="42"/>
  <c r="B33" i="42"/>
  <c r="X32" i="42"/>
  <c r="Z32" i="42" s="1"/>
  <c r="L32" i="42"/>
  <c r="N32" i="42" s="1"/>
  <c r="B32" i="42"/>
  <c r="X31" i="42"/>
  <c r="Z31" i="42" s="1"/>
  <c r="N31" i="42"/>
  <c r="L31" i="42"/>
  <c r="B31" i="42"/>
  <c r="X30" i="42"/>
  <c r="Z30" i="42" s="1"/>
  <c r="T30" i="42"/>
  <c r="P30" i="42"/>
  <c r="L30" i="42"/>
  <c r="N30" i="42" s="1"/>
  <c r="H30" i="42"/>
  <c r="D30" i="42"/>
  <c r="B30" i="42"/>
  <c r="T29" i="42"/>
  <c r="Z29" i="42" s="1"/>
  <c r="P29" i="42"/>
  <c r="X29" i="42" s="1"/>
  <c r="N29" i="42"/>
  <c r="H29" i="42"/>
  <c r="D29" i="42"/>
  <c r="L29" i="42" s="1"/>
  <c r="T27" i="42"/>
  <c r="T113" i="42" s="1"/>
  <c r="Z25" i="42"/>
  <c r="X25" i="42"/>
  <c r="L25" i="42"/>
  <c r="N25" i="42" s="1"/>
  <c r="B25" i="42"/>
  <c r="X24" i="42"/>
  <c r="Z24" i="42" s="1"/>
  <c r="N24" i="42"/>
  <c r="L24" i="42"/>
  <c r="B24" i="42"/>
  <c r="T23" i="42"/>
  <c r="P23" i="42"/>
  <c r="X23" i="42" s="1"/>
  <c r="Z23" i="42" s="1"/>
  <c r="H23" i="42"/>
  <c r="D23" i="42"/>
  <c r="Z21" i="42"/>
  <c r="X21" i="42"/>
  <c r="T21" i="42"/>
  <c r="P21" i="42"/>
  <c r="L21" i="42"/>
  <c r="H21" i="42"/>
  <c r="N21" i="42" s="1"/>
  <c r="D21" i="42"/>
  <c r="B21" i="42"/>
  <c r="Z20" i="42"/>
  <c r="T20" i="42"/>
  <c r="P20" i="42"/>
  <c r="X20" i="42" s="1"/>
  <c r="H20" i="42"/>
  <c r="D20" i="42"/>
  <c r="L20" i="42" s="1"/>
  <c r="N20" i="42" s="1"/>
  <c r="B20" i="42"/>
  <c r="T19" i="42"/>
  <c r="P19" i="42"/>
  <c r="X19" i="42" s="1"/>
  <c r="Z19" i="42" s="1"/>
  <c r="H19" i="42"/>
  <c r="D19" i="42"/>
  <c r="B19" i="42"/>
  <c r="T18" i="42"/>
  <c r="P18" i="42"/>
  <c r="X18" i="42" s="1"/>
  <c r="H18" i="42"/>
  <c r="D18" i="42"/>
  <c r="B18" i="42"/>
  <c r="T17" i="42"/>
  <c r="X17" i="42" s="1"/>
  <c r="Z17" i="42" s="1"/>
  <c r="P17" i="42"/>
  <c r="L17" i="42"/>
  <c r="H17" i="42"/>
  <c r="N17" i="42" s="1"/>
  <c r="D17" i="42"/>
  <c r="B17" i="42"/>
  <c r="T16" i="42"/>
  <c r="P16" i="42"/>
  <c r="X16" i="42" s="1"/>
  <c r="Z16" i="42" s="1"/>
  <c r="L16" i="42"/>
  <c r="N16" i="42" s="1"/>
  <c r="H16" i="42"/>
  <c r="D16" i="42"/>
  <c r="B16" i="42"/>
  <c r="T15" i="42"/>
  <c r="P15" i="42"/>
  <c r="X15" i="42" s="1"/>
  <c r="Z15" i="42" s="1"/>
  <c r="H15" i="42"/>
  <c r="D15" i="42"/>
  <c r="B15" i="42"/>
  <c r="T14" i="42"/>
  <c r="P14" i="42"/>
  <c r="X14" i="42" s="1"/>
  <c r="H14" i="42"/>
  <c r="D14" i="42"/>
  <c r="B14" i="42"/>
  <c r="T13" i="42"/>
  <c r="X13" i="42" s="1"/>
  <c r="Z13" i="42" s="1"/>
  <c r="P13" i="42"/>
  <c r="L13" i="42"/>
  <c r="H13" i="42"/>
  <c r="D13" i="42"/>
  <c r="B13" i="42"/>
  <c r="T12" i="42"/>
  <c r="V43" i="42" s="1"/>
  <c r="D12" i="42"/>
  <c r="F83" i="42" s="1"/>
  <c r="D4" i="42"/>
  <c r="X125" i="39"/>
  <c r="Z125" i="39" s="1"/>
  <c r="N125" i="39"/>
  <c r="L125" i="39"/>
  <c r="T121" i="39"/>
  <c r="P121" i="39"/>
  <c r="X121" i="39" s="1"/>
  <c r="Z121" i="39" s="1"/>
  <c r="L121" i="39"/>
  <c r="H121" i="39"/>
  <c r="N121" i="39" s="1"/>
  <c r="D121" i="39"/>
  <c r="B121" i="39"/>
  <c r="Z120" i="39"/>
  <c r="X120" i="39"/>
  <c r="T120" i="39"/>
  <c r="P120" i="39"/>
  <c r="L120" i="39"/>
  <c r="N120" i="39" s="1"/>
  <c r="H120" i="39"/>
  <c r="H118" i="39" s="1"/>
  <c r="D120" i="39"/>
  <c r="B120" i="39"/>
  <c r="T119" i="39"/>
  <c r="P119" i="39"/>
  <c r="X119" i="39" s="1"/>
  <c r="H119" i="39"/>
  <c r="D119" i="39"/>
  <c r="D118" i="39" s="1"/>
  <c r="L118" i="39" s="1"/>
  <c r="B119" i="39"/>
  <c r="P118" i="39"/>
  <c r="Z116" i="39"/>
  <c r="X116" i="39"/>
  <c r="L116" i="39"/>
  <c r="N116" i="39" s="1"/>
  <c r="B116" i="39"/>
  <c r="T115" i="39"/>
  <c r="P115" i="39"/>
  <c r="X115" i="39" s="1"/>
  <c r="Z115" i="39" s="1"/>
  <c r="L115" i="39"/>
  <c r="H115" i="39"/>
  <c r="N115" i="39" s="1"/>
  <c r="D115" i="39"/>
  <c r="B115" i="39"/>
  <c r="Z114" i="39"/>
  <c r="X114" i="39"/>
  <c r="N114" i="39"/>
  <c r="L114" i="39"/>
  <c r="B114" i="39"/>
  <c r="Z113" i="39"/>
  <c r="X113" i="39"/>
  <c r="N113" i="39"/>
  <c r="L113" i="39"/>
  <c r="B113" i="39"/>
  <c r="X112" i="39"/>
  <c r="Z112" i="39" s="1"/>
  <c r="L112" i="39"/>
  <c r="N112" i="39" s="1"/>
  <c r="B112" i="39"/>
  <c r="X111" i="39"/>
  <c r="T111" i="39"/>
  <c r="P111" i="39"/>
  <c r="H111" i="39"/>
  <c r="D111" i="39"/>
  <c r="L111" i="39" s="1"/>
  <c r="B111" i="39"/>
  <c r="Z110" i="39"/>
  <c r="X110" i="39"/>
  <c r="L110" i="39"/>
  <c r="N110" i="39" s="1"/>
  <c r="B110" i="39"/>
  <c r="T109" i="39"/>
  <c r="P109" i="39"/>
  <c r="N109" i="39"/>
  <c r="H109" i="39"/>
  <c r="D109" i="39"/>
  <c r="L109" i="39" s="1"/>
  <c r="B109" i="39"/>
  <c r="Z108" i="39"/>
  <c r="X108" i="39"/>
  <c r="L108" i="39"/>
  <c r="N108" i="39" s="1"/>
  <c r="B108" i="39"/>
  <c r="T107" i="39"/>
  <c r="P107" i="39"/>
  <c r="X107" i="39" s="1"/>
  <c r="Z107" i="39" s="1"/>
  <c r="L107" i="39"/>
  <c r="H107" i="39"/>
  <c r="N107" i="39" s="1"/>
  <c r="D107" i="39"/>
  <c r="B107" i="39"/>
  <c r="Z106" i="39"/>
  <c r="X106" i="39"/>
  <c r="N106" i="39"/>
  <c r="L106" i="39"/>
  <c r="B106" i="39"/>
  <c r="Z105" i="39"/>
  <c r="X105" i="39"/>
  <c r="N105" i="39"/>
  <c r="L105" i="39"/>
  <c r="B105" i="39"/>
  <c r="X104" i="39"/>
  <c r="Z104" i="39" s="1"/>
  <c r="L104" i="39"/>
  <c r="N104" i="39" s="1"/>
  <c r="B104" i="39"/>
  <c r="X103" i="39"/>
  <c r="Z103" i="39" s="1"/>
  <c r="N103" i="39"/>
  <c r="L103" i="39"/>
  <c r="B103" i="39"/>
  <c r="Z102" i="39"/>
  <c r="X102" i="39"/>
  <c r="N102" i="39"/>
  <c r="L102" i="39"/>
  <c r="F102" i="39"/>
  <c r="B102" i="39"/>
  <c r="Z101" i="39"/>
  <c r="X101" i="39"/>
  <c r="N101" i="39"/>
  <c r="L101" i="39"/>
  <c r="B101" i="39"/>
  <c r="X100" i="39"/>
  <c r="Z100" i="39" s="1"/>
  <c r="L100" i="39"/>
  <c r="N100" i="39" s="1"/>
  <c r="B100" i="39"/>
  <c r="Z99" i="39"/>
  <c r="X99" i="39"/>
  <c r="N99" i="39"/>
  <c r="L99" i="39"/>
  <c r="B99" i="39"/>
  <c r="Z98" i="39"/>
  <c r="X98" i="39"/>
  <c r="N98" i="39"/>
  <c r="L98" i="39"/>
  <c r="B98" i="39"/>
  <c r="T97" i="39"/>
  <c r="P97" i="39"/>
  <c r="X97" i="39" s="1"/>
  <c r="L97" i="39"/>
  <c r="H97" i="39"/>
  <c r="D97" i="39"/>
  <c r="B97" i="39"/>
  <c r="X96" i="39"/>
  <c r="Z96" i="39" s="1"/>
  <c r="N96" i="39"/>
  <c r="L96" i="39"/>
  <c r="B96" i="39"/>
  <c r="T95" i="39"/>
  <c r="P95" i="39"/>
  <c r="X95" i="39" s="1"/>
  <c r="Z95" i="39" s="1"/>
  <c r="H95" i="39"/>
  <c r="D95" i="39"/>
  <c r="B95" i="39"/>
  <c r="X94" i="39"/>
  <c r="Z94" i="39" s="1"/>
  <c r="N94" i="39"/>
  <c r="L94" i="39"/>
  <c r="B94" i="39"/>
  <c r="X93" i="39"/>
  <c r="Z93" i="39" s="1"/>
  <c r="N93" i="39"/>
  <c r="L93" i="39"/>
  <c r="B93" i="39"/>
  <c r="Z92" i="39"/>
  <c r="X92" i="39"/>
  <c r="N92" i="39"/>
  <c r="L92" i="39"/>
  <c r="B92" i="39"/>
  <c r="X91" i="39"/>
  <c r="Z91" i="39" s="1"/>
  <c r="L91" i="39"/>
  <c r="N91" i="39" s="1"/>
  <c r="B91" i="39"/>
  <c r="X90" i="39"/>
  <c r="Z90" i="39" s="1"/>
  <c r="N90" i="39"/>
  <c r="L90" i="39"/>
  <c r="B90" i="39"/>
  <c r="X89" i="39"/>
  <c r="T89" i="39"/>
  <c r="Z89" i="39" s="1"/>
  <c r="P89" i="39"/>
  <c r="H89" i="39"/>
  <c r="D89" i="39"/>
  <c r="L89" i="39" s="1"/>
  <c r="N89" i="39" s="1"/>
  <c r="B89" i="39"/>
  <c r="X88" i="39"/>
  <c r="Z88" i="39" s="1"/>
  <c r="L88" i="39"/>
  <c r="N88" i="39" s="1"/>
  <c r="B88" i="39"/>
  <c r="X87" i="39"/>
  <c r="Z87" i="39" s="1"/>
  <c r="N87" i="39"/>
  <c r="L87" i="39"/>
  <c r="B87" i="39"/>
  <c r="Z86" i="39"/>
  <c r="X86" i="39"/>
  <c r="T86" i="39"/>
  <c r="P86" i="39"/>
  <c r="L86" i="39"/>
  <c r="N86" i="39" s="1"/>
  <c r="H86" i="39"/>
  <c r="D86" i="39"/>
  <c r="B86" i="39"/>
  <c r="X85" i="39"/>
  <c r="Z85" i="39" s="1"/>
  <c r="L85" i="39"/>
  <c r="N85" i="39" s="1"/>
  <c r="B85" i="39"/>
  <c r="X84" i="39"/>
  <c r="Z84" i="39" s="1"/>
  <c r="N84" i="39"/>
  <c r="L84" i="39"/>
  <c r="B84" i="39"/>
  <c r="Z83" i="39"/>
  <c r="T83" i="39"/>
  <c r="P83" i="39"/>
  <c r="X83" i="39" s="1"/>
  <c r="H83" i="39"/>
  <c r="D83" i="39"/>
  <c r="L83" i="39" s="1"/>
  <c r="B83" i="39"/>
  <c r="X82" i="39"/>
  <c r="Z82" i="39" s="1"/>
  <c r="N82" i="39"/>
  <c r="L82" i="39"/>
  <c r="B82" i="39"/>
  <c r="X81" i="39"/>
  <c r="T81" i="39"/>
  <c r="Z81" i="39" s="1"/>
  <c r="P81" i="39"/>
  <c r="H81" i="39"/>
  <c r="D81" i="39"/>
  <c r="L81" i="39" s="1"/>
  <c r="N81" i="39" s="1"/>
  <c r="B81" i="39"/>
  <c r="X80" i="39"/>
  <c r="Z80" i="39" s="1"/>
  <c r="L80" i="39"/>
  <c r="N80" i="39" s="1"/>
  <c r="B80" i="39"/>
  <c r="X79" i="39"/>
  <c r="T79" i="39"/>
  <c r="P79" i="39"/>
  <c r="H79" i="39"/>
  <c r="D79" i="39"/>
  <c r="L79" i="39" s="1"/>
  <c r="B79" i="39"/>
  <c r="Z78" i="39"/>
  <c r="X78" i="39"/>
  <c r="L78" i="39"/>
  <c r="N78" i="39" s="1"/>
  <c r="B78" i="39"/>
  <c r="T77" i="39"/>
  <c r="P77" i="39"/>
  <c r="N77" i="39"/>
  <c r="H77" i="39"/>
  <c r="D77" i="39"/>
  <c r="L77" i="39" s="1"/>
  <c r="B77" i="39"/>
  <c r="Z76" i="39"/>
  <c r="X76" i="39"/>
  <c r="L76" i="39"/>
  <c r="N76" i="39" s="1"/>
  <c r="B76" i="39"/>
  <c r="T75" i="39"/>
  <c r="P75" i="39"/>
  <c r="X75" i="39" s="1"/>
  <c r="Z75" i="39" s="1"/>
  <c r="L75" i="39"/>
  <c r="H75" i="39"/>
  <c r="N75" i="39" s="1"/>
  <c r="D75" i="39"/>
  <c r="B75" i="39"/>
  <c r="Z74" i="39"/>
  <c r="X74" i="39"/>
  <c r="N74" i="39"/>
  <c r="L74" i="39"/>
  <c r="B74" i="39"/>
  <c r="Z73" i="39"/>
  <c r="X73" i="39"/>
  <c r="L73" i="39"/>
  <c r="N73" i="39" s="1"/>
  <c r="B73" i="39"/>
  <c r="X72" i="39"/>
  <c r="Z72" i="39" s="1"/>
  <c r="T72" i="39"/>
  <c r="P72" i="39"/>
  <c r="N72" i="39"/>
  <c r="L72" i="39"/>
  <c r="H72" i="39"/>
  <c r="D72" i="39"/>
  <c r="B72" i="39"/>
  <c r="Z71" i="39"/>
  <c r="X71" i="39"/>
  <c r="L71" i="39"/>
  <c r="N71" i="39" s="1"/>
  <c r="B71" i="39"/>
  <c r="Z70" i="39"/>
  <c r="T70" i="39"/>
  <c r="P70" i="39"/>
  <c r="X70" i="39" s="1"/>
  <c r="L70" i="39"/>
  <c r="H70" i="39"/>
  <c r="N70" i="39" s="1"/>
  <c r="D70" i="39"/>
  <c r="B70" i="39"/>
  <c r="X69" i="39"/>
  <c r="Z69" i="39" s="1"/>
  <c r="N69" i="39"/>
  <c r="L69" i="39"/>
  <c r="B69" i="39"/>
  <c r="T68" i="39"/>
  <c r="P68" i="39"/>
  <c r="X68" i="39" s="1"/>
  <c r="Z68" i="39" s="1"/>
  <c r="L68" i="39"/>
  <c r="H68" i="39"/>
  <c r="N68" i="39" s="1"/>
  <c r="D68" i="39"/>
  <c r="B68" i="39"/>
  <c r="X67" i="39"/>
  <c r="Z67" i="39" s="1"/>
  <c r="N67" i="39"/>
  <c r="L67" i="39"/>
  <c r="B67" i="39"/>
  <c r="Z66" i="39"/>
  <c r="X66" i="39"/>
  <c r="T66" i="39"/>
  <c r="P66" i="39"/>
  <c r="L66" i="39"/>
  <c r="N66" i="39" s="1"/>
  <c r="H66" i="39"/>
  <c r="D66" i="39"/>
  <c r="B66" i="39"/>
  <c r="X65" i="39"/>
  <c r="Z65" i="39" s="1"/>
  <c r="L65" i="39"/>
  <c r="N65" i="39" s="1"/>
  <c r="B65" i="39"/>
  <c r="X64" i="39"/>
  <c r="T64" i="39"/>
  <c r="Z64" i="39" s="1"/>
  <c r="P64" i="39"/>
  <c r="H64" i="39"/>
  <c r="N64" i="39" s="1"/>
  <c r="D64" i="39"/>
  <c r="L64" i="39" s="1"/>
  <c r="B64" i="39"/>
  <c r="X63" i="39"/>
  <c r="Z63" i="39" s="1"/>
  <c r="L63" i="39"/>
  <c r="N63" i="39" s="1"/>
  <c r="B63" i="39"/>
  <c r="X62" i="39"/>
  <c r="Z62" i="39" s="1"/>
  <c r="N62" i="39"/>
  <c r="L62" i="39"/>
  <c r="B62" i="39"/>
  <c r="X61" i="39"/>
  <c r="Z61" i="39" s="1"/>
  <c r="N61" i="39"/>
  <c r="L61" i="39"/>
  <c r="B61" i="39"/>
  <c r="T60" i="39"/>
  <c r="P60" i="39"/>
  <c r="X60" i="39" s="1"/>
  <c r="Z60" i="39" s="1"/>
  <c r="L60" i="39"/>
  <c r="H60" i="39"/>
  <c r="N60" i="39" s="1"/>
  <c r="D60" i="39"/>
  <c r="B60" i="39"/>
  <c r="X59" i="39"/>
  <c r="Z59" i="39" s="1"/>
  <c r="N59" i="39"/>
  <c r="L59" i="39"/>
  <c r="B59" i="39"/>
  <c r="Z58" i="39"/>
  <c r="X58" i="39"/>
  <c r="T58" i="39"/>
  <c r="P58" i="39"/>
  <c r="L58" i="39"/>
  <c r="H58" i="39"/>
  <c r="D58" i="39"/>
  <c r="B58" i="39"/>
  <c r="X57" i="39"/>
  <c r="Z57" i="39" s="1"/>
  <c r="L57" i="39"/>
  <c r="N57" i="39" s="1"/>
  <c r="B57" i="39"/>
  <c r="X56" i="39"/>
  <c r="T56" i="39"/>
  <c r="Z56" i="39" s="1"/>
  <c r="P56" i="39"/>
  <c r="H56" i="39"/>
  <c r="D56" i="39"/>
  <c r="L56" i="39" s="1"/>
  <c r="N56" i="39" s="1"/>
  <c r="B56" i="39"/>
  <c r="X55" i="39"/>
  <c r="Z55" i="39" s="1"/>
  <c r="L55" i="39"/>
  <c r="N55" i="39" s="1"/>
  <c r="B55" i="39"/>
  <c r="X54" i="39"/>
  <c r="T54" i="39"/>
  <c r="Z54" i="39" s="1"/>
  <c r="P54" i="39"/>
  <c r="H54" i="39"/>
  <c r="D54" i="39"/>
  <c r="L54" i="39" s="1"/>
  <c r="N54" i="39" s="1"/>
  <c r="B54" i="39"/>
  <c r="Z53" i="39"/>
  <c r="X53" i="39"/>
  <c r="L53" i="39"/>
  <c r="N53" i="39" s="1"/>
  <c r="B53" i="39"/>
  <c r="X52" i="39"/>
  <c r="Z52" i="39" s="1"/>
  <c r="L52" i="39"/>
  <c r="N52" i="39" s="1"/>
  <c r="B52" i="39"/>
  <c r="X51" i="39"/>
  <c r="Z51" i="39" s="1"/>
  <c r="N51" i="39"/>
  <c r="L51" i="39"/>
  <c r="B51" i="39"/>
  <c r="Z50" i="39"/>
  <c r="X50" i="39"/>
  <c r="N50" i="39"/>
  <c r="L50" i="39"/>
  <c r="B50" i="39"/>
  <c r="Z49" i="39"/>
  <c r="X49" i="39"/>
  <c r="L49" i="39"/>
  <c r="N49" i="39" s="1"/>
  <c r="F49" i="39"/>
  <c r="B49" i="39"/>
  <c r="X48" i="39"/>
  <c r="Z48" i="39" s="1"/>
  <c r="L48" i="39"/>
  <c r="N48" i="39" s="1"/>
  <c r="B48" i="39"/>
  <c r="X47" i="39"/>
  <c r="Z47" i="39" s="1"/>
  <c r="N47" i="39"/>
  <c r="L47" i="39"/>
  <c r="B47" i="39"/>
  <c r="Z46" i="39"/>
  <c r="X46" i="39"/>
  <c r="T46" i="39"/>
  <c r="P46" i="39"/>
  <c r="L46" i="39"/>
  <c r="H46" i="39"/>
  <c r="N46" i="39" s="1"/>
  <c r="D46" i="39"/>
  <c r="B46" i="39"/>
  <c r="X45" i="39"/>
  <c r="Z45" i="39" s="1"/>
  <c r="L45" i="39"/>
  <c r="N45" i="39" s="1"/>
  <c r="B45" i="39"/>
  <c r="X44" i="39"/>
  <c r="Z44" i="39" s="1"/>
  <c r="N44" i="39"/>
  <c r="L44" i="39"/>
  <c r="B44" i="39"/>
  <c r="Z43" i="39"/>
  <c r="X43" i="39"/>
  <c r="L43" i="39"/>
  <c r="N43" i="39" s="1"/>
  <c r="B43" i="39"/>
  <c r="Z42" i="39"/>
  <c r="X42" i="39"/>
  <c r="L42" i="39"/>
  <c r="N42" i="39" s="1"/>
  <c r="B42" i="39"/>
  <c r="X41" i="39"/>
  <c r="Z41" i="39" s="1"/>
  <c r="L41" i="39"/>
  <c r="N41" i="39" s="1"/>
  <c r="B41" i="39"/>
  <c r="X40" i="39"/>
  <c r="Z40" i="39" s="1"/>
  <c r="N40" i="39"/>
  <c r="L40" i="39"/>
  <c r="B40" i="39"/>
  <c r="Z39" i="39"/>
  <c r="X39" i="39"/>
  <c r="L39" i="39"/>
  <c r="N39" i="39" s="1"/>
  <c r="B39" i="39"/>
  <c r="Z38" i="39"/>
  <c r="X38" i="39"/>
  <c r="L38" i="39"/>
  <c r="N38" i="39" s="1"/>
  <c r="B38" i="39"/>
  <c r="X37" i="39"/>
  <c r="Z37" i="39" s="1"/>
  <c r="L37" i="39"/>
  <c r="N37" i="39" s="1"/>
  <c r="B37" i="39"/>
  <c r="X36" i="39"/>
  <c r="T36" i="39"/>
  <c r="Z36" i="39" s="1"/>
  <c r="P36" i="39"/>
  <c r="N36" i="39"/>
  <c r="H36" i="39"/>
  <c r="D36" i="39"/>
  <c r="L36" i="39" s="1"/>
  <c r="B36" i="39"/>
  <c r="T35" i="39"/>
  <c r="P35" i="39"/>
  <c r="X35" i="39" s="1"/>
  <c r="H35" i="39"/>
  <c r="D35" i="39"/>
  <c r="X31" i="39"/>
  <c r="Z31" i="39" s="1"/>
  <c r="L31" i="39"/>
  <c r="N31" i="39" s="1"/>
  <c r="B31" i="39"/>
  <c r="Z30" i="39"/>
  <c r="X30" i="39"/>
  <c r="N30" i="39"/>
  <c r="L30" i="39"/>
  <c r="B30" i="39"/>
  <c r="T29" i="39"/>
  <c r="P29" i="39"/>
  <c r="H29" i="39"/>
  <c r="D29" i="39"/>
  <c r="T27" i="39"/>
  <c r="P27" i="39"/>
  <c r="H27" i="39"/>
  <c r="D27" i="39"/>
  <c r="L27" i="39" s="1"/>
  <c r="N27" i="39" s="1"/>
  <c r="B27" i="39"/>
  <c r="T26" i="39"/>
  <c r="P26" i="39"/>
  <c r="L26" i="39"/>
  <c r="H26" i="39"/>
  <c r="N26" i="39" s="1"/>
  <c r="D26" i="39"/>
  <c r="B26" i="39"/>
  <c r="T25" i="39"/>
  <c r="P25" i="39"/>
  <c r="X25" i="39" s="1"/>
  <c r="Z25" i="39" s="1"/>
  <c r="L25" i="39"/>
  <c r="H25" i="39"/>
  <c r="N25" i="39" s="1"/>
  <c r="D25" i="39"/>
  <c r="B25" i="39"/>
  <c r="Z24" i="39"/>
  <c r="X24" i="39"/>
  <c r="T24" i="39"/>
  <c r="P24" i="39"/>
  <c r="H24" i="39"/>
  <c r="D24" i="39"/>
  <c r="B24" i="39"/>
  <c r="T23" i="39"/>
  <c r="P23" i="39"/>
  <c r="H23" i="39"/>
  <c r="D23" i="39"/>
  <c r="L23" i="39" s="1"/>
  <c r="N23" i="39" s="1"/>
  <c r="B23" i="39"/>
  <c r="T22" i="39"/>
  <c r="P22" i="39"/>
  <c r="L22" i="39"/>
  <c r="H22" i="39"/>
  <c r="N22" i="39" s="1"/>
  <c r="D22" i="39"/>
  <c r="B22" i="39"/>
  <c r="T21" i="39"/>
  <c r="P21" i="39"/>
  <c r="X21" i="39" s="1"/>
  <c r="Z21" i="39" s="1"/>
  <c r="L21" i="39"/>
  <c r="H21" i="39"/>
  <c r="N21" i="39" s="1"/>
  <c r="D21" i="39"/>
  <c r="B21" i="39"/>
  <c r="Z20" i="39"/>
  <c r="X20" i="39"/>
  <c r="T20" i="39"/>
  <c r="P20" i="39"/>
  <c r="H20" i="39"/>
  <c r="D20" i="39"/>
  <c r="B20" i="39"/>
  <c r="T19" i="39"/>
  <c r="P19" i="39"/>
  <c r="X19" i="39" s="1"/>
  <c r="H19" i="39"/>
  <c r="D19" i="39"/>
  <c r="L19" i="39" s="1"/>
  <c r="N19" i="39" s="1"/>
  <c r="B19" i="39"/>
  <c r="T18" i="39"/>
  <c r="P18" i="39"/>
  <c r="X18" i="39" s="1"/>
  <c r="Z18" i="39" s="1"/>
  <c r="L18" i="39"/>
  <c r="H18" i="39"/>
  <c r="D18" i="39"/>
  <c r="B18" i="39"/>
  <c r="T17" i="39"/>
  <c r="P17" i="39"/>
  <c r="X17" i="39" s="1"/>
  <c r="Z17" i="39" s="1"/>
  <c r="L17" i="39"/>
  <c r="H17" i="39"/>
  <c r="N17" i="39" s="1"/>
  <c r="D17" i="39"/>
  <c r="B17" i="39"/>
  <c r="Z16" i="39"/>
  <c r="X16" i="39"/>
  <c r="T16" i="39"/>
  <c r="P16" i="39"/>
  <c r="H16" i="39"/>
  <c r="D16" i="39"/>
  <c r="B16" i="39"/>
  <c r="T15" i="39"/>
  <c r="P15" i="39"/>
  <c r="N15" i="39"/>
  <c r="L15" i="39"/>
  <c r="H15" i="39"/>
  <c r="D15" i="39"/>
  <c r="B15" i="39"/>
  <c r="Z14" i="39"/>
  <c r="T14" i="39"/>
  <c r="P14" i="39"/>
  <c r="X14" i="39" s="1"/>
  <c r="L14" i="39"/>
  <c r="H14" i="39"/>
  <c r="D14" i="39"/>
  <c r="B14" i="39"/>
  <c r="T13" i="39"/>
  <c r="P13" i="39"/>
  <c r="L13" i="39"/>
  <c r="H13" i="39"/>
  <c r="D13" i="39"/>
  <c r="D12" i="39" s="1"/>
  <c r="F106" i="39" s="1"/>
  <c r="B13" i="39"/>
  <c r="D4" i="39"/>
  <c r="Z120" i="36"/>
  <c r="X120" i="36"/>
  <c r="L120" i="36"/>
  <c r="N120" i="36" s="1"/>
  <c r="X116" i="36"/>
  <c r="T116" i="36"/>
  <c r="Z116" i="36" s="1"/>
  <c r="P116" i="36"/>
  <c r="H116" i="36"/>
  <c r="D116" i="36"/>
  <c r="L116" i="36" s="1"/>
  <c r="N116" i="36" s="1"/>
  <c r="B116" i="36"/>
  <c r="T115" i="36"/>
  <c r="P115" i="36"/>
  <c r="N115" i="36"/>
  <c r="L115" i="36"/>
  <c r="H115" i="36"/>
  <c r="D115" i="36"/>
  <c r="B115" i="36"/>
  <c r="T114" i="36"/>
  <c r="P114" i="36"/>
  <c r="P113" i="36" s="1"/>
  <c r="H114" i="36"/>
  <c r="D114" i="36"/>
  <c r="B114" i="36"/>
  <c r="X111" i="36"/>
  <c r="Z111" i="36" s="1"/>
  <c r="N111" i="36"/>
  <c r="L111" i="36"/>
  <c r="B111" i="36"/>
  <c r="X110" i="36"/>
  <c r="T110" i="36"/>
  <c r="P110" i="36"/>
  <c r="N110" i="36"/>
  <c r="H110" i="36"/>
  <c r="D110" i="36"/>
  <c r="L110" i="36" s="1"/>
  <c r="B110" i="36"/>
  <c r="Z109" i="36"/>
  <c r="X109" i="36"/>
  <c r="N109" i="36"/>
  <c r="L109" i="36"/>
  <c r="B109" i="36"/>
  <c r="X108" i="36"/>
  <c r="Z108" i="36" s="1"/>
  <c r="N108" i="36"/>
  <c r="L108" i="36"/>
  <c r="B108" i="36"/>
  <c r="Z107" i="36"/>
  <c r="X107" i="36"/>
  <c r="N107" i="36"/>
  <c r="L107" i="36"/>
  <c r="B107" i="36"/>
  <c r="Z106" i="36"/>
  <c r="X106" i="36"/>
  <c r="T106" i="36"/>
  <c r="P106" i="36"/>
  <c r="L106" i="36"/>
  <c r="H106" i="36"/>
  <c r="D106" i="36"/>
  <c r="B106" i="36"/>
  <c r="Z105" i="36"/>
  <c r="X105" i="36"/>
  <c r="N105" i="36"/>
  <c r="L105" i="36"/>
  <c r="B105" i="36"/>
  <c r="T104" i="36"/>
  <c r="P104" i="36"/>
  <c r="H104" i="36"/>
  <c r="D104" i="36"/>
  <c r="L104" i="36" s="1"/>
  <c r="B104" i="36"/>
  <c r="X103" i="36"/>
  <c r="Z103" i="36" s="1"/>
  <c r="N103" i="36"/>
  <c r="L103" i="36"/>
  <c r="B103" i="36"/>
  <c r="T102" i="36"/>
  <c r="P102" i="36"/>
  <c r="X102" i="36" s="1"/>
  <c r="N102" i="36"/>
  <c r="H102" i="36"/>
  <c r="D102" i="36"/>
  <c r="L102" i="36" s="1"/>
  <c r="B102" i="36"/>
  <c r="Z101" i="36"/>
  <c r="X101" i="36"/>
  <c r="N101" i="36"/>
  <c r="L101" i="36"/>
  <c r="B101" i="36"/>
  <c r="X100" i="36"/>
  <c r="Z100" i="36" s="1"/>
  <c r="L100" i="36"/>
  <c r="N100" i="36" s="1"/>
  <c r="B100" i="36"/>
  <c r="Z99" i="36"/>
  <c r="X99" i="36"/>
  <c r="N99" i="36"/>
  <c r="L99" i="36"/>
  <c r="B99" i="36"/>
  <c r="Z98" i="36"/>
  <c r="X98" i="36"/>
  <c r="L98" i="36"/>
  <c r="N98" i="36" s="1"/>
  <c r="B98" i="36"/>
  <c r="Z97" i="36"/>
  <c r="X97" i="36"/>
  <c r="N97" i="36"/>
  <c r="L97" i="36"/>
  <c r="B97" i="36"/>
  <c r="X96" i="36"/>
  <c r="Z96" i="36" s="1"/>
  <c r="L96" i="36"/>
  <c r="N96" i="36" s="1"/>
  <c r="B96" i="36"/>
  <c r="Z95" i="36"/>
  <c r="X95" i="36"/>
  <c r="N95" i="36"/>
  <c r="L95" i="36"/>
  <c r="B95" i="36"/>
  <c r="Z94" i="36"/>
  <c r="X94" i="36"/>
  <c r="N94" i="36"/>
  <c r="L94" i="36"/>
  <c r="B94" i="36"/>
  <c r="Z93" i="36"/>
  <c r="X93" i="36"/>
  <c r="N93" i="36"/>
  <c r="L93" i="36"/>
  <c r="B93" i="36"/>
  <c r="T92" i="36"/>
  <c r="P92" i="36"/>
  <c r="L92" i="36"/>
  <c r="N92" i="36" s="1"/>
  <c r="H92" i="36"/>
  <c r="D92" i="36"/>
  <c r="B92" i="36"/>
  <c r="Z91" i="36"/>
  <c r="X91" i="36"/>
  <c r="L91" i="36"/>
  <c r="N91" i="36" s="1"/>
  <c r="B91" i="36"/>
  <c r="T90" i="36"/>
  <c r="P90" i="36"/>
  <c r="X90" i="36" s="1"/>
  <c r="L90" i="36"/>
  <c r="H90" i="36"/>
  <c r="D90" i="36"/>
  <c r="B90" i="36"/>
  <c r="Z89" i="36"/>
  <c r="X89" i="36"/>
  <c r="N89" i="36"/>
  <c r="L89" i="36"/>
  <c r="B89" i="36"/>
  <c r="Z88" i="36"/>
  <c r="X88" i="36"/>
  <c r="L88" i="36"/>
  <c r="N88" i="36" s="1"/>
  <c r="B88" i="36"/>
  <c r="Z87" i="36"/>
  <c r="X87" i="36"/>
  <c r="N87" i="36"/>
  <c r="L87" i="36"/>
  <c r="B87" i="36"/>
  <c r="X86" i="36"/>
  <c r="Z86" i="36" s="1"/>
  <c r="L86" i="36"/>
  <c r="N86" i="36" s="1"/>
  <c r="B86" i="36"/>
  <c r="Z85" i="36"/>
  <c r="X85" i="36"/>
  <c r="N85" i="36"/>
  <c r="L85" i="36"/>
  <c r="B85" i="36"/>
  <c r="X84" i="36"/>
  <c r="Z84" i="36" s="1"/>
  <c r="T84" i="36"/>
  <c r="P84" i="36"/>
  <c r="H84" i="36"/>
  <c r="D84" i="36"/>
  <c r="B84" i="36"/>
  <c r="Z83" i="36"/>
  <c r="X83" i="36"/>
  <c r="N83" i="36"/>
  <c r="L83" i="36"/>
  <c r="B83" i="36"/>
  <c r="X82" i="36"/>
  <c r="Z82" i="36" s="1"/>
  <c r="L82" i="36"/>
  <c r="N82" i="36" s="1"/>
  <c r="B82" i="36"/>
  <c r="T81" i="36"/>
  <c r="P81" i="36"/>
  <c r="N81" i="36"/>
  <c r="L81" i="36"/>
  <c r="H81" i="36"/>
  <c r="D81" i="36"/>
  <c r="B81" i="36"/>
  <c r="X80" i="36"/>
  <c r="Z80" i="36" s="1"/>
  <c r="N80" i="36"/>
  <c r="L80" i="36"/>
  <c r="B80" i="36"/>
  <c r="Z79" i="36"/>
  <c r="X79" i="36"/>
  <c r="L79" i="36"/>
  <c r="N79" i="36" s="1"/>
  <c r="B79" i="36"/>
  <c r="T78" i="36"/>
  <c r="P78" i="36"/>
  <c r="X78" i="36" s="1"/>
  <c r="L78" i="36"/>
  <c r="H78" i="36"/>
  <c r="D78" i="36"/>
  <c r="B78" i="36"/>
  <c r="Z77" i="36"/>
  <c r="X77" i="36"/>
  <c r="N77" i="36"/>
  <c r="L77" i="36"/>
  <c r="B77" i="36"/>
  <c r="T76" i="36"/>
  <c r="P76" i="36"/>
  <c r="H76" i="36"/>
  <c r="D76" i="36"/>
  <c r="B76" i="36"/>
  <c r="Z75" i="36"/>
  <c r="X75" i="36"/>
  <c r="N75" i="36"/>
  <c r="L75" i="36"/>
  <c r="B75" i="36"/>
  <c r="X74" i="36"/>
  <c r="Z74" i="36" s="1"/>
  <c r="T74" i="36"/>
  <c r="P74" i="36"/>
  <c r="H74" i="36"/>
  <c r="D74" i="36"/>
  <c r="L74" i="36" s="1"/>
  <c r="B74" i="36"/>
  <c r="Z73" i="36"/>
  <c r="X73" i="36"/>
  <c r="N73" i="36"/>
  <c r="L73" i="36"/>
  <c r="B73" i="36"/>
  <c r="T72" i="36"/>
  <c r="P72" i="36"/>
  <c r="X72" i="36" s="1"/>
  <c r="H72" i="36"/>
  <c r="D72" i="36"/>
  <c r="B72" i="36"/>
  <c r="Z71" i="36"/>
  <c r="X71" i="36"/>
  <c r="L71" i="36"/>
  <c r="N71" i="36" s="1"/>
  <c r="B71" i="36"/>
  <c r="Z70" i="36"/>
  <c r="T70" i="36"/>
  <c r="P70" i="36"/>
  <c r="X70" i="36" s="1"/>
  <c r="H70" i="36"/>
  <c r="N70" i="36" s="1"/>
  <c r="D70" i="36"/>
  <c r="L70" i="36" s="1"/>
  <c r="B70" i="36"/>
  <c r="Z69" i="36"/>
  <c r="X69" i="36"/>
  <c r="L69" i="36"/>
  <c r="N69" i="36" s="1"/>
  <c r="B69" i="36"/>
  <c r="T68" i="36"/>
  <c r="Z68" i="36" s="1"/>
  <c r="P68" i="36"/>
  <c r="X68" i="36" s="1"/>
  <c r="H68" i="36"/>
  <c r="D68" i="36"/>
  <c r="L68" i="36" s="1"/>
  <c r="B68" i="36"/>
  <c r="X67" i="36"/>
  <c r="Z67" i="36" s="1"/>
  <c r="N67" i="36"/>
  <c r="L67" i="36"/>
  <c r="B67" i="36"/>
  <c r="X66" i="36"/>
  <c r="Z66" i="36" s="1"/>
  <c r="N66" i="36"/>
  <c r="L66" i="36"/>
  <c r="B66" i="36"/>
  <c r="T65" i="36"/>
  <c r="P65" i="36"/>
  <c r="X65" i="36" s="1"/>
  <c r="Z65" i="36" s="1"/>
  <c r="L65" i="36"/>
  <c r="H65" i="36"/>
  <c r="N65" i="36" s="1"/>
  <c r="D65" i="36"/>
  <c r="B65" i="36"/>
  <c r="X64" i="36"/>
  <c r="Z64" i="36" s="1"/>
  <c r="N64" i="36"/>
  <c r="L64" i="36"/>
  <c r="B64" i="36"/>
  <c r="Z63" i="36"/>
  <c r="X63" i="36"/>
  <c r="T63" i="36"/>
  <c r="P63" i="36"/>
  <c r="H63" i="36"/>
  <c r="N63" i="36" s="1"/>
  <c r="D63" i="36"/>
  <c r="L63" i="36" s="1"/>
  <c r="B63" i="36"/>
  <c r="Z62" i="36"/>
  <c r="X62" i="36"/>
  <c r="L62" i="36"/>
  <c r="N62" i="36" s="1"/>
  <c r="B62" i="36"/>
  <c r="X61" i="36"/>
  <c r="T61" i="36"/>
  <c r="Z61" i="36" s="1"/>
  <c r="P61" i="36"/>
  <c r="H61" i="36"/>
  <c r="D61" i="36"/>
  <c r="L61" i="36" s="1"/>
  <c r="N61" i="36" s="1"/>
  <c r="B61" i="36"/>
  <c r="X60" i="36"/>
  <c r="Z60" i="36" s="1"/>
  <c r="L60" i="36"/>
  <c r="N60" i="36" s="1"/>
  <c r="B60" i="36"/>
  <c r="X59" i="36"/>
  <c r="T59" i="36"/>
  <c r="Z59" i="36" s="1"/>
  <c r="P59" i="36"/>
  <c r="H59" i="36"/>
  <c r="D59" i="36"/>
  <c r="L59" i="36" s="1"/>
  <c r="N59" i="36" s="1"/>
  <c r="B59" i="36"/>
  <c r="Z58" i="36"/>
  <c r="X58" i="36"/>
  <c r="N58" i="36"/>
  <c r="L58" i="36"/>
  <c r="B58" i="36"/>
  <c r="X57" i="36"/>
  <c r="Z57" i="36" s="1"/>
  <c r="L57" i="36"/>
  <c r="N57" i="36" s="1"/>
  <c r="B57" i="36"/>
  <c r="X56" i="36"/>
  <c r="Z56" i="36" s="1"/>
  <c r="N56" i="36"/>
  <c r="L56" i="36"/>
  <c r="B56" i="36"/>
  <c r="Z55" i="36"/>
  <c r="X55" i="36"/>
  <c r="T55" i="36"/>
  <c r="P55" i="36"/>
  <c r="H55" i="36"/>
  <c r="D55" i="36"/>
  <c r="B55" i="36"/>
  <c r="Z54" i="36"/>
  <c r="X54" i="36"/>
  <c r="L54" i="36"/>
  <c r="N54" i="36" s="1"/>
  <c r="B54" i="36"/>
  <c r="X53" i="36"/>
  <c r="T53" i="36"/>
  <c r="Z53" i="36" s="1"/>
  <c r="P53" i="36"/>
  <c r="H53" i="36"/>
  <c r="D53" i="36"/>
  <c r="L53" i="36" s="1"/>
  <c r="N53" i="36" s="1"/>
  <c r="B53" i="36"/>
  <c r="X52" i="36"/>
  <c r="Z52" i="36" s="1"/>
  <c r="L52" i="36"/>
  <c r="N52" i="36" s="1"/>
  <c r="B52" i="36"/>
  <c r="X51" i="36"/>
  <c r="T51" i="36"/>
  <c r="Z51" i="36" s="1"/>
  <c r="P51" i="36"/>
  <c r="H51" i="36"/>
  <c r="D51" i="36"/>
  <c r="L51" i="36" s="1"/>
  <c r="N51" i="36" s="1"/>
  <c r="B51" i="36"/>
  <c r="Z50" i="36"/>
  <c r="X50" i="36"/>
  <c r="N50" i="36"/>
  <c r="L50" i="36"/>
  <c r="B50" i="36"/>
  <c r="T49" i="36"/>
  <c r="P49" i="36"/>
  <c r="X49" i="36" s="1"/>
  <c r="N49" i="36"/>
  <c r="L49" i="36"/>
  <c r="H49" i="36"/>
  <c r="D49" i="36"/>
  <c r="B49" i="36"/>
  <c r="Z48" i="36"/>
  <c r="X48" i="36"/>
  <c r="L48" i="36"/>
  <c r="N48" i="36" s="1"/>
  <c r="B48" i="36"/>
  <c r="Z47" i="36"/>
  <c r="X47" i="36"/>
  <c r="L47" i="36"/>
  <c r="N47" i="36" s="1"/>
  <c r="B47" i="36"/>
  <c r="Z46" i="36"/>
  <c r="X46" i="36"/>
  <c r="L46" i="36"/>
  <c r="N46" i="36" s="1"/>
  <c r="B46" i="36"/>
  <c r="X45" i="36"/>
  <c r="Z45" i="36" s="1"/>
  <c r="L45" i="36"/>
  <c r="N45" i="36" s="1"/>
  <c r="B45" i="36"/>
  <c r="Z44" i="36"/>
  <c r="X44" i="36"/>
  <c r="L44" i="36"/>
  <c r="N44" i="36" s="1"/>
  <c r="B44" i="36"/>
  <c r="Z43" i="36"/>
  <c r="X43" i="36"/>
  <c r="L43" i="36"/>
  <c r="N43" i="36" s="1"/>
  <c r="B43" i="36"/>
  <c r="Z42" i="36"/>
  <c r="X42" i="36"/>
  <c r="L42" i="36"/>
  <c r="N42" i="36" s="1"/>
  <c r="B42" i="36"/>
  <c r="X41" i="36"/>
  <c r="T41" i="36"/>
  <c r="Z41" i="36" s="1"/>
  <c r="P41" i="36"/>
  <c r="H41" i="36"/>
  <c r="N41" i="36" s="1"/>
  <c r="D41" i="36"/>
  <c r="L41" i="36" s="1"/>
  <c r="B41" i="36"/>
  <c r="X40" i="36"/>
  <c r="Z40" i="36" s="1"/>
  <c r="L40" i="36"/>
  <c r="N40" i="36" s="1"/>
  <c r="B40" i="36"/>
  <c r="X39" i="36"/>
  <c r="Z39" i="36" s="1"/>
  <c r="N39" i="36"/>
  <c r="L39" i="36"/>
  <c r="B39" i="36"/>
  <c r="X38" i="36"/>
  <c r="Z38" i="36" s="1"/>
  <c r="N38" i="36"/>
  <c r="L38" i="36"/>
  <c r="B38" i="36"/>
  <c r="X37" i="36"/>
  <c r="Z37" i="36" s="1"/>
  <c r="L37" i="36"/>
  <c r="N37" i="36" s="1"/>
  <c r="B37" i="36"/>
  <c r="X36" i="36"/>
  <c r="Z36" i="36" s="1"/>
  <c r="L36" i="36"/>
  <c r="N36" i="36" s="1"/>
  <c r="B36" i="36"/>
  <c r="X35" i="36"/>
  <c r="Z35" i="36" s="1"/>
  <c r="N35" i="36"/>
  <c r="L35" i="36"/>
  <c r="B35" i="36"/>
  <c r="X34" i="36"/>
  <c r="Z34" i="36" s="1"/>
  <c r="N34" i="36"/>
  <c r="L34" i="36"/>
  <c r="B34" i="36"/>
  <c r="X33" i="36"/>
  <c r="Z33" i="36" s="1"/>
  <c r="L33" i="36"/>
  <c r="N33" i="36" s="1"/>
  <c r="B33" i="36"/>
  <c r="X32" i="36"/>
  <c r="Z32" i="36" s="1"/>
  <c r="L32" i="36"/>
  <c r="N32" i="36" s="1"/>
  <c r="B32" i="36"/>
  <c r="X31" i="36"/>
  <c r="T31" i="36"/>
  <c r="Z31" i="36" s="1"/>
  <c r="P31" i="36"/>
  <c r="H31" i="36"/>
  <c r="D31" i="36"/>
  <c r="L31" i="36" s="1"/>
  <c r="N31" i="36" s="1"/>
  <c r="B31" i="36"/>
  <c r="T30" i="36"/>
  <c r="Z30" i="36" s="1"/>
  <c r="P30" i="36"/>
  <c r="X30" i="36" s="1"/>
  <c r="H30" i="36"/>
  <c r="D30" i="36"/>
  <c r="Z26" i="36"/>
  <c r="X26" i="36"/>
  <c r="L26" i="36"/>
  <c r="N26" i="36" s="1"/>
  <c r="B26" i="36"/>
  <c r="X25" i="36"/>
  <c r="Z25" i="36" s="1"/>
  <c r="L25" i="36"/>
  <c r="N25" i="36" s="1"/>
  <c r="B25" i="36"/>
  <c r="T24" i="36"/>
  <c r="P24" i="36"/>
  <c r="H24" i="36"/>
  <c r="D24" i="36"/>
  <c r="T22" i="36"/>
  <c r="P22" i="36"/>
  <c r="X22" i="36" s="1"/>
  <c r="Z22" i="36" s="1"/>
  <c r="H22" i="36"/>
  <c r="D22" i="36"/>
  <c r="B22" i="36"/>
  <c r="Z21" i="36"/>
  <c r="T21" i="36"/>
  <c r="X21" i="36" s="1"/>
  <c r="P21" i="36"/>
  <c r="H21" i="36"/>
  <c r="N21" i="36" s="1"/>
  <c r="D21" i="36"/>
  <c r="L21" i="36" s="1"/>
  <c r="B21" i="36"/>
  <c r="T20" i="36"/>
  <c r="P20" i="36"/>
  <c r="X20" i="36" s="1"/>
  <c r="Z20" i="36" s="1"/>
  <c r="L20" i="36"/>
  <c r="N20" i="36" s="1"/>
  <c r="H20" i="36"/>
  <c r="D20" i="36"/>
  <c r="B20" i="36"/>
  <c r="T19" i="36"/>
  <c r="P19" i="36"/>
  <c r="X19" i="36" s="1"/>
  <c r="Z19" i="36" s="1"/>
  <c r="H19" i="36"/>
  <c r="D19" i="36"/>
  <c r="B19" i="36"/>
  <c r="T18" i="36"/>
  <c r="P18" i="36"/>
  <c r="X18" i="36" s="1"/>
  <c r="Z18" i="36" s="1"/>
  <c r="H18" i="36"/>
  <c r="D18" i="36"/>
  <c r="B18" i="36"/>
  <c r="Z17" i="36"/>
  <c r="T17" i="36"/>
  <c r="X17" i="36" s="1"/>
  <c r="P17" i="36"/>
  <c r="H17" i="36"/>
  <c r="D17" i="36"/>
  <c r="L17" i="36" s="1"/>
  <c r="B17" i="36"/>
  <c r="Z16" i="36"/>
  <c r="T16" i="36"/>
  <c r="P16" i="36"/>
  <c r="X16" i="36" s="1"/>
  <c r="L16" i="36"/>
  <c r="N16" i="36" s="1"/>
  <c r="H16" i="36"/>
  <c r="D16" i="36"/>
  <c r="B16" i="36"/>
  <c r="T15" i="36"/>
  <c r="P15" i="36"/>
  <c r="X15" i="36" s="1"/>
  <c r="Z15" i="36" s="1"/>
  <c r="H15" i="36"/>
  <c r="D15" i="36"/>
  <c r="B15" i="36"/>
  <c r="T14" i="36"/>
  <c r="P14" i="36"/>
  <c r="X14" i="36" s="1"/>
  <c r="Z14" i="36" s="1"/>
  <c r="H14" i="36"/>
  <c r="D14" i="36"/>
  <c r="B14" i="36"/>
  <c r="T13" i="36"/>
  <c r="T12" i="36" s="1"/>
  <c r="P13" i="36"/>
  <c r="H13" i="36"/>
  <c r="D13" i="36"/>
  <c r="D12" i="36" s="1"/>
  <c r="F37" i="36" s="1"/>
  <c r="B13" i="36"/>
  <c r="D4" i="36"/>
  <c r="X89" i="33"/>
  <c r="Z89" i="33" s="1"/>
  <c r="N89" i="33"/>
  <c r="L89" i="33"/>
  <c r="T85" i="33"/>
  <c r="Z85" i="33" s="1"/>
  <c r="P85" i="33"/>
  <c r="X85" i="33" s="1"/>
  <c r="L85" i="33"/>
  <c r="H85" i="33"/>
  <c r="N85" i="33" s="1"/>
  <c r="D85" i="33"/>
  <c r="B85" i="33"/>
  <c r="X84" i="33"/>
  <c r="T84" i="33"/>
  <c r="Z84" i="33" s="1"/>
  <c r="P84" i="33"/>
  <c r="L84" i="33"/>
  <c r="H84" i="33"/>
  <c r="H80" i="33" s="1"/>
  <c r="D84" i="33"/>
  <c r="B84" i="33"/>
  <c r="T83" i="33"/>
  <c r="P83" i="33"/>
  <c r="N83" i="33"/>
  <c r="L83" i="33"/>
  <c r="H83" i="33"/>
  <c r="D83" i="33"/>
  <c r="B83" i="33"/>
  <c r="T82" i="33"/>
  <c r="P82" i="33"/>
  <c r="L82" i="33"/>
  <c r="H82" i="33"/>
  <c r="N82" i="33" s="1"/>
  <c r="D82" i="33"/>
  <c r="B82" i="33"/>
  <c r="X81" i="33"/>
  <c r="T81" i="33"/>
  <c r="Z81" i="33" s="1"/>
  <c r="P81" i="33"/>
  <c r="H81" i="33"/>
  <c r="D81" i="33"/>
  <c r="L81" i="33" s="1"/>
  <c r="N81" i="33" s="1"/>
  <c r="B81" i="33"/>
  <c r="Z78" i="33"/>
  <c r="X78" i="33"/>
  <c r="N78" i="33"/>
  <c r="L78" i="33"/>
  <c r="B78" i="33"/>
  <c r="T77" i="33"/>
  <c r="P77" i="33"/>
  <c r="N77" i="33"/>
  <c r="L77" i="33"/>
  <c r="H77" i="33"/>
  <c r="D77" i="33"/>
  <c r="B77" i="33"/>
  <c r="Z76" i="33"/>
  <c r="X76" i="33"/>
  <c r="L76" i="33"/>
  <c r="N76" i="33" s="1"/>
  <c r="B76" i="33"/>
  <c r="T75" i="33"/>
  <c r="P75" i="33"/>
  <c r="X75" i="33" s="1"/>
  <c r="L75" i="33"/>
  <c r="H75" i="33"/>
  <c r="N75" i="33" s="1"/>
  <c r="D75" i="33"/>
  <c r="B75" i="33"/>
  <c r="X74" i="33"/>
  <c r="Z74" i="33" s="1"/>
  <c r="N74" i="33"/>
  <c r="L74" i="33"/>
  <c r="B74" i="33"/>
  <c r="Z73" i="33"/>
  <c r="X73" i="33"/>
  <c r="L73" i="33"/>
  <c r="N73" i="33" s="1"/>
  <c r="B73" i="33"/>
  <c r="X72" i="33"/>
  <c r="Z72" i="33" s="1"/>
  <c r="L72" i="33"/>
  <c r="N72" i="33" s="1"/>
  <c r="B72" i="33"/>
  <c r="X71" i="33"/>
  <c r="Z71" i="33" s="1"/>
  <c r="N71" i="33"/>
  <c r="L71" i="33"/>
  <c r="B71" i="33"/>
  <c r="Z70" i="33"/>
  <c r="X70" i="33"/>
  <c r="N70" i="33"/>
  <c r="L70" i="33"/>
  <c r="B70" i="33"/>
  <c r="Z69" i="33"/>
  <c r="X69" i="33"/>
  <c r="L69" i="33"/>
  <c r="N69" i="33" s="1"/>
  <c r="B69" i="33"/>
  <c r="X68" i="33"/>
  <c r="T68" i="33"/>
  <c r="P68" i="33"/>
  <c r="L68" i="33"/>
  <c r="H68" i="33"/>
  <c r="N68" i="33" s="1"/>
  <c r="D68" i="33"/>
  <c r="B68" i="33"/>
  <c r="Z67" i="33"/>
  <c r="X67" i="33"/>
  <c r="N67" i="33"/>
  <c r="L67" i="33"/>
  <c r="B67" i="33"/>
  <c r="T66" i="33"/>
  <c r="P66" i="33"/>
  <c r="L66" i="33"/>
  <c r="H66" i="33"/>
  <c r="N66" i="33" s="1"/>
  <c r="D66" i="33"/>
  <c r="B66" i="33"/>
  <c r="X65" i="33"/>
  <c r="Z65" i="33" s="1"/>
  <c r="N65" i="33"/>
  <c r="L65" i="33"/>
  <c r="B65" i="33"/>
  <c r="T64" i="33"/>
  <c r="P64" i="33"/>
  <c r="X64" i="33" s="1"/>
  <c r="Z64" i="33" s="1"/>
  <c r="L64" i="33"/>
  <c r="N64" i="33" s="1"/>
  <c r="H64" i="33"/>
  <c r="D64" i="33"/>
  <c r="B64" i="33"/>
  <c r="X63" i="33"/>
  <c r="Z63" i="33" s="1"/>
  <c r="N63" i="33"/>
  <c r="L63" i="33"/>
  <c r="B63" i="33"/>
  <c r="X62" i="33"/>
  <c r="T62" i="33"/>
  <c r="Z62" i="33" s="1"/>
  <c r="P62" i="33"/>
  <c r="L62" i="33"/>
  <c r="H62" i="33"/>
  <c r="N62" i="33" s="1"/>
  <c r="D62" i="33"/>
  <c r="B62" i="33"/>
  <c r="X61" i="33"/>
  <c r="Z61" i="33" s="1"/>
  <c r="L61" i="33"/>
  <c r="N61" i="33" s="1"/>
  <c r="B61" i="33"/>
  <c r="X60" i="33"/>
  <c r="Z60" i="33" s="1"/>
  <c r="N60" i="33"/>
  <c r="L60" i="33"/>
  <c r="B60" i="33"/>
  <c r="Z59" i="33"/>
  <c r="X59" i="33"/>
  <c r="T59" i="33"/>
  <c r="P59" i="33"/>
  <c r="H59" i="33"/>
  <c r="D59" i="33"/>
  <c r="B59" i="33"/>
  <c r="X58" i="33"/>
  <c r="Z58" i="33" s="1"/>
  <c r="L58" i="33"/>
  <c r="N58" i="33" s="1"/>
  <c r="B58" i="33"/>
  <c r="T57" i="33"/>
  <c r="P57" i="33"/>
  <c r="H57" i="33"/>
  <c r="D57" i="33"/>
  <c r="L57" i="33" s="1"/>
  <c r="B57" i="33"/>
  <c r="X56" i="33"/>
  <c r="Z56" i="33" s="1"/>
  <c r="L56" i="33"/>
  <c r="N56" i="33" s="1"/>
  <c r="B56" i="33"/>
  <c r="X55" i="33"/>
  <c r="T55" i="33"/>
  <c r="Z55" i="33" s="1"/>
  <c r="P55" i="33"/>
  <c r="H55" i="33"/>
  <c r="D55" i="33"/>
  <c r="L55" i="33" s="1"/>
  <c r="N55" i="33" s="1"/>
  <c r="B55" i="33"/>
  <c r="Z54" i="33"/>
  <c r="X54" i="33"/>
  <c r="N54" i="33"/>
  <c r="L54" i="33"/>
  <c r="B54" i="33"/>
  <c r="T53" i="33"/>
  <c r="P53" i="33"/>
  <c r="N53" i="33"/>
  <c r="L53" i="33"/>
  <c r="H53" i="33"/>
  <c r="D53" i="33"/>
  <c r="B53" i="33"/>
  <c r="Z52" i="33"/>
  <c r="X52" i="33"/>
  <c r="L52" i="33"/>
  <c r="N52" i="33" s="1"/>
  <c r="B52" i="33"/>
  <c r="Z51" i="33"/>
  <c r="X51" i="33"/>
  <c r="L51" i="33"/>
  <c r="N51" i="33" s="1"/>
  <c r="B51" i="33"/>
  <c r="X50" i="33"/>
  <c r="Z50" i="33" s="1"/>
  <c r="L50" i="33"/>
  <c r="N50" i="33" s="1"/>
  <c r="B50" i="33"/>
  <c r="X49" i="33"/>
  <c r="Z49" i="33" s="1"/>
  <c r="N49" i="33"/>
  <c r="L49" i="33"/>
  <c r="B49" i="33"/>
  <c r="T48" i="33"/>
  <c r="P48" i="33"/>
  <c r="X48" i="33" s="1"/>
  <c r="Z48" i="33" s="1"/>
  <c r="L48" i="33"/>
  <c r="H48" i="33"/>
  <c r="N48" i="33" s="1"/>
  <c r="D48" i="33"/>
  <c r="B48" i="33"/>
  <c r="X47" i="33"/>
  <c r="Z47" i="33" s="1"/>
  <c r="N47" i="33"/>
  <c r="L47" i="33"/>
  <c r="B47" i="33"/>
  <c r="X46" i="33"/>
  <c r="Z46" i="33" s="1"/>
  <c r="N46" i="33"/>
  <c r="L46" i="33"/>
  <c r="B46" i="33"/>
  <c r="Z45" i="33"/>
  <c r="X45" i="33"/>
  <c r="L45" i="33"/>
  <c r="N45" i="33" s="1"/>
  <c r="B45" i="33"/>
  <c r="X44" i="33"/>
  <c r="Z44" i="33" s="1"/>
  <c r="L44" i="33"/>
  <c r="N44" i="33" s="1"/>
  <c r="B44" i="33"/>
  <c r="X43" i="33"/>
  <c r="Z43" i="33" s="1"/>
  <c r="N43" i="33"/>
  <c r="L43" i="33"/>
  <c r="B43" i="33"/>
  <c r="X42" i="33"/>
  <c r="Z42" i="33" s="1"/>
  <c r="N42" i="33"/>
  <c r="L42" i="33"/>
  <c r="B42" i="33"/>
  <c r="Z41" i="33"/>
  <c r="X41" i="33"/>
  <c r="L41" i="33"/>
  <c r="N41" i="33" s="1"/>
  <c r="B41" i="33"/>
  <c r="X40" i="33"/>
  <c r="Z40" i="33" s="1"/>
  <c r="L40" i="33"/>
  <c r="N40" i="33" s="1"/>
  <c r="B40" i="33"/>
  <c r="X39" i="33"/>
  <c r="T39" i="33"/>
  <c r="Z39" i="33" s="1"/>
  <c r="P39" i="33"/>
  <c r="H39" i="33"/>
  <c r="D39" i="33"/>
  <c r="L39" i="33" s="1"/>
  <c r="N39" i="33" s="1"/>
  <c r="B39" i="33"/>
  <c r="T38" i="33"/>
  <c r="P38" i="33"/>
  <c r="H38" i="33"/>
  <c r="D38" i="33"/>
  <c r="Z34" i="33"/>
  <c r="X34" i="33"/>
  <c r="L34" i="33"/>
  <c r="N34" i="33" s="1"/>
  <c r="B34" i="33"/>
  <c r="X33" i="33"/>
  <c r="Z33" i="33" s="1"/>
  <c r="L33" i="33"/>
  <c r="N33" i="33" s="1"/>
  <c r="B33" i="33"/>
  <c r="X32" i="33"/>
  <c r="Z32" i="33" s="1"/>
  <c r="N32" i="33"/>
  <c r="L32" i="33"/>
  <c r="B32" i="33"/>
  <c r="Z31" i="33"/>
  <c r="X31" i="33"/>
  <c r="N31" i="33"/>
  <c r="L31" i="33"/>
  <c r="B31" i="33"/>
  <c r="Z30" i="33"/>
  <c r="X30" i="33"/>
  <c r="L30" i="33"/>
  <c r="N30" i="33" s="1"/>
  <c r="B30" i="33"/>
  <c r="T29" i="33"/>
  <c r="P29" i="33"/>
  <c r="N29" i="33"/>
  <c r="L29" i="33"/>
  <c r="H29" i="33"/>
  <c r="D29" i="33"/>
  <c r="T27" i="33"/>
  <c r="P27" i="33"/>
  <c r="X27" i="33" s="1"/>
  <c r="Z27" i="33" s="1"/>
  <c r="H27" i="33"/>
  <c r="D27" i="33"/>
  <c r="B27" i="33"/>
  <c r="T26" i="33"/>
  <c r="P26" i="33"/>
  <c r="X26" i="33" s="1"/>
  <c r="Z26" i="33" s="1"/>
  <c r="H26" i="33"/>
  <c r="D26" i="33"/>
  <c r="B26" i="33"/>
  <c r="T25" i="33"/>
  <c r="X25" i="33" s="1"/>
  <c r="P25" i="33"/>
  <c r="H25" i="33"/>
  <c r="N25" i="33" s="1"/>
  <c r="D25" i="33"/>
  <c r="L25" i="33" s="1"/>
  <c r="B25" i="33"/>
  <c r="T24" i="33"/>
  <c r="P24" i="33"/>
  <c r="X24" i="33" s="1"/>
  <c r="Z24" i="33" s="1"/>
  <c r="L24" i="33"/>
  <c r="N24" i="33" s="1"/>
  <c r="H24" i="33"/>
  <c r="D24" i="33"/>
  <c r="B24" i="33"/>
  <c r="T23" i="33"/>
  <c r="P23" i="33"/>
  <c r="X23" i="33" s="1"/>
  <c r="Z23" i="33" s="1"/>
  <c r="H23" i="33"/>
  <c r="D23" i="33"/>
  <c r="L23" i="33" s="1"/>
  <c r="B23" i="33"/>
  <c r="T22" i="33"/>
  <c r="P22" i="33"/>
  <c r="X22" i="33" s="1"/>
  <c r="Z22" i="33" s="1"/>
  <c r="H22" i="33"/>
  <c r="D22" i="33"/>
  <c r="B22" i="33"/>
  <c r="T21" i="33"/>
  <c r="X21" i="33" s="1"/>
  <c r="Z21" i="33" s="1"/>
  <c r="P21" i="33"/>
  <c r="H21" i="33"/>
  <c r="D21" i="33"/>
  <c r="L21" i="33" s="1"/>
  <c r="B21" i="33"/>
  <c r="Z20" i="33"/>
  <c r="T20" i="33"/>
  <c r="P20" i="33"/>
  <c r="X20" i="33" s="1"/>
  <c r="L20" i="33"/>
  <c r="N20" i="33" s="1"/>
  <c r="H20" i="33"/>
  <c r="D20" i="33"/>
  <c r="B20" i="33"/>
  <c r="T19" i="33"/>
  <c r="P19" i="33"/>
  <c r="X19" i="33" s="1"/>
  <c r="Z19" i="33" s="1"/>
  <c r="H19" i="33"/>
  <c r="D19" i="33"/>
  <c r="L19" i="33" s="1"/>
  <c r="B19" i="33"/>
  <c r="T18" i="33"/>
  <c r="P18" i="33"/>
  <c r="X18" i="33" s="1"/>
  <c r="Z18" i="33" s="1"/>
  <c r="H18" i="33"/>
  <c r="D18" i="33"/>
  <c r="B18" i="33"/>
  <c r="Z17" i="33"/>
  <c r="T17" i="33"/>
  <c r="X17" i="33" s="1"/>
  <c r="P17" i="33"/>
  <c r="H17" i="33"/>
  <c r="N17" i="33" s="1"/>
  <c r="D17" i="33"/>
  <c r="L17" i="33" s="1"/>
  <c r="B17" i="33"/>
  <c r="Z16" i="33"/>
  <c r="T16" i="33"/>
  <c r="P16" i="33"/>
  <c r="X16" i="33" s="1"/>
  <c r="L16" i="33"/>
  <c r="N16" i="33" s="1"/>
  <c r="H16" i="33"/>
  <c r="D16" i="33"/>
  <c r="B16" i="33"/>
  <c r="T15" i="33"/>
  <c r="P15" i="33"/>
  <c r="X15" i="33" s="1"/>
  <c r="Z15" i="33" s="1"/>
  <c r="H15" i="33"/>
  <c r="D15" i="33"/>
  <c r="B15" i="33"/>
  <c r="T14" i="33"/>
  <c r="P14" i="33"/>
  <c r="X14" i="33" s="1"/>
  <c r="Z14" i="33" s="1"/>
  <c r="H14" i="33"/>
  <c r="D14" i="33"/>
  <c r="B14" i="33"/>
  <c r="T13" i="33"/>
  <c r="P13" i="33"/>
  <c r="H13" i="33"/>
  <c r="D13" i="33"/>
  <c r="D12" i="33" s="1"/>
  <c r="F45" i="33" s="1"/>
  <c r="B13" i="33"/>
  <c r="P12" i="33"/>
  <c r="R30" i="33" s="1"/>
  <c r="D4" i="33"/>
  <c r="X142" i="30"/>
  <c r="Z142" i="30" s="1"/>
  <c r="N142" i="30"/>
  <c r="L142" i="30"/>
  <c r="J142" i="30"/>
  <c r="T138" i="30"/>
  <c r="Z138" i="30" s="1"/>
  <c r="P138" i="30"/>
  <c r="H138" i="30"/>
  <c r="N138" i="30" s="1"/>
  <c r="D138" i="30"/>
  <c r="B138" i="30"/>
  <c r="X137" i="30"/>
  <c r="T137" i="30"/>
  <c r="Z137" i="30" s="1"/>
  <c r="P137" i="30"/>
  <c r="H137" i="30"/>
  <c r="D137" i="30"/>
  <c r="D136" i="30" s="1"/>
  <c r="B137" i="30"/>
  <c r="T136" i="30"/>
  <c r="X134" i="30"/>
  <c r="Z134" i="30" s="1"/>
  <c r="L134" i="30"/>
  <c r="N134" i="30" s="1"/>
  <c r="B134" i="30"/>
  <c r="T133" i="30"/>
  <c r="P133" i="30"/>
  <c r="X133" i="30" s="1"/>
  <c r="H133" i="30"/>
  <c r="D133" i="30"/>
  <c r="B133" i="30"/>
  <c r="Z132" i="30"/>
  <c r="X132" i="30"/>
  <c r="L132" i="30"/>
  <c r="N132" i="30" s="1"/>
  <c r="B132" i="30"/>
  <c r="X131" i="30"/>
  <c r="Z131" i="30" s="1"/>
  <c r="T131" i="30"/>
  <c r="P131" i="30"/>
  <c r="H131" i="30"/>
  <c r="D131" i="30"/>
  <c r="L131" i="30" s="1"/>
  <c r="N131" i="30" s="1"/>
  <c r="B131" i="30"/>
  <c r="Z130" i="30"/>
  <c r="X130" i="30"/>
  <c r="N130" i="30"/>
  <c r="L130" i="30"/>
  <c r="B130" i="30"/>
  <c r="T129" i="30"/>
  <c r="P129" i="30"/>
  <c r="L129" i="30"/>
  <c r="H129" i="30"/>
  <c r="N129" i="30" s="1"/>
  <c r="D129" i="30"/>
  <c r="B129" i="30"/>
  <c r="Z128" i="30"/>
  <c r="X128" i="30"/>
  <c r="N128" i="30"/>
  <c r="L128" i="30"/>
  <c r="B128" i="30"/>
  <c r="Z127" i="30"/>
  <c r="T127" i="30"/>
  <c r="P127" i="30"/>
  <c r="X127" i="30" s="1"/>
  <c r="H127" i="30"/>
  <c r="N127" i="30" s="1"/>
  <c r="D127" i="30"/>
  <c r="L127" i="30" s="1"/>
  <c r="B127" i="30"/>
  <c r="X126" i="30"/>
  <c r="Z126" i="30" s="1"/>
  <c r="N126" i="30"/>
  <c r="L126" i="30"/>
  <c r="B126" i="30"/>
  <c r="Z125" i="30"/>
  <c r="X125" i="30"/>
  <c r="L125" i="30"/>
  <c r="N125" i="30" s="1"/>
  <c r="B125" i="30"/>
  <c r="Z124" i="30"/>
  <c r="X124" i="30"/>
  <c r="N124" i="30"/>
  <c r="L124" i="30"/>
  <c r="B124" i="30"/>
  <c r="Z123" i="30"/>
  <c r="X123" i="30"/>
  <c r="N123" i="30"/>
  <c r="L123" i="30"/>
  <c r="B123" i="30"/>
  <c r="X122" i="30"/>
  <c r="Z122" i="30" s="1"/>
  <c r="N122" i="30"/>
  <c r="L122" i="30"/>
  <c r="B122" i="30"/>
  <c r="T121" i="30"/>
  <c r="P121" i="30"/>
  <c r="X121" i="30" s="1"/>
  <c r="Z121" i="30" s="1"/>
  <c r="H121" i="30"/>
  <c r="D121" i="30"/>
  <c r="L121" i="30" s="1"/>
  <c r="N121" i="30" s="1"/>
  <c r="B121" i="30"/>
  <c r="X120" i="30"/>
  <c r="Z120" i="30" s="1"/>
  <c r="N120" i="30"/>
  <c r="L120" i="30"/>
  <c r="J120" i="30"/>
  <c r="B120" i="30"/>
  <c r="X119" i="30"/>
  <c r="T119" i="30"/>
  <c r="Z119" i="30" s="1"/>
  <c r="P119" i="30"/>
  <c r="L119" i="30"/>
  <c r="H119" i="30"/>
  <c r="N119" i="30" s="1"/>
  <c r="D119" i="30"/>
  <c r="B119" i="30"/>
  <c r="X118" i="30"/>
  <c r="Z118" i="30" s="1"/>
  <c r="L118" i="30"/>
  <c r="N118" i="30" s="1"/>
  <c r="B118" i="30"/>
  <c r="X117" i="30"/>
  <c r="Z117" i="30" s="1"/>
  <c r="N117" i="30"/>
  <c r="L117" i="30"/>
  <c r="B117" i="30"/>
  <c r="Z116" i="30"/>
  <c r="X116" i="30"/>
  <c r="N116" i="30"/>
  <c r="L116" i="30"/>
  <c r="B116" i="30"/>
  <c r="T115" i="30"/>
  <c r="P115" i="30"/>
  <c r="H115" i="30"/>
  <c r="D115" i="30"/>
  <c r="B115" i="30"/>
  <c r="X114" i="30"/>
  <c r="Z114" i="30" s="1"/>
  <c r="N114" i="30"/>
  <c r="L114" i="30"/>
  <c r="B114" i="30"/>
  <c r="X113" i="30"/>
  <c r="Z113" i="30" s="1"/>
  <c r="N113" i="30"/>
  <c r="L113" i="30"/>
  <c r="B113" i="30"/>
  <c r="T112" i="30"/>
  <c r="P112" i="30"/>
  <c r="X112" i="30" s="1"/>
  <c r="H112" i="30"/>
  <c r="D112" i="30"/>
  <c r="B112" i="30"/>
  <c r="X111" i="30"/>
  <c r="Z111" i="30" s="1"/>
  <c r="N111" i="30"/>
  <c r="L111" i="30"/>
  <c r="B111" i="30"/>
  <c r="X110" i="30"/>
  <c r="Z110" i="30" s="1"/>
  <c r="T110" i="30"/>
  <c r="P110" i="30"/>
  <c r="H110" i="30"/>
  <c r="D110" i="30"/>
  <c r="L110" i="30" s="1"/>
  <c r="N110" i="30" s="1"/>
  <c r="B110" i="30"/>
  <c r="X109" i="30"/>
  <c r="Z109" i="30" s="1"/>
  <c r="N109" i="30"/>
  <c r="L109" i="30"/>
  <c r="B109" i="30"/>
  <c r="X108" i="30"/>
  <c r="T108" i="30"/>
  <c r="Z108" i="30" s="1"/>
  <c r="P108" i="30"/>
  <c r="N108" i="30"/>
  <c r="L108" i="30"/>
  <c r="H108" i="30"/>
  <c r="D108" i="30"/>
  <c r="B108" i="30"/>
  <c r="X107" i="30"/>
  <c r="Z107" i="30" s="1"/>
  <c r="L107" i="30"/>
  <c r="N107" i="30" s="1"/>
  <c r="B107" i="30"/>
  <c r="T106" i="30"/>
  <c r="X106" i="30" s="1"/>
  <c r="P106" i="30"/>
  <c r="H106" i="30"/>
  <c r="D106" i="30"/>
  <c r="B106" i="30"/>
  <c r="Z105" i="30"/>
  <c r="X105" i="30"/>
  <c r="N105" i="30"/>
  <c r="L105" i="30"/>
  <c r="B105" i="30"/>
  <c r="T104" i="30"/>
  <c r="P104" i="30"/>
  <c r="X104" i="30" s="1"/>
  <c r="Z104" i="30" s="1"/>
  <c r="H104" i="30"/>
  <c r="D104" i="30"/>
  <c r="L104" i="30" s="1"/>
  <c r="N104" i="30" s="1"/>
  <c r="B104" i="30"/>
  <c r="Z103" i="30"/>
  <c r="X103" i="30"/>
  <c r="N103" i="30"/>
  <c r="L103" i="30"/>
  <c r="B103" i="30"/>
  <c r="T102" i="30"/>
  <c r="Z102" i="30" s="1"/>
  <c r="P102" i="30"/>
  <c r="X102" i="30" s="1"/>
  <c r="L102" i="30"/>
  <c r="J102" i="30"/>
  <c r="H102" i="30"/>
  <c r="N102" i="30" s="1"/>
  <c r="D102" i="30"/>
  <c r="B102" i="30"/>
  <c r="X101" i="30"/>
  <c r="Z101" i="30" s="1"/>
  <c r="N101" i="30"/>
  <c r="L101" i="30"/>
  <c r="B101" i="30"/>
  <c r="T100" i="30"/>
  <c r="Z100" i="30" s="1"/>
  <c r="P100" i="30"/>
  <c r="X100" i="30" s="1"/>
  <c r="H100" i="30"/>
  <c r="N100" i="30" s="1"/>
  <c r="D100" i="30"/>
  <c r="L100" i="30" s="1"/>
  <c r="B100" i="30"/>
  <c r="Z99" i="30"/>
  <c r="X99" i="30"/>
  <c r="N99" i="30"/>
  <c r="L99" i="30"/>
  <c r="B99" i="30"/>
  <c r="X98" i="30"/>
  <c r="T98" i="30"/>
  <c r="Z98" i="30" s="1"/>
  <c r="P98" i="30"/>
  <c r="H98" i="30"/>
  <c r="D98" i="30"/>
  <c r="L98" i="30" s="1"/>
  <c r="N98" i="30" s="1"/>
  <c r="B98" i="30"/>
  <c r="X97" i="30"/>
  <c r="Z97" i="30" s="1"/>
  <c r="L97" i="30"/>
  <c r="N97" i="30" s="1"/>
  <c r="B97" i="30"/>
  <c r="X96" i="30"/>
  <c r="T96" i="30"/>
  <c r="Z96" i="30" s="1"/>
  <c r="P96" i="30"/>
  <c r="H96" i="30"/>
  <c r="D96" i="30"/>
  <c r="L96" i="30" s="1"/>
  <c r="N96" i="30" s="1"/>
  <c r="B96" i="30"/>
  <c r="Z95" i="30"/>
  <c r="X95" i="30"/>
  <c r="N95" i="30"/>
  <c r="L95" i="30"/>
  <c r="B95" i="30"/>
  <c r="T94" i="30"/>
  <c r="Z94" i="30" s="1"/>
  <c r="P94" i="30"/>
  <c r="X94" i="30" s="1"/>
  <c r="N94" i="30"/>
  <c r="L94" i="30"/>
  <c r="H94" i="30"/>
  <c r="D94" i="30"/>
  <c r="B94" i="30"/>
  <c r="Z93" i="30"/>
  <c r="X93" i="30"/>
  <c r="L93" i="30"/>
  <c r="N93" i="30" s="1"/>
  <c r="B93" i="30"/>
  <c r="T92" i="30"/>
  <c r="P92" i="30"/>
  <c r="X92" i="30" s="1"/>
  <c r="Z92" i="30" s="1"/>
  <c r="L92" i="30"/>
  <c r="J92" i="30"/>
  <c r="H92" i="30"/>
  <c r="N92" i="30" s="1"/>
  <c r="D92" i="30"/>
  <c r="B92" i="30"/>
  <c r="X91" i="30"/>
  <c r="Z91" i="30" s="1"/>
  <c r="N91" i="30"/>
  <c r="L91" i="30"/>
  <c r="B91" i="30"/>
  <c r="X90" i="30"/>
  <c r="Z90" i="30" s="1"/>
  <c r="L90" i="30"/>
  <c r="N90" i="30" s="1"/>
  <c r="B90" i="30"/>
  <c r="X89" i="30"/>
  <c r="Z89" i="30" s="1"/>
  <c r="L89" i="30"/>
  <c r="N89" i="30" s="1"/>
  <c r="B89" i="30"/>
  <c r="Z88" i="30"/>
  <c r="X88" i="30"/>
  <c r="N88" i="30"/>
  <c r="L88" i="30"/>
  <c r="B88" i="30"/>
  <c r="X87" i="30"/>
  <c r="Z87" i="30" s="1"/>
  <c r="N87" i="30"/>
  <c r="L87" i="30"/>
  <c r="B87" i="30"/>
  <c r="T86" i="30"/>
  <c r="P86" i="30"/>
  <c r="X86" i="30" s="1"/>
  <c r="Z86" i="30" s="1"/>
  <c r="L86" i="30"/>
  <c r="H86" i="30"/>
  <c r="N86" i="30" s="1"/>
  <c r="D86" i="30"/>
  <c r="B86" i="30"/>
  <c r="X85" i="30"/>
  <c r="Z85" i="30" s="1"/>
  <c r="N85" i="30"/>
  <c r="L85" i="30"/>
  <c r="J85" i="30"/>
  <c r="B85" i="30"/>
  <c r="Z84" i="30"/>
  <c r="X84" i="30"/>
  <c r="N84" i="30"/>
  <c r="L84" i="30"/>
  <c r="B84" i="30"/>
  <c r="Z83" i="30"/>
  <c r="X83" i="30"/>
  <c r="N83" i="30"/>
  <c r="L83" i="30"/>
  <c r="B83" i="30"/>
  <c r="X82" i="30"/>
  <c r="Z82" i="30" s="1"/>
  <c r="L82" i="30"/>
  <c r="N82" i="30" s="1"/>
  <c r="J82" i="30"/>
  <c r="B82" i="30"/>
  <c r="X81" i="30"/>
  <c r="Z81" i="30" s="1"/>
  <c r="N81" i="30"/>
  <c r="L81" i="30"/>
  <c r="J81" i="30"/>
  <c r="B81" i="30"/>
  <c r="Z80" i="30"/>
  <c r="X80" i="30"/>
  <c r="N80" i="30"/>
  <c r="L80" i="30"/>
  <c r="B80" i="30"/>
  <c r="Z79" i="30"/>
  <c r="X79" i="30"/>
  <c r="N79" i="30"/>
  <c r="L79" i="30"/>
  <c r="B79" i="30"/>
  <c r="X78" i="30"/>
  <c r="Z78" i="30" s="1"/>
  <c r="L78" i="30"/>
  <c r="N78" i="30" s="1"/>
  <c r="J78" i="30"/>
  <c r="B78" i="30"/>
  <c r="X77" i="30"/>
  <c r="T77" i="30"/>
  <c r="Z77" i="30" s="1"/>
  <c r="P77" i="30"/>
  <c r="H77" i="30"/>
  <c r="D77" i="30"/>
  <c r="L77" i="30" s="1"/>
  <c r="B77" i="30"/>
  <c r="T76" i="30"/>
  <c r="P76" i="30"/>
  <c r="X76" i="30" s="1"/>
  <c r="Z76" i="30" s="1"/>
  <c r="J76" i="30"/>
  <c r="H76" i="30"/>
  <c r="D76" i="30"/>
  <c r="Z72" i="30"/>
  <c r="X72" i="30"/>
  <c r="L72" i="30"/>
  <c r="N72" i="30" s="1"/>
  <c r="B72" i="30"/>
  <c r="Z71" i="30"/>
  <c r="X71" i="30"/>
  <c r="L71" i="30"/>
  <c r="N71" i="30" s="1"/>
  <c r="B71" i="30"/>
  <c r="X70" i="30"/>
  <c r="Z70" i="30" s="1"/>
  <c r="L70" i="30"/>
  <c r="N70" i="30" s="1"/>
  <c r="B70" i="30"/>
  <c r="Z69" i="30"/>
  <c r="X69" i="30"/>
  <c r="L69" i="30"/>
  <c r="N69" i="30" s="1"/>
  <c r="B69" i="30"/>
  <c r="Z68" i="30"/>
  <c r="X68" i="30"/>
  <c r="L68" i="30"/>
  <c r="N68" i="30" s="1"/>
  <c r="B68" i="30"/>
  <c r="Z67" i="30"/>
  <c r="X67" i="30"/>
  <c r="L67" i="30"/>
  <c r="N67" i="30" s="1"/>
  <c r="B67" i="30"/>
  <c r="X66" i="30"/>
  <c r="Z66" i="30" s="1"/>
  <c r="L66" i="30"/>
  <c r="N66" i="30" s="1"/>
  <c r="B66" i="30"/>
  <c r="Z65" i="30"/>
  <c r="X65" i="30"/>
  <c r="L65" i="30"/>
  <c r="N65" i="30" s="1"/>
  <c r="B65" i="30"/>
  <c r="Z64" i="30"/>
  <c r="X64" i="30"/>
  <c r="N64" i="30"/>
  <c r="L64" i="30"/>
  <c r="B64" i="30"/>
  <c r="Z63" i="30"/>
  <c r="X63" i="30"/>
  <c r="L63" i="30"/>
  <c r="N63" i="30" s="1"/>
  <c r="B63" i="30"/>
  <c r="X62" i="30"/>
  <c r="Z62" i="30" s="1"/>
  <c r="L62" i="30"/>
  <c r="N62" i="30" s="1"/>
  <c r="B62" i="30"/>
  <c r="Z61" i="30"/>
  <c r="X61" i="30"/>
  <c r="L61" i="30"/>
  <c r="N61" i="30" s="1"/>
  <c r="B61" i="30"/>
  <c r="Z60" i="30"/>
  <c r="X60" i="30"/>
  <c r="L60" i="30"/>
  <c r="N60" i="30" s="1"/>
  <c r="B60" i="30"/>
  <c r="Z59" i="30"/>
  <c r="X59" i="30"/>
  <c r="L59" i="30"/>
  <c r="N59" i="30" s="1"/>
  <c r="B59" i="30"/>
  <c r="X58" i="30"/>
  <c r="Z58" i="30" s="1"/>
  <c r="L58" i="30"/>
  <c r="N58" i="30" s="1"/>
  <c r="B58" i="30"/>
  <c r="Z57" i="30"/>
  <c r="X57" i="30"/>
  <c r="L57" i="30"/>
  <c r="N57" i="30" s="1"/>
  <c r="B57" i="30"/>
  <c r="Z56" i="30"/>
  <c r="X56" i="30"/>
  <c r="L56" i="30"/>
  <c r="N56" i="30" s="1"/>
  <c r="B56" i="30"/>
  <c r="Z55" i="30"/>
  <c r="X55" i="30"/>
  <c r="L55" i="30"/>
  <c r="N55" i="30" s="1"/>
  <c r="B55" i="30"/>
  <c r="X54" i="30"/>
  <c r="Z54" i="30" s="1"/>
  <c r="L54" i="30"/>
  <c r="N54" i="30" s="1"/>
  <c r="B54" i="30"/>
  <c r="T53" i="30"/>
  <c r="P53" i="30"/>
  <c r="X53" i="30" s="1"/>
  <c r="Z53" i="30" s="1"/>
  <c r="H53" i="30"/>
  <c r="D53" i="30"/>
  <c r="L53" i="30" s="1"/>
  <c r="T51" i="30"/>
  <c r="P51" i="30"/>
  <c r="L51" i="30"/>
  <c r="H51" i="30"/>
  <c r="N51" i="30" s="1"/>
  <c r="D51" i="30"/>
  <c r="B51" i="30"/>
  <c r="T50" i="30"/>
  <c r="P50" i="30"/>
  <c r="X50" i="30" s="1"/>
  <c r="Z50" i="30" s="1"/>
  <c r="L50" i="30"/>
  <c r="N50" i="30" s="1"/>
  <c r="H50" i="30"/>
  <c r="D50" i="30"/>
  <c r="B50" i="30"/>
  <c r="T49" i="30"/>
  <c r="P49" i="30"/>
  <c r="X49" i="30" s="1"/>
  <c r="Z49" i="30" s="1"/>
  <c r="H49" i="30"/>
  <c r="D49" i="30"/>
  <c r="B49" i="30"/>
  <c r="T48" i="30"/>
  <c r="P48" i="30"/>
  <c r="X48" i="30" s="1"/>
  <c r="H48" i="30"/>
  <c r="D48" i="30"/>
  <c r="B48" i="30"/>
  <c r="T47" i="30"/>
  <c r="P47" i="30"/>
  <c r="L47" i="30"/>
  <c r="H47" i="30"/>
  <c r="N47" i="30" s="1"/>
  <c r="D47" i="30"/>
  <c r="B47" i="30"/>
  <c r="T46" i="30"/>
  <c r="P46" i="30"/>
  <c r="X46" i="30" s="1"/>
  <c r="Z46" i="30" s="1"/>
  <c r="L46" i="30"/>
  <c r="N46" i="30" s="1"/>
  <c r="H46" i="30"/>
  <c r="D46" i="30"/>
  <c r="B46" i="30"/>
  <c r="Z45" i="30"/>
  <c r="T45" i="30"/>
  <c r="P45" i="30"/>
  <c r="X45" i="30" s="1"/>
  <c r="H45" i="30"/>
  <c r="N45" i="30" s="1"/>
  <c r="D45" i="30"/>
  <c r="B45" i="30"/>
  <c r="T44" i="30"/>
  <c r="P44" i="30"/>
  <c r="X44" i="30" s="1"/>
  <c r="H44" i="30"/>
  <c r="D44" i="30"/>
  <c r="B44" i="30"/>
  <c r="T43" i="30"/>
  <c r="P43" i="30"/>
  <c r="L43" i="30"/>
  <c r="H43" i="30"/>
  <c r="D43" i="30"/>
  <c r="B43" i="30"/>
  <c r="T42" i="30"/>
  <c r="P42" i="30"/>
  <c r="X42" i="30" s="1"/>
  <c r="Z42" i="30" s="1"/>
  <c r="L42" i="30"/>
  <c r="N42" i="30" s="1"/>
  <c r="H42" i="30"/>
  <c r="D42" i="30"/>
  <c r="B42" i="30"/>
  <c r="Z41" i="30"/>
  <c r="T41" i="30"/>
  <c r="P41" i="30"/>
  <c r="X41" i="30" s="1"/>
  <c r="H41" i="30"/>
  <c r="N41" i="30" s="1"/>
  <c r="D41" i="30"/>
  <c r="B41" i="30"/>
  <c r="T40" i="30"/>
  <c r="Z40" i="30" s="1"/>
  <c r="P40" i="30"/>
  <c r="H40" i="30"/>
  <c r="N40" i="30" s="1"/>
  <c r="D40" i="30"/>
  <c r="B40" i="30"/>
  <c r="T39" i="30"/>
  <c r="P39" i="30"/>
  <c r="L39" i="30"/>
  <c r="H39" i="30"/>
  <c r="N39" i="30" s="1"/>
  <c r="D39" i="30"/>
  <c r="B39" i="30"/>
  <c r="T38" i="30"/>
  <c r="P38" i="30"/>
  <c r="X38" i="30" s="1"/>
  <c r="Z38" i="30" s="1"/>
  <c r="L38" i="30"/>
  <c r="N38" i="30" s="1"/>
  <c r="H38" i="30"/>
  <c r="D38" i="30"/>
  <c r="B38" i="30"/>
  <c r="Z37" i="30"/>
  <c r="T37" i="30"/>
  <c r="P37" i="30"/>
  <c r="X37" i="30" s="1"/>
  <c r="L37" i="30"/>
  <c r="H37" i="30"/>
  <c r="N37" i="30" s="1"/>
  <c r="D37" i="30"/>
  <c r="B37" i="30"/>
  <c r="T36" i="30"/>
  <c r="P36" i="30"/>
  <c r="H36" i="30"/>
  <c r="D36" i="30"/>
  <c r="B36" i="30"/>
  <c r="T35" i="30"/>
  <c r="P35" i="30"/>
  <c r="L35" i="30"/>
  <c r="H35" i="30"/>
  <c r="N35" i="30" s="1"/>
  <c r="D35" i="30"/>
  <c r="B35" i="30"/>
  <c r="T34" i="30"/>
  <c r="P34" i="30"/>
  <c r="X34" i="30" s="1"/>
  <c r="Z34" i="30" s="1"/>
  <c r="L34" i="30"/>
  <c r="N34" i="30" s="1"/>
  <c r="H34" i="30"/>
  <c r="D34" i="30"/>
  <c r="B34" i="30"/>
  <c r="T33" i="30"/>
  <c r="Z33" i="30" s="1"/>
  <c r="P33" i="30"/>
  <c r="X33" i="30" s="1"/>
  <c r="L33" i="30"/>
  <c r="H33" i="30"/>
  <c r="N33" i="30" s="1"/>
  <c r="D33" i="30"/>
  <c r="B33" i="30"/>
  <c r="T32" i="30"/>
  <c r="Z32" i="30" s="1"/>
  <c r="P32" i="30"/>
  <c r="H32" i="30"/>
  <c r="N32" i="30" s="1"/>
  <c r="D32" i="30"/>
  <c r="B32" i="30"/>
  <c r="T31" i="30"/>
  <c r="P31" i="30"/>
  <c r="L31" i="30"/>
  <c r="H31" i="30"/>
  <c r="N31" i="30" s="1"/>
  <c r="D31" i="30"/>
  <c r="B31" i="30"/>
  <c r="Z30" i="30"/>
  <c r="T30" i="30"/>
  <c r="P30" i="30"/>
  <c r="X30" i="30" s="1"/>
  <c r="N30" i="30"/>
  <c r="L30" i="30"/>
  <c r="H30" i="30"/>
  <c r="D30" i="30"/>
  <c r="B30" i="30"/>
  <c r="T29" i="30"/>
  <c r="Z29" i="30" s="1"/>
  <c r="P29" i="30"/>
  <c r="X29" i="30" s="1"/>
  <c r="L29" i="30"/>
  <c r="H29" i="30"/>
  <c r="N29" i="30" s="1"/>
  <c r="D29" i="30"/>
  <c r="B29" i="30"/>
  <c r="T28" i="30"/>
  <c r="Z28" i="30" s="1"/>
  <c r="P28" i="30"/>
  <c r="L28" i="30"/>
  <c r="H28" i="30"/>
  <c r="N28" i="30" s="1"/>
  <c r="D28" i="30"/>
  <c r="B28" i="30"/>
  <c r="T27" i="30"/>
  <c r="P27" i="30"/>
  <c r="L27" i="30"/>
  <c r="H27" i="30"/>
  <c r="N27" i="30" s="1"/>
  <c r="D27" i="30"/>
  <c r="B27" i="30"/>
  <c r="T26" i="30"/>
  <c r="P26" i="30"/>
  <c r="X26" i="30" s="1"/>
  <c r="Z26" i="30" s="1"/>
  <c r="L26" i="30"/>
  <c r="N26" i="30" s="1"/>
  <c r="H26" i="30"/>
  <c r="D26" i="30"/>
  <c r="B26" i="30"/>
  <c r="T25" i="30"/>
  <c r="Z25" i="30" s="1"/>
  <c r="P25" i="30"/>
  <c r="X25" i="30" s="1"/>
  <c r="L25" i="30"/>
  <c r="H25" i="30"/>
  <c r="N25" i="30" s="1"/>
  <c r="D25" i="30"/>
  <c r="B25" i="30"/>
  <c r="T24" i="30"/>
  <c r="P24" i="30"/>
  <c r="L24" i="30"/>
  <c r="H24" i="30"/>
  <c r="N24" i="30" s="1"/>
  <c r="D24" i="30"/>
  <c r="B24" i="30"/>
  <c r="T23" i="30"/>
  <c r="P23" i="30"/>
  <c r="L23" i="30"/>
  <c r="H23" i="30"/>
  <c r="D23" i="30"/>
  <c r="B23" i="30"/>
  <c r="T22" i="30"/>
  <c r="P22" i="30"/>
  <c r="X22" i="30" s="1"/>
  <c r="Z22" i="30" s="1"/>
  <c r="L22" i="30"/>
  <c r="N22" i="30" s="1"/>
  <c r="H22" i="30"/>
  <c r="D22" i="30"/>
  <c r="B22" i="30"/>
  <c r="T21" i="30"/>
  <c r="Z21" i="30" s="1"/>
  <c r="P21" i="30"/>
  <c r="X21" i="30" s="1"/>
  <c r="L21" i="30"/>
  <c r="H21" i="30"/>
  <c r="N21" i="30" s="1"/>
  <c r="D21" i="30"/>
  <c r="B21" i="30"/>
  <c r="T20" i="30"/>
  <c r="P20" i="30"/>
  <c r="L20" i="30"/>
  <c r="H20" i="30"/>
  <c r="N20" i="30" s="1"/>
  <c r="D20" i="30"/>
  <c r="B20" i="30"/>
  <c r="T19" i="30"/>
  <c r="P19" i="30"/>
  <c r="L19" i="30"/>
  <c r="H19" i="30"/>
  <c r="D19" i="30"/>
  <c r="B19" i="30"/>
  <c r="Z18" i="30"/>
  <c r="T18" i="30"/>
  <c r="P18" i="30"/>
  <c r="X18" i="30" s="1"/>
  <c r="N18" i="30"/>
  <c r="L18" i="30"/>
  <c r="H18" i="30"/>
  <c r="D18" i="30"/>
  <c r="B18" i="30"/>
  <c r="T17" i="30"/>
  <c r="Z17" i="30" s="1"/>
  <c r="P17" i="30"/>
  <c r="X17" i="30" s="1"/>
  <c r="L17" i="30"/>
  <c r="H17" i="30"/>
  <c r="N17" i="30" s="1"/>
  <c r="D17" i="30"/>
  <c r="B17" i="30"/>
  <c r="T16" i="30"/>
  <c r="Z16" i="30" s="1"/>
  <c r="P16" i="30"/>
  <c r="X16" i="30" s="1"/>
  <c r="L16" i="30"/>
  <c r="H16" i="30"/>
  <c r="N16" i="30" s="1"/>
  <c r="D16" i="30"/>
  <c r="B16" i="30"/>
  <c r="T15" i="30"/>
  <c r="P15" i="30"/>
  <c r="L15" i="30"/>
  <c r="H15" i="30"/>
  <c r="N15" i="30" s="1"/>
  <c r="D15" i="30"/>
  <c r="B15" i="30"/>
  <c r="T14" i="30"/>
  <c r="P14" i="30"/>
  <c r="X14" i="30" s="1"/>
  <c r="Z14" i="30" s="1"/>
  <c r="L14" i="30"/>
  <c r="N14" i="30" s="1"/>
  <c r="H14" i="30"/>
  <c r="D14" i="30"/>
  <c r="B14" i="30"/>
  <c r="T13" i="30"/>
  <c r="Z13" i="30" s="1"/>
  <c r="P13" i="30"/>
  <c r="X13" i="30" s="1"/>
  <c r="L13" i="30"/>
  <c r="H13" i="30"/>
  <c r="N13" i="30" s="1"/>
  <c r="D13" i="30"/>
  <c r="D12" i="30" s="1"/>
  <c r="B13" i="30"/>
  <c r="H12" i="30"/>
  <c r="J116" i="30" s="1"/>
  <c r="D4" i="30"/>
  <c r="Z110" i="27"/>
  <c r="X110" i="27"/>
  <c r="N110" i="27"/>
  <c r="L110" i="27"/>
  <c r="X106" i="27"/>
  <c r="T106" i="27"/>
  <c r="Z106" i="27" s="1"/>
  <c r="P106" i="27"/>
  <c r="L106" i="27"/>
  <c r="N106" i="27" s="1"/>
  <c r="H106" i="27"/>
  <c r="D106" i="27"/>
  <c r="B106" i="27"/>
  <c r="T105" i="27"/>
  <c r="P105" i="27"/>
  <c r="X105" i="27" s="1"/>
  <c r="H105" i="27"/>
  <c r="H104" i="27" s="1"/>
  <c r="D105" i="27"/>
  <c r="B105" i="27"/>
  <c r="P104" i="27"/>
  <c r="D104" i="27"/>
  <c r="L104" i="27" s="1"/>
  <c r="Z102" i="27"/>
  <c r="X102" i="27"/>
  <c r="N102" i="27"/>
  <c r="L102" i="27"/>
  <c r="B102" i="27"/>
  <c r="Z101" i="27"/>
  <c r="T101" i="27"/>
  <c r="P101" i="27"/>
  <c r="X101" i="27" s="1"/>
  <c r="H101" i="27"/>
  <c r="N101" i="27" s="1"/>
  <c r="D101" i="27"/>
  <c r="L101" i="27" s="1"/>
  <c r="B101" i="27"/>
  <c r="X100" i="27"/>
  <c r="Z100" i="27" s="1"/>
  <c r="N100" i="27"/>
  <c r="L100" i="27"/>
  <c r="F100" i="27"/>
  <c r="B100" i="27"/>
  <c r="X99" i="27"/>
  <c r="Z99" i="27" s="1"/>
  <c r="T99" i="27"/>
  <c r="P99" i="27"/>
  <c r="L99" i="27"/>
  <c r="H99" i="27"/>
  <c r="N99" i="27" s="1"/>
  <c r="F99" i="27"/>
  <c r="D99" i="27"/>
  <c r="B99" i="27"/>
  <c r="Z98" i="27"/>
  <c r="X98" i="27"/>
  <c r="N98" i="27"/>
  <c r="L98" i="27"/>
  <c r="B98" i="27"/>
  <c r="Z97" i="27"/>
  <c r="X97" i="27"/>
  <c r="N97" i="27"/>
  <c r="L97" i="27"/>
  <c r="B97" i="27"/>
  <c r="T96" i="27"/>
  <c r="P96" i="27"/>
  <c r="N96" i="27"/>
  <c r="L96" i="27"/>
  <c r="H96" i="27"/>
  <c r="D96" i="27"/>
  <c r="B96" i="27"/>
  <c r="X95" i="27"/>
  <c r="Z95" i="27" s="1"/>
  <c r="N95" i="27"/>
  <c r="L95" i="27"/>
  <c r="B95" i="27"/>
  <c r="Z94" i="27"/>
  <c r="X94" i="27"/>
  <c r="L94" i="27"/>
  <c r="N94" i="27" s="1"/>
  <c r="B94" i="27"/>
  <c r="Z93" i="27"/>
  <c r="X93" i="27"/>
  <c r="L93" i="27"/>
  <c r="N93" i="27" s="1"/>
  <c r="B93" i="27"/>
  <c r="T92" i="27"/>
  <c r="Z92" i="27" s="1"/>
  <c r="P92" i="27"/>
  <c r="X92" i="27" s="1"/>
  <c r="H92" i="27"/>
  <c r="D92" i="27"/>
  <c r="L92" i="27" s="1"/>
  <c r="N92" i="27" s="1"/>
  <c r="B92" i="27"/>
  <c r="X91" i="27"/>
  <c r="Z91" i="27" s="1"/>
  <c r="N91" i="27"/>
  <c r="L91" i="27"/>
  <c r="F91" i="27"/>
  <c r="B91" i="27"/>
  <c r="X90" i="27"/>
  <c r="Z90" i="27" s="1"/>
  <c r="T90" i="27"/>
  <c r="P90" i="27"/>
  <c r="L90" i="27"/>
  <c r="H90" i="27"/>
  <c r="N90" i="27" s="1"/>
  <c r="F90" i="27"/>
  <c r="D90" i="27"/>
  <c r="B90" i="27"/>
  <c r="Z89" i="27"/>
  <c r="X89" i="27"/>
  <c r="N89" i="27"/>
  <c r="L89" i="27"/>
  <c r="B89" i="27"/>
  <c r="T88" i="27"/>
  <c r="P88" i="27"/>
  <c r="N88" i="27"/>
  <c r="L88" i="27"/>
  <c r="H88" i="27"/>
  <c r="D88" i="27"/>
  <c r="B88" i="27"/>
  <c r="X87" i="27"/>
  <c r="Z87" i="27" s="1"/>
  <c r="L87" i="27"/>
  <c r="N87" i="27" s="1"/>
  <c r="B87" i="27"/>
  <c r="T86" i="27"/>
  <c r="P86" i="27"/>
  <c r="X86" i="27" s="1"/>
  <c r="Z86" i="27" s="1"/>
  <c r="H86" i="27"/>
  <c r="N86" i="27" s="1"/>
  <c r="D86" i="27"/>
  <c r="L86" i="27" s="1"/>
  <c r="B86" i="27"/>
  <c r="X85" i="27"/>
  <c r="Z85" i="27" s="1"/>
  <c r="N85" i="27"/>
  <c r="L85" i="27"/>
  <c r="B85" i="27"/>
  <c r="X84" i="27"/>
  <c r="T84" i="27"/>
  <c r="Z84" i="27" s="1"/>
  <c r="P84" i="27"/>
  <c r="N84" i="27"/>
  <c r="L84" i="27"/>
  <c r="H84" i="27"/>
  <c r="D84" i="27"/>
  <c r="B84" i="27"/>
  <c r="Z83" i="27"/>
  <c r="X83" i="27"/>
  <c r="L83" i="27"/>
  <c r="N83" i="27" s="1"/>
  <c r="B83" i="27"/>
  <c r="Z82" i="27"/>
  <c r="X82" i="27"/>
  <c r="T82" i="27"/>
  <c r="P82" i="27"/>
  <c r="N82" i="27"/>
  <c r="H82" i="27"/>
  <c r="D82" i="27"/>
  <c r="L82" i="27" s="1"/>
  <c r="B82" i="27"/>
  <c r="Z81" i="27"/>
  <c r="X81" i="27"/>
  <c r="L81" i="27"/>
  <c r="N81" i="27" s="1"/>
  <c r="B81" i="27"/>
  <c r="T80" i="27"/>
  <c r="P80" i="27"/>
  <c r="X80" i="27" s="1"/>
  <c r="H80" i="27"/>
  <c r="D80" i="27"/>
  <c r="L80" i="27" s="1"/>
  <c r="N80" i="27" s="1"/>
  <c r="B80" i="27"/>
  <c r="Z79" i="27"/>
  <c r="X79" i="27"/>
  <c r="N79" i="27"/>
  <c r="L79" i="27"/>
  <c r="F79" i="27"/>
  <c r="B79" i="27"/>
  <c r="X78" i="27"/>
  <c r="T78" i="27"/>
  <c r="Z78" i="27" s="1"/>
  <c r="P78" i="27"/>
  <c r="L78" i="27"/>
  <c r="H78" i="27"/>
  <c r="N78" i="27" s="1"/>
  <c r="F78" i="27"/>
  <c r="D78" i="27"/>
  <c r="B78" i="27"/>
  <c r="Z77" i="27"/>
  <c r="X77" i="27"/>
  <c r="N77" i="27"/>
  <c r="L77" i="27"/>
  <c r="B77" i="27"/>
  <c r="Z76" i="27"/>
  <c r="X76" i="27"/>
  <c r="N76" i="27"/>
  <c r="L76" i="27"/>
  <c r="B76" i="27"/>
  <c r="T75" i="27"/>
  <c r="P75" i="27"/>
  <c r="H75" i="27"/>
  <c r="L75" i="27" s="1"/>
  <c r="N75" i="27" s="1"/>
  <c r="D75" i="27"/>
  <c r="B75" i="27"/>
  <c r="Z74" i="27"/>
  <c r="X74" i="27"/>
  <c r="L74" i="27"/>
  <c r="N74" i="27" s="1"/>
  <c r="B74" i="27"/>
  <c r="T73" i="27"/>
  <c r="P73" i="27"/>
  <c r="X73" i="27" s="1"/>
  <c r="Z73" i="27" s="1"/>
  <c r="H73" i="27"/>
  <c r="D73" i="27"/>
  <c r="L73" i="27" s="1"/>
  <c r="B73" i="27"/>
  <c r="X72" i="27"/>
  <c r="Z72" i="27" s="1"/>
  <c r="N72" i="27"/>
  <c r="L72" i="27"/>
  <c r="F72" i="27"/>
  <c r="B72" i="27"/>
  <c r="Z71" i="27"/>
  <c r="X71" i="27"/>
  <c r="N71" i="27"/>
  <c r="L71" i="27"/>
  <c r="F71" i="27"/>
  <c r="B71" i="27"/>
  <c r="X70" i="27"/>
  <c r="Z70" i="27" s="1"/>
  <c r="N70" i="27"/>
  <c r="L70" i="27"/>
  <c r="B70" i="27"/>
  <c r="X69" i="27"/>
  <c r="Z69" i="27" s="1"/>
  <c r="N69" i="27"/>
  <c r="L69" i="27"/>
  <c r="B69" i="27"/>
  <c r="X68" i="27"/>
  <c r="Z68" i="27" s="1"/>
  <c r="N68" i="27"/>
  <c r="L68" i="27"/>
  <c r="F68" i="27"/>
  <c r="B68" i="27"/>
  <c r="Z67" i="27"/>
  <c r="X67" i="27"/>
  <c r="N67" i="27"/>
  <c r="L67" i="27"/>
  <c r="F67" i="27"/>
  <c r="B67" i="27"/>
  <c r="X66" i="27"/>
  <c r="T66" i="27"/>
  <c r="Z66" i="27" s="1"/>
  <c r="P66" i="27"/>
  <c r="L66" i="27"/>
  <c r="H66" i="27"/>
  <c r="N66" i="27" s="1"/>
  <c r="F66" i="27"/>
  <c r="D66" i="27"/>
  <c r="B66" i="27"/>
  <c r="Z65" i="27"/>
  <c r="X65" i="27"/>
  <c r="N65" i="27"/>
  <c r="L65" i="27"/>
  <c r="B65" i="27"/>
  <c r="Z64" i="27"/>
  <c r="X64" i="27"/>
  <c r="N64" i="27"/>
  <c r="L64" i="27"/>
  <c r="B64" i="27"/>
  <c r="Z63" i="27"/>
  <c r="X63" i="27"/>
  <c r="L63" i="27"/>
  <c r="N63" i="27" s="1"/>
  <c r="B63" i="27"/>
  <c r="Z62" i="27"/>
  <c r="X62" i="27"/>
  <c r="N62" i="27"/>
  <c r="L62" i="27"/>
  <c r="B62" i="27"/>
  <c r="Z61" i="27"/>
  <c r="X61" i="27"/>
  <c r="N61" i="27"/>
  <c r="L61" i="27"/>
  <c r="B61" i="27"/>
  <c r="Z60" i="27"/>
  <c r="X60" i="27"/>
  <c r="N60" i="27"/>
  <c r="L60" i="27"/>
  <c r="B60" i="27"/>
  <c r="Z59" i="27"/>
  <c r="X59" i="27"/>
  <c r="L59" i="27"/>
  <c r="N59" i="27" s="1"/>
  <c r="B59" i="27"/>
  <c r="Z58" i="27"/>
  <c r="X58" i="27"/>
  <c r="N58" i="27"/>
  <c r="L58" i="27"/>
  <c r="B58" i="27"/>
  <c r="Z57" i="27"/>
  <c r="X57" i="27"/>
  <c r="N57" i="27"/>
  <c r="L57" i="27"/>
  <c r="B57" i="27"/>
  <c r="T56" i="27"/>
  <c r="Z56" i="27" s="1"/>
  <c r="P56" i="27"/>
  <c r="X56" i="27" s="1"/>
  <c r="N56" i="27"/>
  <c r="L56" i="27"/>
  <c r="H56" i="27"/>
  <c r="D56" i="27"/>
  <c r="B56" i="27"/>
  <c r="T55" i="27"/>
  <c r="Z55" i="27" s="1"/>
  <c r="P55" i="27"/>
  <c r="X55" i="27" s="1"/>
  <c r="H55" i="27"/>
  <c r="D55" i="27"/>
  <c r="L55" i="27" s="1"/>
  <c r="N55" i="27" s="1"/>
  <c r="X51" i="27"/>
  <c r="Z51" i="27" s="1"/>
  <c r="L51" i="27"/>
  <c r="N51" i="27" s="1"/>
  <c r="B51" i="27"/>
  <c r="Z50" i="27"/>
  <c r="X50" i="27"/>
  <c r="L50" i="27"/>
  <c r="N50" i="27" s="1"/>
  <c r="B50" i="27"/>
  <c r="Z49" i="27"/>
  <c r="X49" i="27"/>
  <c r="L49" i="27"/>
  <c r="N49" i="27" s="1"/>
  <c r="B49" i="27"/>
  <c r="Z48" i="27"/>
  <c r="X48" i="27"/>
  <c r="L48" i="27"/>
  <c r="N48" i="27" s="1"/>
  <c r="B48" i="27"/>
  <c r="X47" i="27"/>
  <c r="Z47" i="27" s="1"/>
  <c r="L47" i="27"/>
  <c r="N47" i="27" s="1"/>
  <c r="B47" i="27"/>
  <c r="Z46" i="27"/>
  <c r="X46" i="27"/>
  <c r="N46" i="27"/>
  <c r="L46" i="27"/>
  <c r="B46" i="27"/>
  <c r="Z45" i="27"/>
  <c r="X45" i="27"/>
  <c r="L45" i="27"/>
  <c r="N45" i="27" s="1"/>
  <c r="B45" i="27"/>
  <c r="Z44" i="27"/>
  <c r="X44" i="27"/>
  <c r="N44" i="27"/>
  <c r="L44" i="27"/>
  <c r="B44" i="27"/>
  <c r="X43" i="27"/>
  <c r="Z43" i="27" s="1"/>
  <c r="L43" i="27"/>
  <c r="N43" i="27" s="1"/>
  <c r="B43" i="27"/>
  <c r="Z42" i="27"/>
  <c r="X42" i="27"/>
  <c r="L42" i="27"/>
  <c r="N42" i="27" s="1"/>
  <c r="B42" i="27"/>
  <c r="Z41" i="27"/>
  <c r="X41" i="27"/>
  <c r="L41" i="27"/>
  <c r="N41" i="27" s="1"/>
  <c r="B41" i="27"/>
  <c r="Z40" i="27"/>
  <c r="X40" i="27"/>
  <c r="L40" i="27"/>
  <c r="N40" i="27" s="1"/>
  <c r="B40" i="27"/>
  <c r="X39" i="27"/>
  <c r="Z39" i="27" s="1"/>
  <c r="L39" i="27"/>
  <c r="N39" i="27" s="1"/>
  <c r="B39" i="27"/>
  <c r="T38" i="27"/>
  <c r="P38" i="27"/>
  <c r="X38" i="27" s="1"/>
  <c r="Z38" i="27" s="1"/>
  <c r="N38" i="27"/>
  <c r="H38" i="27"/>
  <c r="D38" i="27"/>
  <c r="L38" i="27" s="1"/>
  <c r="T36" i="27"/>
  <c r="P36" i="27"/>
  <c r="X36" i="27" s="1"/>
  <c r="L36" i="27"/>
  <c r="H36" i="27"/>
  <c r="D36" i="27"/>
  <c r="B36" i="27"/>
  <c r="T35" i="27"/>
  <c r="P35" i="27"/>
  <c r="X35" i="27" s="1"/>
  <c r="L35" i="27"/>
  <c r="H35" i="27"/>
  <c r="D35" i="27"/>
  <c r="B35" i="27"/>
  <c r="T34" i="27"/>
  <c r="Z34" i="27" s="1"/>
  <c r="P34" i="27"/>
  <c r="X34" i="27" s="1"/>
  <c r="L34" i="27"/>
  <c r="H34" i="27"/>
  <c r="N34" i="27" s="1"/>
  <c r="D34" i="27"/>
  <c r="B34" i="27"/>
  <c r="T33" i="27"/>
  <c r="P33" i="27"/>
  <c r="L33" i="27"/>
  <c r="H33" i="27"/>
  <c r="N33" i="27" s="1"/>
  <c r="D33" i="27"/>
  <c r="B33" i="27"/>
  <c r="T32" i="27"/>
  <c r="P32" i="27"/>
  <c r="X32" i="27" s="1"/>
  <c r="H32" i="27"/>
  <c r="D32" i="27"/>
  <c r="B32" i="27"/>
  <c r="T31" i="27"/>
  <c r="P31" i="27"/>
  <c r="L31" i="27"/>
  <c r="H31" i="27"/>
  <c r="N31" i="27" s="1"/>
  <c r="D31" i="27"/>
  <c r="B31" i="27"/>
  <c r="T30" i="27"/>
  <c r="P30" i="27"/>
  <c r="L30" i="27"/>
  <c r="H30" i="27"/>
  <c r="D30" i="27"/>
  <c r="B30" i="27"/>
  <c r="T29" i="27"/>
  <c r="P29" i="27"/>
  <c r="L29" i="27"/>
  <c r="H29" i="27"/>
  <c r="N29" i="27" s="1"/>
  <c r="D29" i="27"/>
  <c r="B29" i="27"/>
  <c r="T28" i="27"/>
  <c r="P28" i="27"/>
  <c r="L28" i="27"/>
  <c r="H28" i="27"/>
  <c r="D28" i="27"/>
  <c r="B28" i="27"/>
  <c r="T27" i="27"/>
  <c r="P27" i="27"/>
  <c r="L27" i="27"/>
  <c r="H27" i="27"/>
  <c r="N27" i="27" s="1"/>
  <c r="D27" i="27"/>
  <c r="B27" i="27"/>
  <c r="T26" i="27"/>
  <c r="P26" i="27"/>
  <c r="X26" i="27" s="1"/>
  <c r="Z26" i="27" s="1"/>
  <c r="L26" i="27"/>
  <c r="H26" i="27"/>
  <c r="N26" i="27" s="1"/>
  <c r="D26" i="27"/>
  <c r="B26" i="27"/>
  <c r="T25" i="27"/>
  <c r="P25" i="27"/>
  <c r="X25" i="27" s="1"/>
  <c r="L25" i="27"/>
  <c r="H25" i="27"/>
  <c r="D25" i="27"/>
  <c r="B25" i="27"/>
  <c r="T24" i="27"/>
  <c r="P24" i="27"/>
  <c r="X24" i="27" s="1"/>
  <c r="H24" i="27"/>
  <c r="D24" i="27"/>
  <c r="B24" i="27"/>
  <c r="T23" i="27"/>
  <c r="P23" i="27"/>
  <c r="X23" i="27" s="1"/>
  <c r="L23" i="27"/>
  <c r="H23" i="27"/>
  <c r="D23" i="27"/>
  <c r="B23" i="27"/>
  <c r="T22" i="27"/>
  <c r="P22" i="27"/>
  <c r="L22" i="27"/>
  <c r="H22" i="27"/>
  <c r="N22" i="27" s="1"/>
  <c r="D22" i="27"/>
  <c r="B22" i="27"/>
  <c r="T21" i="27"/>
  <c r="P21" i="27"/>
  <c r="X21" i="27" s="1"/>
  <c r="L21" i="27"/>
  <c r="H21" i="27"/>
  <c r="N21" i="27" s="1"/>
  <c r="D21" i="27"/>
  <c r="B21" i="27"/>
  <c r="T20" i="27"/>
  <c r="P20" i="27"/>
  <c r="H20" i="27"/>
  <c r="D20" i="27"/>
  <c r="B20" i="27"/>
  <c r="T19" i="27"/>
  <c r="P19" i="27"/>
  <c r="X19" i="27" s="1"/>
  <c r="L19" i="27"/>
  <c r="H19" i="27"/>
  <c r="N19" i="27" s="1"/>
  <c r="D19" i="27"/>
  <c r="B19" i="27"/>
  <c r="Z18" i="27"/>
  <c r="T18" i="27"/>
  <c r="P18" i="27"/>
  <c r="X18" i="27" s="1"/>
  <c r="L18" i="27"/>
  <c r="H18" i="27"/>
  <c r="D18" i="27"/>
  <c r="B18" i="27"/>
  <c r="T17" i="27"/>
  <c r="P17" i="27"/>
  <c r="L17" i="27"/>
  <c r="H17" i="27"/>
  <c r="N17" i="27" s="1"/>
  <c r="D17" i="27"/>
  <c r="B17" i="27"/>
  <c r="T16" i="27"/>
  <c r="P16" i="27"/>
  <c r="X16" i="27" s="1"/>
  <c r="L16" i="27"/>
  <c r="H16" i="27"/>
  <c r="D16" i="27"/>
  <c r="B16" i="27"/>
  <c r="T15" i="27"/>
  <c r="P15" i="27"/>
  <c r="L15" i="27"/>
  <c r="H15" i="27"/>
  <c r="N15" i="27" s="1"/>
  <c r="D15" i="27"/>
  <c r="B15" i="27"/>
  <c r="T14" i="27"/>
  <c r="P14" i="27"/>
  <c r="X14" i="27" s="1"/>
  <c r="L14" i="27"/>
  <c r="H14" i="27"/>
  <c r="D14" i="27"/>
  <c r="B14" i="27"/>
  <c r="T13" i="27"/>
  <c r="Z13" i="27" s="1"/>
  <c r="P13" i="27"/>
  <c r="L13" i="27"/>
  <c r="H13" i="27"/>
  <c r="N13" i="27" s="1"/>
  <c r="D13" i="27"/>
  <c r="B13" i="27"/>
  <c r="D12" i="27"/>
  <c r="F102" i="27" s="1"/>
  <c r="D4" i="27"/>
  <c r="X114" i="24"/>
  <c r="Z114" i="24" s="1"/>
  <c r="L114" i="24"/>
  <c r="N114" i="24" s="1"/>
  <c r="Z110" i="24"/>
  <c r="T110" i="24"/>
  <c r="P110" i="24"/>
  <c r="X110" i="24" s="1"/>
  <c r="N110" i="24"/>
  <c r="H110" i="24"/>
  <c r="D110" i="24"/>
  <c r="L110" i="24" s="1"/>
  <c r="Z108" i="24"/>
  <c r="X108" i="24"/>
  <c r="L108" i="24"/>
  <c r="N108" i="24" s="1"/>
  <c r="B108" i="24"/>
  <c r="T107" i="24"/>
  <c r="P107" i="24"/>
  <c r="X107" i="24" s="1"/>
  <c r="Z107" i="24" s="1"/>
  <c r="L107" i="24"/>
  <c r="J107" i="24"/>
  <c r="H107" i="24"/>
  <c r="N107" i="24" s="1"/>
  <c r="D107" i="24"/>
  <c r="B107" i="24"/>
  <c r="Z106" i="24"/>
  <c r="X106" i="24"/>
  <c r="N106" i="24"/>
  <c r="L106" i="24"/>
  <c r="F106" i="24"/>
  <c r="B106" i="24"/>
  <c r="X105" i="24"/>
  <c r="Z105" i="24" s="1"/>
  <c r="L105" i="24"/>
  <c r="N105" i="24" s="1"/>
  <c r="B105" i="24"/>
  <c r="Z104" i="24"/>
  <c r="X104" i="24"/>
  <c r="N104" i="24"/>
  <c r="L104" i="24"/>
  <c r="B104" i="24"/>
  <c r="X103" i="24"/>
  <c r="T103" i="24"/>
  <c r="Z103" i="24" s="1"/>
  <c r="R103" i="24"/>
  <c r="P103" i="24"/>
  <c r="H103" i="24"/>
  <c r="D103" i="24"/>
  <c r="L103" i="24" s="1"/>
  <c r="N103" i="24" s="1"/>
  <c r="B103" i="24"/>
  <c r="Z102" i="24"/>
  <c r="X102" i="24"/>
  <c r="N102" i="24"/>
  <c r="L102" i="24"/>
  <c r="B102" i="24"/>
  <c r="T101" i="24"/>
  <c r="P101" i="24"/>
  <c r="X101" i="24" s="1"/>
  <c r="N101" i="24"/>
  <c r="L101" i="24"/>
  <c r="H101" i="24"/>
  <c r="D101" i="24"/>
  <c r="B101" i="24"/>
  <c r="Z100" i="24"/>
  <c r="X100" i="24"/>
  <c r="L100" i="24"/>
  <c r="N100" i="24" s="1"/>
  <c r="B100" i="24"/>
  <c r="Z99" i="24"/>
  <c r="X99" i="24"/>
  <c r="L99" i="24"/>
  <c r="N99" i="24" s="1"/>
  <c r="B99" i="24"/>
  <c r="T98" i="24"/>
  <c r="P98" i="24"/>
  <c r="X98" i="24" s="1"/>
  <c r="Z98" i="24" s="1"/>
  <c r="H98" i="24"/>
  <c r="D98" i="24"/>
  <c r="L98" i="24" s="1"/>
  <c r="N98" i="24" s="1"/>
  <c r="B98" i="24"/>
  <c r="Z97" i="24"/>
  <c r="X97" i="24"/>
  <c r="N97" i="24"/>
  <c r="L97" i="24"/>
  <c r="B97" i="24"/>
  <c r="Z96" i="24"/>
  <c r="X96" i="24"/>
  <c r="T96" i="24"/>
  <c r="P96" i="24"/>
  <c r="N96" i="24"/>
  <c r="L96" i="24"/>
  <c r="H96" i="24"/>
  <c r="D96" i="24"/>
  <c r="B96" i="24"/>
  <c r="Z95" i="24"/>
  <c r="X95" i="24"/>
  <c r="N95" i="24"/>
  <c r="L95" i="24"/>
  <c r="B95" i="24"/>
  <c r="T94" i="24"/>
  <c r="Z94" i="24" s="1"/>
  <c r="P94" i="24"/>
  <c r="X94" i="24" s="1"/>
  <c r="L94" i="24"/>
  <c r="H94" i="24"/>
  <c r="N94" i="24" s="1"/>
  <c r="D94" i="24"/>
  <c r="B94" i="24"/>
  <c r="X93" i="24"/>
  <c r="Z93" i="24" s="1"/>
  <c r="N93" i="24"/>
  <c r="L93" i="24"/>
  <c r="B93" i="24"/>
  <c r="T92" i="24"/>
  <c r="P92" i="24"/>
  <c r="X92" i="24" s="1"/>
  <c r="Z92" i="24" s="1"/>
  <c r="N92" i="24"/>
  <c r="H92" i="24"/>
  <c r="D92" i="24"/>
  <c r="L92" i="24" s="1"/>
  <c r="B92" i="24"/>
  <c r="X91" i="24"/>
  <c r="Z91" i="24" s="1"/>
  <c r="N91" i="24"/>
  <c r="L91" i="24"/>
  <c r="B91" i="24"/>
  <c r="X90" i="24"/>
  <c r="Z90" i="24" s="1"/>
  <c r="N90" i="24"/>
  <c r="L90" i="24"/>
  <c r="B90" i="24"/>
  <c r="T89" i="24"/>
  <c r="P89" i="24"/>
  <c r="X89" i="24" s="1"/>
  <c r="Z89" i="24" s="1"/>
  <c r="L89" i="24"/>
  <c r="H89" i="24"/>
  <c r="N89" i="24" s="1"/>
  <c r="D89" i="24"/>
  <c r="B89" i="24"/>
  <c r="X88" i="24"/>
  <c r="Z88" i="24" s="1"/>
  <c r="N88" i="24"/>
  <c r="L88" i="24"/>
  <c r="B88" i="24"/>
  <c r="Z87" i="24"/>
  <c r="X87" i="24"/>
  <c r="T87" i="24"/>
  <c r="P87" i="24"/>
  <c r="H87" i="24"/>
  <c r="N87" i="24" s="1"/>
  <c r="D87" i="24"/>
  <c r="L87" i="24" s="1"/>
  <c r="B87" i="24"/>
  <c r="Z86" i="24"/>
  <c r="X86" i="24"/>
  <c r="L86" i="24"/>
  <c r="N86" i="24" s="1"/>
  <c r="B86" i="24"/>
  <c r="T85" i="24"/>
  <c r="P85" i="24"/>
  <c r="H85" i="24"/>
  <c r="D85" i="24"/>
  <c r="L85" i="24" s="1"/>
  <c r="N85" i="24" s="1"/>
  <c r="B85" i="24"/>
  <c r="X84" i="24"/>
  <c r="Z84" i="24" s="1"/>
  <c r="L84" i="24"/>
  <c r="N84" i="24" s="1"/>
  <c r="B84" i="24"/>
  <c r="X83" i="24"/>
  <c r="Z83" i="24" s="1"/>
  <c r="N83" i="24"/>
  <c r="L83" i="24"/>
  <c r="B83" i="24"/>
  <c r="Z82" i="24"/>
  <c r="X82" i="24"/>
  <c r="N82" i="24"/>
  <c r="L82" i="24"/>
  <c r="B82" i="24"/>
  <c r="Z81" i="24"/>
  <c r="X81" i="24"/>
  <c r="L81" i="24"/>
  <c r="N81" i="24" s="1"/>
  <c r="B81" i="24"/>
  <c r="X80" i="24"/>
  <c r="Z80" i="24" s="1"/>
  <c r="T80" i="24"/>
  <c r="P80" i="24"/>
  <c r="L80" i="24"/>
  <c r="N80" i="24" s="1"/>
  <c r="H80" i="24"/>
  <c r="D80" i="24"/>
  <c r="B80" i="24"/>
  <c r="Z79" i="24"/>
  <c r="X79" i="24"/>
  <c r="N79" i="24"/>
  <c r="L79" i="24"/>
  <c r="B79" i="24"/>
  <c r="Z78" i="24"/>
  <c r="X78" i="24"/>
  <c r="N78" i="24"/>
  <c r="L78" i="24"/>
  <c r="B78" i="24"/>
  <c r="X77" i="24"/>
  <c r="Z77" i="24" s="1"/>
  <c r="L77" i="24"/>
  <c r="N77" i="24" s="1"/>
  <c r="J77" i="24"/>
  <c r="B77" i="24"/>
  <c r="X76" i="24"/>
  <c r="Z76" i="24" s="1"/>
  <c r="N76" i="24"/>
  <c r="L76" i="24"/>
  <c r="B76" i="24"/>
  <c r="Z75" i="24"/>
  <c r="X75" i="24"/>
  <c r="N75" i="24"/>
  <c r="L75" i="24"/>
  <c r="B75" i="24"/>
  <c r="Z74" i="24"/>
  <c r="X74" i="24"/>
  <c r="N74" i="24"/>
  <c r="L74" i="24"/>
  <c r="B74" i="24"/>
  <c r="X73" i="24"/>
  <c r="Z73" i="24" s="1"/>
  <c r="L73" i="24"/>
  <c r="N73" i="24" s="1"/>
  <c r="J73" i="24"/>
  <c r="B73" i="24"/>
  <c r="X72" i="24"/>
  <c r="Z72" i="24" s="1"/>
  <c r="N72" i="24"/>
  <c r="L72" i="24"/>
  <c r="B72" i="24"/>
  <c r="Z71" i="24"/>
  <c r="X71" i="24"/>
  <c r="T71" i="24"/>
  <c r="P71" i="24"/>
  <c r="H71" i="24"/>
  <c r="N71" i="24" s="1"/>
  <c r="D71" i="24"/>
  <c r="L71" i="24" s="1"/>
  <c r="B71" i="24"/>
  <c r="T70" i="24"/>
  <c r="P70" i="24"/>
  <c r="X70" i="24" s="1"/>
  <c r="Z70" i="24" s="1"/>
  <c r="H70" i="24"/>
  <c r="D70" i="24"/>
  <c r="L70" i="24" s="1"/>
  <c r="N70" i="24" s="1"/>
  <c r="Z66" i="24"/>
  <c r="X66" i="24"/>
  <c r="L66" i="24"/>
  <c r="N66" i="24" s="1"/>
  <c r="B66" i="24"/>
  <c r="X65" i="24"/>
  <c r="Z65" i="24" s="1"/>
  <c r="N65" i="24"/>
  <c r="L65" i="24"/>
  <c r="B65" i="24"/>
  <c r="Z64" i="24"/>
  <c r="X64" i="24"/>
  <c r="L64" i="24"/>
  <c r="N64" i="24" s="1"/>
  <c r="B64" i="24"/>
  <c r="Z63" i="24"/>
  <c r="X63" i="24"/>
  <c r="N63" i="24"/>
  <c r="L63" i="24"/>
  <c r="B63" i="24"/>
  <c r="Z62" i="24"/>
  <c r="X62" i="24"/>
  <c r="L62" i="24"/>
  <c r="N62" i="24" s="1"/>
  <c r="B62" i="24"/>
  <c r="X61" i="24"/>
  <c r="Z61" i="24" s="1"/>
  <c r="N61" i="24"/>
  <c r="L61" i="24"/>
  <c r="B61" i="24"/>
  <c r="Z60" i="24"/>
  <c r="X60" i="24"/>
  <c r="L60" i="24"/>
  <c r="N60" i="24" s="1"/>
  <c r="B60" i="24"/>
  <c r="Z59" i="24"/>
  <c r="X59" i="24"/>
  <c r="L59" i="24"/>
  <c r="N59" i="24" s="1"/>
  <c r="B59" i="24"/>
  <c r="Z58" i="24"/>
  <c r="X58" i="24"/>
  <c r="L58" i="24"/>
  <c r="N58" i="24" s="1"/>
  <c r="B58" i="24"/>
  <c r="X57" i="24"/>
  <c r="Z57" i="24" s="1"/>
  <c r="N57" i="24"/>
  <c r="L57" i="24"/>
  <c r="B57" i="24"/>
  <c r="Z56" i="24"/>
  <c r="X56" i="24"/>
  <c r="L56" i="24"/>
  <c r="N56" i="24" s="1"/>
  <c r="B56" i="24"/>
  <c r="Z55" i="24"/>
  <c r="X55" i="24"/>
  <c r="L55" i="24"/>
  <c r="N55" i="24" s="1"/>
  <c r="B55" i="24"/>
  <c r="Z54" i="24"/>
  <c r="X54" i="24"/>
  <c r="L54" i="24"/>
  <c r="N54" i="24" s="1"/>
  <c r="B54" i="24"/>
  <c r="X53" i="24"/>
  <c r="Z53" i="24" s="1"/>
  <c r="N53" i="24"/>
  <c r="L53" i="24"/>
  <c r="B53" i="24"/>
  <c r="Z52" i="24"/>
  <c r="X52" i="24"/>
  <c r="L52" i="24"/>
  <c r="N52" i="24" s="1"/>
  <c r="B52" i="24"/>
  <c r="Z51" i="24"/>
  <c r="X51" i="24"/>
  <c r="L51" i="24"/>
  <c r="N51" i="24" s="1"/>
  <c r="B51" i="24"/>
  <c r="Z50" i="24"/>
  <c r="X50" i="24"/>
  <c r="L50" i="24"/>
  <c r="N50" i="24" s="1"/>
  <c r="B50" i="24"/>
  <c r="X49" i="24"/>
  <c r="Z49" i="24" s="1"/>
  <c r="N49" i="24"/>
  <c r="L49" i="24"/>
  <c r="B49" i="24"/>
  <c r="Z48" i="24"/>
  <c r="X48" i="24"/>
  <c r="L48" i="24"/>
  <c r="N48" i="24" s="1"/>
  <c r="B48" i="24"/>
  <c r="Z47" i="24"/>
  <c r="X47" i="24"/>
  <c r="L47" i="24"/>
  <c r="N47" i="24" s="1"/>
  <c r="B47" i="24"/>
  <c r="Z46" i="24"/>
  <c r="X46" i="24"/>
  <c r="L46" i="24"/>
  <c r="N46" i="24" s="1"/>
  <c r="B46" i="24"/>
  <c r="T45" i="24"/>
  <c r="P45" i="24"/>
  <c r="H45" i="24"/>
  <c r="D45" i="24"/>
  <c r="L45" i="24" s="1"/>
  <c r="N45" i="24" s="1"/>
  <c r="T43" i="24"/>
  <c r="P43" i="24"/>
  <c r="H43" i="24"/>
  <c r="D43" i="24"/>
  <c r="B43" i="24"/>
  <c r="T42" i="24"/>
  <c r="P42" i="24"/>
  <c r="X42" i="24" s="1"/>
  <c r="L42" i="24"/>
  <c r="H42" i="24"/>
  <c r="D42" i="24"/>
  <c r="B42" i="24"/>
  <c r="T41" i="24"/>
  <c r="P41" i="24"/>
  <c r="X41" i="24" s="1"/>
  <c r="L41" i="24"/>
  <c r="H41" i="24"/>
  <c r="N41" i="24" s="1"/>
  <c r="D41" i="24"/>
  <c r="B41" i="24"/>
  <c r="T40" i="24"/>
  <c r="P40" i="24"/>
  <c r="X40" i="24" s="1"/>
  <c r="Z40" i="24" s="1"/>
  <c r="L40" i="24"/>
  <c r="H40" i="24"/>
  <c r="N40" i="24" s="1"/>
  <c r="D40" i="24"/>
  <c r="B40" i="24"/>
  <c r="T39" i="24"/>
  <c r="P39" i="24"/>
  <c r="X39" i="24" s="1"/>
  <c r="L39" i="24"/>
  <c r="H39" i="24"/>
  <c r="N39" i="24" s="1"/>
  <c r="D39" i="24"/>
  <c r="B39" i="24"/>
  <c r="T38" i="24"/>
  <c r="P38" i="24"/>
  <c r="X38" i="24" s="1"/>
  <c r="L38" i="24"/>
  <c r="H38" i="24"/>
  <c r="D38" i="24"/>
  <c r="B38" i="24"/>
  <c r="T37" i="24"/>
  <c r="P37" i="24"/>
  <c r="X37" i="24" s="1"/>
  <c r="L37" i="24"/>
  <c r="H37" i="24"/>
  <c r="N37" i="24" s="1"/>
  <c r="D37" i="24"/>
  <c r="B37" i="24"/>
  <c r="T36" i="24"/>
  <c r="P36" i="24"/>
  <c r="X36" i="24" s="1"/>
  <c r="Z36" i="24" s="1"/>
  <c r="L36" i="24"/>
  <c r="H36" i="24"/>
  <c r="N36" i="24" s="1"/>
  <c r="D36" i="24"/>
  <c r="B36" i="24"/>
  <c r="T35" i="24"/>
  <c r="P35" i="24"/>
  <c r="X35" i="24" s="1"/>
  <c r="L35" i="24"/>
  <c r="H35" i="24"/>
  <c r="N35" i="24" s="1"/>
  <c r="D35" i="24"/>
  <c r="B35" i="24"/>
  <c r="T34" i="24"/>
  <c r="P34" i="24"/>
  <c r="X34" i="24" s="1"/>
  <c r="L34" i="24"/>
  <c r="H34" i="24"/>
  <c r="D34" i="24"/>
  <c r="B34" i="24"/>
  <c r="T33" i="24"/>
  <c r="P33" i="24"/>
  <c r="X33" i="24" s="1"/>
  <c r="L33" i="24"/>
  <c r="H33" i="24"/>
  <c r="N33" i="24" s="1"/>
  <c r="D33" i="24"/>
  <c r="B33" i="24"/>
  <c r="T32" i="24"/>
  <c r="P32" i="24"/>
  <c r="X32" i="24" s="1"/>
  <c r="Z32" i="24" s="1"/>
  <c r="L32" i="24"/>
  <c r="H32" i="24"/>
  <c r="N32" i="24" s="1"/>
  <c r="D32" i="24"/>
  <c r="B32" i="24"/>
  <c r="T31" i="24"/>
  <c r="P31" i="24"/>
  <c r="X31" i="24" s="1"/>
  <c r="L31" i="24"/>
  <c r="H31" i="24"/>
  <c r="N31" i="24" s="1"/>
  <c r="D31" i="24"/>
  <c r="B31" i="24"/>
  <c r="T30" i="24"/>
  <c r="P30" i="24"/>
  <c r="X30" i="24" s="1"/>
  <c r="L30" i="24"/>
  <c r="H30" i="24"/>
  <c r="D30" i="24"/>
  <c r="B30" i="24"/>
  <c r="T29" i="24"/>
  <c r="P29" i="24"/>
  <c r="X29" i="24" s="1"/>
  <c r="L29" i="24"/>
  <c r="H29" i="24"/>
  <c r="N29" i="24" s="1"/>
  <c r="D29" i="24"/>
  <c r="B29" i="24"/>
  <c r="T28" i="24"/>
  <c r="P28" i="24"/>
  <c r="X28" i="24" s="1"/>
  <c r="Z28" i="24" s="1"/>
  <c r="L28" i="24"/>
  <c r="H28" i="24"/>
  <c r="N28" i="24" s="1"/>
  <c r="D28" i="24"/>
  <c r="B28" i="24"/>
  <c r="T27" i="24"/>
  <c r="P27" i="24"/>
  <c r="X27" i="24" s="1"/>
  <c r="L27" i="24"/>
  <c r="H27" i="24"/>
  <c r="N27" i="24" s="1"/>
  <c r="D27" i="24"/>
  <c r="B27" i="24"/>
  <c r="T26" i="24"/>
  <c r="P26" i="24"/>
  <c r="X26" i="24" s="1"/>
  <c r="L26" i="24"/>
  <c r="H26" i="24"/>
  <c r="D26" i="24"/>
  <c r="B26" i="24"/>
  <c r="T25" i="24"/>
  <c r="P25" i="24"/>
  <c r="X25" i="24" s="1"/>
  <c r="L25" i="24"/>
  <c r="H25" i="24"/>
  <c r="N25" i="24" s="1"/>
  <c r="D25" i="24"/>
  <c r="B25" i="24"/>
  <c r="T24" i="24"/>
  <c r="P24" i="24"/>
  <c r="X24" i="24" s="1"/>
  <c r="Z24" i="24" s="1"/>
  <c r="L24" i="24"/>
  <c r="H24" i="24"/>
  <c r="N24" i="24" s="1"/>
  <c r="D24" i="24"/>
  <c r="B24" i="24"/>
  <c r="T23" i="24"/>
  <c r="P23" i="24"/>
  <c r="X23" i="24" s="1"/>
  <c r="L23" i="24"/>
  <c r="H23" i="24"/>
  <c r="N23" i="24" s="1"/>
  <c r="D23" i="24"/>
  <c r="B23" i="24"/>
  <c r="T22" i="24"/>
  <c r="P22" i="24"/>
  <c r="X22" i="24" s="1"/>
  <c r="L22" i="24"/>
  <c r="H22" i="24"/>
  <c r="D22" i="24"/>
  <c r="B22" i="24"/>
  <c r="T21" i="24"/>
  <c r="P21" i="24"/>
  <c r="X21" i="24" s="1"/>
  <c r="L21" i="24"/>
  <c r="H21" i="24"/>
  <c r="N21" i="24" s="1"/>
  <c r="D21" i="24"/>
  <c r="B21" i="24"/>
  <c r="T20" i="24"/>
  <c r="P20" i="24"/>
  <c r="X20" i="24" s="1"/>
  <c r="Z20" i="24" s="1"/>
  <c r="L20" i="24"/>
  <c r="H20" i="24"/>
  <c r="N20" i="24" s="1"/>
  <c r="D20" i="24"/>
  <c r="B20" i="24"/>
  <c r="T19" i="24"/>
  <c r="P19" i="24"/>
  <c r="X19" i="24" s="1"/>
  <c r="L19" i="24"/>
  <c r="H19" i="24"/>
  <c r="N19" i="24" s="1"/>
  <c r="D19" i="24"/>
  <c r="B19" i="24"/>
  <c r="T18" i="24"/>
  <c r="P18" i="24"/>
  <c r="X18" i="24" s="1"/>
  <c r="L18" i="24"/>
  <c r="H18" i="24"/>
  <c r="D18" i="24"/>
  <c r="B18" i="24"/>
  <c r="T17" i="24"/>
  <c r="P17" i="24"/>
  <c r="X17" i="24" s="1"/>
  <c r="L17" i="24"/>
  <c r="H17" i="24"/>
  <c r="N17" i="24" s="1"/>
  <c r="D17" i="24"/>
  <c r="B17" i="24"/>
  <c r="T16" i="24"/>
  <c r="P16" i="24"/>
  <c r="X16" i="24" s="1"/>
  <c r="Z16" i="24" s="1"/>
  <c r="L16" i="24"/>
  <c r="H16" i="24"/>
  <c r="N16" i="24" s="1"/>
  <c r="D16" i="24"/>
  <c r="B16" i="24"/>
  <c r="T15" i="24"/>
  <c r="P15" i="24"/>
  <c r="P12" i="24" s="1"/>
  <c r="R74" i="24" s="1"/>
  <c r="L15" i="24"/>
  <c r="H15" i="24"/>
  <c r="N15" i="24" s="1"/>
  <c r="D15" i="24"/>
  <c r="B15" i="24"/>
  <c r="T14" i="24"/>
  <c r="P14" i="24"/>
  <c r="X14" i="24" s="1"/>
  <c r="L14" i="24"/>
  <c r="H14" i="24"/>
  <c r="H12" i="24" s="1"/>
  <c r="D14" i="24"/>
  <c r="B14" i="24"/>
  <c r="T13" i="24"/>
  <c r="P13" i="24"/>
  <c r="X13" i="24" s="1"/>
  <c r="L13" i="24"/>
  <c r="H13" i="24"/>
  <c r="N13" i="24" s="1"/>
  <c r="D13" i="24"/>
  <c r="D12" i="24" s="1"/>
  <c r="B13" i="24"/>
  <c r="D4" i="24"/>
  <c r="Z94" i="21"/>
  <c r="X94" i="21"/>
  <c r="N94" i="21"/>
  <c r="L94" i="21"/>
  <c r="X90" i="21"/>
  <c r="T90" i="21"/>
  <c r="Z90" i="21" s="1"/>
  <c r="P90" i="21"/>
  <c r="N90" i="21"/>
  <c r="L90" i="21"/>
  <c r="H90" i="21"/>
  <c r="D90" i="21"/>
  <c r="X88" i="21"/>
  <c r="Z88" i="21" s="1"/>
  <c r="N88" i="21"/>
  <c r="L88" i="21"/>
  <c r="B88" i="21"/>
  <c r="X87" i="21"/>
  <c r="Z87" i="21" s="1"/>
  <c r="T87" i="21"/>
  <c r="P87" i="21"/>
  <c r="L87" i="21"/>
  <c r="N87" i="21" s="1"/>
  <c r="H87" i="21"/>
  <c r="D87" i="21"/>
  <c r="B87" i="21"/>
  <c r="Z86" i="21"/>
  <c r="X86" i="21"/>
  <c r="L86" i="21"/>
  <c r="N86" i="21" s="1"/>
  <c r="B86" i="21"/>
  <c r="T85" i="21"/>
  <c r="P85" i="21"/>
  <c r="H85" i="21"/>
  <c r="D85" i="21"/>
  <c r="L85" i="21" s="1"/>
  <c r="B85" i="21"/>
  <c r="Z84" i="21"/>
  <c r="X84" i="21"/>
  <c r="L84" i="21"/>
  <c r="N84" i="21" s="1"/>
  <c r="B84" i="21"/>
  <c r="Z83" i="21"/>
  <c r="X83" i="21"/>
  <c r="L83" i="21"/>
  <c r="N83" i="21" s="1"/>
  <c r="B83" i="21"/>
  <c r="X82" i="21"/>
  <c r="Z82" i="21" s="1"/>
  <c r="L82" i="21"/>
  <c r="N82" i="21" s="1"/>
  <c r="B82" i="21"/>
  <c r="X81" i="21"/>
  <c r="Z81" i="21" s="1"/>
  <c r="L81" i="21"/>
  <c r="N81" i="21" s="1"/>
  <c r="B81" i="21"/>
  <c r="Z80" i="21"/>
  <c r="X80" i="21"/>
  <c r="N80" i="21"/>
  <c r="L80" i="21"/>
  <c r="B80" i="21"/>
  <c r="Z79" i="21"/>
  <c r="X79" i="21"/>
  <c r="L79" i="21"/>
  <c r="N79" i="21" s="1"/>
  <c r="B79" i="21"/>
  <c r="T78" i="21"/>
  <c r="Z78" i="21" s="1"/>
  <c r="P78" i="21"/>
  <c r="X78" i="21" s="1"/>
  <c r="H78" i="21"/>
  <c r="D78" i="21"/>
  <c r="L78" i="21" s="1"/>
  <c r="N78" i="21" s="1"/>
  <c r="B78" i="21"/>
  <c r="X77" i="21"/>
  <c r="Z77" i="21" s="1"/>
  <c r="N77" i="21"/>
  <c r="L77" i="21"/>
  <c r="B77" i="21"/>
  <c r="X76" i="21"/>
  <c r="T76" i="21"/>
  <c r="Z76" i="21" s="1"/>
  <c r="P76" i="21"/>
  <c r="L76" i="21"/>
  <c r="N76" i="21" s="1"/>
  <c r="H76" i="21"/>
  <c r="D76" i="21"/>
  <c r="B76" i="21"/>
  <c r="Z75" i="21"/>
  <c r="X75" i="21"/>
  <c r="N75" i="21"/>
  <c r="L75" i="21"/>
  <c r="B75" i="21"/>
  <c r="Z74" i="21"/>
  <c r="X74" i="21"/>
  <c r="L74" i="21"/>
  <c r="N74" i="21" s="1"/>
  <c r="B74" i="21"/>
  <c r="Z73" i="21"/>
  <c r="X73" i="21"/>
  <c r="N73" i="21"/>
  <c r="L73" i="21"/>
  <c r="B73" i="21"/>
  <c r="Z72" i="21"/>
  <c r="X72" i="21"/>
  <c r="N72" i="21"/>
  <c r="L72" i="21"/>
  <c r="B72" i="21"/>
  <c r="T71" i="21"/>
  <c r="P71" i="21"/>
  <c r="H71" i="21"/>
  <c r="D71" i="21"/>
  <c r="B71" i="21"/>
  <c r="X70" i="21"/>
  <c r="Z70" i="21" s="1"/>
  <c r="L70" i="21"/>
  <c r="N70" i="21" s="1"/>
  <c r="B70" i="21"/>
  <c r="Z69" i="21"/>
  <c r="X69" i="21"/>
  <c r="N69" i="21"/>
  <c r="L69" i="21"/>
  <c r="B69" i="21"/>
  <c r="T68" i="21"/>
  <c r="P68" i="21"/>
  <c r="X68" i="21" s="1"/>
  <c r="Z68" i="21" s="1"/>
  <c r="H68" i="21"/>
  <c r="D68" i="21"/>
  <c r="L68" i="21" s="1"/>
  <c r="B68" i="21"/>
  <c r="X67" i="21"/>
  <c r="Z67" i="21" s="1"/>
  <c r="N67" i="21"/>
  <c r="L67" i="21"/>
  <c r="F67" i="21"/>
  <c r="B67" i="21"/>
  <c r="X66" i="21"/>
  <c r="Z66" i="21" s="1"/>
  <c r="T66" i="21"/>
  <c r="P66" i="21"/>
  <c r="L66" i="21"/>
  <c r="H66" i="21"/>
  <c r="F66" i="21"/>
  <c r="D66" i="21"/>
  <c r="B66" i="21"/>
  <c r="Z65" i="21"/>
  <c r="X65" i="21"/>
  <c r="L65" i="21"/>
  <c r="N65" i="21" s="1"/>
  <c r="B65" i="21"/>
  <c r="Z64" i="21"/>
  <c r="X64" i="21"/>
  <c r="T64" i="21"/>
  <c r="P64" i="21"/>
  <c r="H64" i="21"/>
  <c r="D64" i="21"/>
  <c r="B64" i="21"/>
  <c r="Z63" i="21"/>
  <c r="X63" i="21"/>
  <c r="L63" i="21"/>
  <c r="N63" i="21" s="1"/>
  <c r="B63" i="21"/>
  <c r="T62" i="21"/>
  <c r="P62" i="21"/>
  <c r="X62" i="21" s="1"/>
  <c r="H62" i="21"/>
  <c r="D62" i="21"/>
  <c r="L62" i="21" s="1"/>
  <c r="N62" i="21" s="1"/>
  <c r="B62" i="21"/>
  <c r="X61" i="21"/>
  <c r="Z61" i="21" s="1"/>
  <c r="N61" i="21"/>
  <c r="L61" i="21"/>
  <c r="B61" i="21"/>
  <c r="X60" i="21"/>
  <c r="T60" i="21"/>
  <c r="P60" i="21"/>
  <c r="L60" i="21"/>
  <c r="N60" i="21" s="1"/>
  <c r="H60" i="21"/>
  <c r="D60" i="21"/>
  <c r="B60" i="21"/>
  <c r="Z59" i="21"/>
  <c r="X59" i="21"/>
  <c r="N59" i="21"/>
  <c r="L59" i="21"/>
  <c r="B59" i="21"/>
  <c r="T58" i="21"/>
  <c r="P58" i="21"/>
  <c r="N58" i="21"/>
  <c r="L58" i="21"/>
  <c r="H58" i="21"/>
  <c r="D58" i="21"/>
  <c r="B58" i="21"/>
  <c r="Z57" i="21"/>
  <c r="X57" i="21"/>
  <c r="L57" i="21"/>
  <c r="N57" i="21" s="1"/>
  <c r="B57" i="21"/>
  <c r="T56" i="21"/>
  <c r="P56" i="21"/>
  <c r="X56" i="21" s="1"/>
  <c r="Z56" i="21" s="1"/>
  <c r="H56" i="21"/>
  <c r="N56" i="21" s="1"/>
  <c r="D56" i="21"/>
  <c r="L56" i="21" s="1"/>
  <c r="B56" i="21"/>
  <c r="X55" i="21"/>
  <c r="Z55" i="21" s="1"/>
  <c r="N55" i="21"/>
  <c r="L55" i="21"/>
  <c r="F55" i="21"/>
  <c r="B55" i="21"/>
  <c r="X54" i="21"/>
  <c r="Z54" i="21" s="1"/>
  <c r="T54" i="21"/>
  <c r="P54" i="21"/>
  <c r="L54" i="21"/>
  <c r="H54" i="21"/>
  <c r="F54" i="21"/>
  <c r="D54" i="21"/>
  <c r="B54" i="21"/>
  <c r="Z53" i="21"/>
  <c r="X53" i="21"/>
  <c r="N53" i="21"/>
  <c r="L53" i="21"/>
  <c r="B53" i="21"/>
  <c r="Z52" i="21"/>
  <c r="X52" i="21"/>
  <c r="N52" i="21"/>
  <c r="L52" i="21"/>
  <c r="B52" i="21"/>
  <c r="T51" i="21"/>
  <c r="P51" i="21"/>
  <c r="X51" i="21" s="1"/>
  <c r="H51" i="21"/>
  <c r="D51" i="21"/>
  <c r="B51" i="21"/>
  <c r="X50" i="21"/>
  <c r="Z50" i="21" s="1"/>
  <c r="L50" i="21"/>
  <c r="N50" i="21" s="1"/>
  <c r="B50" i="21"/>
  <c r="T49" i="21"/>
  <c r="P49" i="21"/>
  <c r="X49" i="21" s="1"/>
  <c r="Z49" i="21" s="1"/>
  <c r="H49" i="21"/>
  <c r="D49" i="21"/>
  <c r="L49" i="21" s="1"/>
  <c r="N49" i="21" s="1"/>
  <c r="B49" i="21"/>
  <c r="X48" i="21"/>
  <c r="Z48" i="21" s="1"/>
  <c r="N48" i="21"/>
  <c r="L48" i="21"/>
  <c r="B48" i="21"/>
  <c r="X47" i="21"/>
  <c r="Z47" i="21" s="1"/>
  <c r="T47" i="21"/>
  <c r="P47" i="21"/>
  <c r="L47" i="21"/>
  <c r="H47" i="21"/>
  <c r="N47" i="21" s="1"/>
  <c r="D47" i="21"/>
  <c r="B47" i="21"/>
  <c r="Z46" i="21"/>
  <c r="X46" i="21"/>
  <c r="L46" i="21"/>
  <c r="N46" i="21" s="1"/>
  <c r="B46" i="21"/>
  <c r="T45" i="21"/>
  <c r="P45" i="21"/>
  <c r="H45" i="21"/>
  <c r="D45" i="21"/>
  <c r="L45" i="21" s="1"/>
  <c r="B45" i="21"/>
  <c r="Z44" i="21"/>
  <c r="X44" i="21"/>
  <c r="L44" i="21"/>
  <c r="N44" i="21" s="1"/>
  <c r="B44" i="21"/>
  <c r="Z43" i="21"/>
  <c r="X43" i="21"/>
  <c r="L43" i="21"/>
  <c r="N43" i="21" s="1"/>
  <c r="B43" i="21"/>
  <c r="X42" i="21"/>
  <c r="Z42" i="21" s="1"/>
  <c r="L42" i="21"/>
  <c r="N42" i="21" s="1"/>
  <c r="B42" i="21"/>
  <c r="Z41" i="21"/>
  <c r="X41" i="21"/>
  <c r="L41" i="21"/>
  <c r="N41" i="21" s="1"/>
  <c r="B41" i="21"/>
  <c r="Z40" i="21"/>
  <c r="X40" i="21"/>
  <c r="L40" i="21"/>
  <c r="N40" i="21" s="1"/>
  <c r="B40" i="21"/>
  <c r="Z39" i="21"/>
  <c r="X39" i="21"/>
  <c r="L39" i="21"/>
  <c r="N39" i="21" s="1"/>
  <c r="B39" i="21"/>
  <c r="T38" i="21"/>
  <c r="Z38" i="21" s="1"/>
  <c r="P38" i="21"/>
  <c r="X38" i="21" s="1"/>
  <c r="H38" i="21"/>
  <c r="D38" i="21"/>
  <c r="L38" i="21" s="1"/>
  <c r="N38" i="21" s="1"/>
  <c r="B38" i="21"/>
  <c r="X37" i="21"/>
  <c r="Z37" i="21" s="1"/>
  <c r="N37" i="21"/>
  <c r="L37" i="21"/>
  <c r="B37" i="21"/>
  <c r="X36" i="21"/>
  <c r="Z36" i="21" s="1"/>
  <c r="N36" i="21"/>
  <c r="L36" i="21"/>
  <c r="B36" i="21"/>
  <c r="X35" i="21"/>
  <c r="Z35" i="21" s="1"/>
  <c r="N35" i="21"/>
  <c r="L35" i="21"/>
  <c r="F35" i="21"/>
  <c r="B35" i="21"/>
  <c r="X34" i="21"/>
  <c r="Z34" i="21" s="1"/>
  <c r="N34" i="21"/>
  <c r="L34" i="21"/>
  <c r="F34" i="21"/>
  <c r="B34" i="21"/>
  <c r="X33" i="21"/>
  <c r="Z33" i="21" s="1"/>
  <c r="N33" i="21"/>
  <c r="L33" i="21"/>
  <c r="B33" i="21"/>
  <c r="X32" i="21"/>
  <c r="Z32" i="21" s="1"/>
  <c r="N32" i="21"/>
  <c r="L32" i="21"/>
  <c r="B32" i="21"/>
  <c r="X31" i="21"/>
  <c r="Z31" i="21" s="1"/>
  <c r="N31" i="21"/>
  <c r="L31" i="21"/>
  <c r="F31" i="21"/>
  <c r="B31" i="21"/>
  <c r="X30" i="21"/>
  <c r="Z30" i="21" s="1"/>
  <c r="N30" i="21"/>
  <c r="L30" i="21"/>
  <c r="F30" i="21"/>
  <c r="B30" i="21"/>
  <c r="X29" i="21"/>
  <c r="T29" i="21"/>
  <c r="P29" i="21"/>
  <c r="L29" i="21"/>
  <c r="N29" i="21" s="1"/>
  <c r="H29" i="21"/>
  <c r="F29" i="21"/>
  <c r="D29" i="21"/>
  <c r="B29" i="21"/>
  <c r="T28" i="21"/>
  <c r="X28" i="21" s="1"/>
  <c r="Z28" i="21" s="1"/>
  <c r="P28" i="21"/>
  <c r="H28" i="21"/>
  <c r="D28" i="21"/>
  <c r="L28" i="21" s="1"/>
  <c r="Z24" i="21"/>
  <c r="X24" i="21"/>
  <c r="L24" i="21"/>
  <c r="N24" i="21" s="1"/>
  <c r="B24" i="21"/>
  <c r="Z23" i="21"/>
  <c r="X23" i="21"/>
  <c r="N23" i="21"/>
  <c r="L23" i="21"/>
  <c r="B23" i="21"/>
  <c r="T22" i="21"/>
  <c r="P22" i="21"/>
  <c r="N22" i="21"/>
  <c r="H22" i="21"/>
  <c r="L22" i="21" s="1"/>
  <c r="D22" i="21"/>
  <c r="T20" i="21"/>
  <c r="P20" i="21"/>
  <c r="X20" i="21" s="1"/>
  <c r="Z20" i="21" s="1"/>
  <c r="H20" i="21"/>
  <c r="D20" i="21"/>
  <c r="L20" i="21" s="1"/>
  <c r="B20" i="21"/>
  <c r="T19" i="21"/>
  <c r="P19" i="21"/>
  <c r="X19" i="21" s="1"/>
  <c r="Z19" i="21" s="1"/>
  <c r="H19" i="21"/>
  <c r="D19" i="21"/>
  <c r="B19" i="21"/>
  <c r="Z18" i="21"/>
  <c r="T18" i="21"/>
  <c r="P18" i="21"/>
  <c r="X18" i="21" s="1"/>
  <c r="H18" i="21"/>
  <c r="D18" i="21"/>
  <c r="B18" i="21"/>
  <c r="T17" i="21"/>
  <c r="P17" i="21"/>
  <c r="X17" i="21" s="1"/>
  <c r="Z17" i="21" s="1"/>
  <c r="H17" i="21"/>
  <c r="L17" i="21" s="1"/>
  <c r="D17" i="21"/>
  <c r="B17" i="21"/>
  <c r="T16" i="21"/>
  <c r="P16" i="21"/>
  <c r="X16" i="21" s="1"/>
  <c r="Z16" i="21" s="1"/>
  <c r="H16" i="21"/>
  <c r="D16" i="21"/>
  <c r="L16" i="21" s="1"/>
  <c r="B16" i="21"/>
  <c r="T15" i="21"/>
  <c r="P15" i="21"/>
  <c r="X15" i="21" s="1"/>
  <c r="Z15" i="21" s="1"/>
  <c r="H15" i="21"/>
  <c r="D15" i="21"/>
  <c r="B15" i="21"/>
  <c r="T14" i="21"/>
  <c r="P14" i="21"/>
  <c r="X14" i="21" s="1"/>
  <c r="Z14" i="21" s="1"/>
  <c r="H14" i="21"/>
  <c r="D14" i="21"/>
  <c r="B14" i="21"/>
  <c r="T13" i="21"/>
  <c r="T12" i="21" s="1"/>
  <c r="V82" i="21" s="1"/>
  <c r="P13" i="21"/>
  <c r="X13" i="21" s="1"/>
  <c r="Z13" i="21" s="1"/>
  <c r="H13" i="21"/>
  <c r="L13" i="21" s="1"/>
  <c r="D13" i="21"/>
  <c r="B13" i="21"/>
  <c r="H12" i="21"/>
  <c r="D12" i="21"/>
  <c r="F81" i="21" s="1"/>
  <c r="D4" i="21"/>
  <c r="X275" i="18"/>
  <c r="Z275" i="18" s="1"/>
  <c r="N275" i="18"/>
  <c r="L275" i="18"/>
  <c r="Z271" i="18"/>
  <c r="T271" i="18"/>
  <c r="P271" i="18"/>
  <c r="X271" i="18" s="1"/>
  <c r="N271" i="18"/>
  <c r="H271" i="18"/>
  <c r="D271" i="18"/>
  <c r="L271" i="18" s="1"/>
  <c r="B271" i="18"/>
  <c r="X270" i="18"/>
  <c r="T270" i="18"/>
  <c r="Z270" i="18" s="1"/>
  <c r="P270" i="18"/>
  <c r="L270" i="18"/>
  <c r="H270" i="18"/>
  <c r="D270" i="18"/>
  <c r="B270" i="18"/>
  <c r="T269" i="18"/>
  <c r="X269" i="18" s="1"/>
  <c r="Z269" i="18" s="1"/>
  <c r="P269" i="18"/>
  <c r="H269" i="18"/>
  <c r="D269" i="18"/>
  <c r="B269" i="18"/>
  <c r="T268" i="18"/>
  <c r="P268" i="18"/>
  <c r="X268" i="18" s="1"/>
  <c r="Z268" i="18" s="1"/>
  <c r="H268" i="18"/>
  <c r="N268" i="18" s="1"/>
  <c r="D268" i="18"/>
  <c r="L268" i="18" s="1"/>
  <c r="B268" i="18"/>
  <c r="X267" i="18"/>
  <c r="Z267" i="18" s="1"/>
  <c r="T267" i="18"/>
  <c r="P267" i="18"/>
  <c r="L267" i="18"/>
  <c r="H267" i="18"/>
  <c r="D267" i="18"/>
  <c r="B267" i="18"/>
  <c r="T266" i="18"/>
  <c r="P266" i="18"/>
  <c r="X266" i="18" s="1"/>
  <c r="N266" i="18"/>
  <c r="H266" i="18"/>
  <c r="L266" i="18" s="1"/>
  <c r="D266" i="18"/>
  <c r="B266" i="18"/>
  <c r="T265" i="18"/>
  <c r="P265" i="18"/>
  <c r="X265" i="18" s="1"/>
  <c r="Z265" i="18" s="1"/>
  <c r="H265" i="18"/>
  <c r="D265" i="18"/>
  <c r="L265" i="18" s="1"/>
  <c r="N265" i="18" s="1"/>
  <c r="B265" i="18"/>
  <c r="X264" i="18"/>
  <c r="T264" i="18"/>
  <c r="Z264" i="18" s="1"/>
  <c r="P264" i="18"/>
  <c r="L264" i="18"/>
  <c r="H264" i="18"/>
  <c r="N264" i="18" s="1"/>
  <c r="D264" i="18"/>
  <c r="B264" i="18"/>
  <c r="T263" i="18"/>
  <c r="P263" i="18"/>
  <c r="H263" i="18"/>
  <c r="L263" i="18" s="1"/>
  <c r="N263" i="18" s="1"/>
  <c r="D263" i="18"/>
  <c r="B263" i="18"/>
  <c r="T262" i="18"/>
  <c r="P262" i="18"/>
  <c r="H262" i="18"/>
  <c r="D262" i="18"/>
  <c r="B262" i="18"/>
  <c r="X259" i="18"/>
  <c r="Z259" i="18" s="1"/>
  <c r="N259" i="18"/>
  <c r="L259" i="18"/>
  <c r="B259" i="18"/>
  <c r="X258" i="18"/>
  <c r="T258" i="18"/>
  <c r="P258" i="18"/>
  <c r="L258" i="18"/>
  <c r="H258" i="18"/>
  <c r="N258" i="18" s="1"/>
  <c r="D258" i="18"/>
  <c r="B258" i="18"/>
  <c r="Z257" i="18"/>
  <c r="X257" i="18"/>
  <c r="N257" i="18"/>
  <c r="L257" i="18"/>
  <c r="B257" i="18"/>
  <c r="Z256" i="18"/>
  <c r="X256" i="18"/>
  <c r="L256" i="18"/>
  <c r="N256" i="18" s="1"/>
  <c r="B256" i="18"/>
  <c r="Z255" i="18"/>
  <c r="X255" i="18"/>
  <c r="N255" i="18"/>
  <c r="L255" i="18"/>
  <c r="B255" i="18"/>
  <c r="Z254" i="18"/>
  <c r="T254" i="18"/>
  <c r="X254" i="18" s="1"/>
  <c r="P254" i="18"/>
  <c r="H254" i="18"/>
  <c r="D254" i="18"/>
  <c r="B254" i="18"/>
  <c r="Z253" i="18"/>
  <c r="X253" i="18"/>
  <c r="L253" i="18"/>
  <c r="N253" i="18" s="1"/>
  <c r="B253" i="18"/>
  <c r="T252" i="18"/>
  <c r="P252" i="18"/>
  <c r="X252" i="18" s="1"/>
  <c r="H252" i="18"/>
  <c r="D252" i="18"/>
  <c r="L252" i="18" s="1"/>
  <c r="B252" i="18"/>
  <c r="X251" i="18"/>
  <c r="Z251" i="18" s="1"/>
  <c r="N251" i="18"/>
  <c r="L251" i="18"/>
  <c r="B251" i="18"/>
  <c r="X250" i="18"/>
  <c r="Z250" i="18" s="1"/>
  <c r="N250" i="18"/>
  <c r="L250" i="18"/>
  <c r="B250" i="18"/>
  <c r="X249" i="18"/>
  <c r="Z249" i="18" s="1"/>
  <c r="T249" i="18"/>
  <c r="P249" i="18"/>
  <c r="L249" i="18"/>
  <c r="H249" i="18"/>
  <c r="D249" i="18"/>
  <c r="B249" i="18"/>
  <c r="Z248" i="18"/>
  <c r="X248" i="18"/>
  <c r="L248" i="18"/>
  <c r="N248" i="18" s="1"/>
  <c r="B248" i="18"/>
  <c r="Z247" i="18"/>
  <c r="X247" i="18"/>
  <c r="N247" i="18"/>
  <c r="L247" i="18"/>
  <c r="B247" i="18"/>
  <c r="Z246" i="18"/>
  <c r="X246" i="18"/>
  <c r="L246" i="18"/>
  <c r="N246" i="18" s="1"/>
  <c r="B246" i="18"/>
  <c r="Z245" i="18"/>
  <c r="X245" i="18"/>
  <c r="N245" i="18"/>
  <c r="L245" i="18"/>
  <c r="B245" i="18"/>
  <c r="Z244" i="18"/>
  <c r="X244" i="18"/>
  <c r="L244" i="18"/>
  <c r="N244" i="18" s="1"/>
  <c r="B244" i="18"/>
  <c r="Z243" i="18"/>
  <c r="X243" i="18"/>
  <c r="N243" i="18"/>
  <c r="L243" i="18"/>
  <c r="B243" i="18"/>
  <c r="Z242" i="18"/>
  <c r="X242" i="18"/>
  <c r="L242" i="18"/>
  <c r="N242" i="18" s="1"/>
  <c r="B242" i="18"/>
  <c r="T241" i="18"/>
  <c r="P241" i="18"/>
  <c r="X241" i="18" s="1"/>
  <c r="Z241" i="18" s="1"/>
  <c r="H241" i="18"/>
  <c r="D241" i="18"/>
  <c r="L241" i="18" s="1"/>
  <c r="N241" i="18" s="1"/>
  <c r="B241" i="18"/>
  <c r="X240" i="18"/>
  <c r="Z240" i="18" s="1"/>
  <c r="L240" i="18"/>
  <c r="N240" i="18" s="1"/>
  <c r="B240" i="18"/>
  <c r="Z239" i="18"/>
  <c r="X239" i="18"/>
  <c r="L239" i="18"/>
  <c r="N239" i="18" s="1"/>
  <c r="B239" i="18"/>
  <c r="T238" i="18"/>
  <c r="P238" i="18"/>
  <c r="X238" i="18" s="1"/>
  <c r="H238" i="18"/>
  <c r="N238" i="18" s="1"/>
  <c r="D238" i="18"/>
  <c r="L238" i="18" s="1"/>
  <c r="B238" i="18"/>
  <c r="X237" i="18"/>
  <c r="Z237" i="18" s="1"/>
  <c r="N237" i="18"/>
  <c r="L237" i="18"/>
  <c r="B237" i="18"/>
  <c r="X236" i="18"/>
  <c r="Z236" i="18" s="1"/>
  <c r="N236" i="18"/>
  <c r="L236" i="18"/>
  <c r="B236" i="18"/>
  <c r="X235" i="18"/>
  <c r="Z235" i="18" s="1"/>
  <c r="N235" i="18"/>
  <c r="L235" i="18"/>
  <c r="B235" i="18"/>
  <c r="X234" i="18"/>
  <c r="Z234" i="18" s="1"/>
  <c r="N234" i="18"/>
  <c r="L234" i="18"/>
  <c r="B234" i="18"/>
  <c r="X233" i="18"/>
  <c r="Z233" i="18" s="1"/>
  <c r="T233" i="18"/>
  <c r="P233" i="18"/>
  <c r="L233" i="18"/>
  <c r="H233" i="18"/>
  <c r="D233" i="18"/>
  <c r="B233" i="18"/>
  <c r="X232" i="18"/>
  <c r="Z232" i="18" s="1"/>
  <c r="L232" i="18"/>
  <c r="N232" i="18" s="1"/>
  <c r="B232" i="18"/>
  <c r="Z231" i="18"/>
  <c r="X231" i="18"/>
  <c r="N231" i="18"/>
  <c r="L231" i="18"/>
  <c r="B231" i="18"/>
  <c r="Z230" i="18"/>
  <c r="X230" i="18"/>
  <c r="N230" i="18"/>
  <c r="L230" i="18"/>
  <c r="B230" i="18"/>
  <c r="T229" i="18"/>
  <c r="Z229" i="18" s="1"/>
  <c r="P229" i="18"/>
  <c r="X229" i="18" s="1"/>
  <c r="H229" i="18"/>
  <c r="D229" i="18"/>
  <c r="L229" i="18" s="1"/>
  <c r="N229" i="18" s="1"/>
  <c r="B229" i="18"/>
  <c r="X228" i="18"/>
  <c r="Z228" i="18" s="1"/>
  <c r="L228" i="18"/>
  <c r="N228" i="18" s="1"/>
  <c r="B228" i="18"/>
  <c r="Z227" i="18"/>
  <c r="X227" i="18"/>
  <c r="L227" i="18"/>
  <c r="N227" i="18" s="1"/>
  <c r="B227" i="18"/>
  <c r="Z226" i="18"/>
  <c r="X226" i="18"/>
  <c r="N226" i="18"/>
  <c r="L226" i="18"/>
  <c r="B226" i="18"/>
  <c r="Z225" i="18"/>
  <c r="X225" i="18"/>
  <c r="L225" i="18"/>
  <c r="N225" i="18" s="1"/>
  <c r="B225" i="18"/>
  <c r="T224" i="18"/>
  <c r="P224" i="18"/>
  <c r="X224" i="18" s="1"/>
  <c r="H224" i="18"/>
  <c r="N224" i="18" s="1"/>
  <c r="D224" i="18"/>
  <c r="L224" i="18" s="1"/>
  <c r="B224" i="18"/>
  <c r="X223" i="18"/>
  <c r="Z223" i="18" s="1"/>
  <c r="N223" i="18"/>
  <c r="L223" i="18"/>
  <c r="B223" i="18"/>
  <c r="X222" i="18"/>
  <c r="Z222" i="18" s="1"/>
  <c r="T222" i="18"/>
  <c r="P222" i="18"/>
  <c r="L222" i="18"/>
  <c r="N222" i="18" s="1"/>
  <c r="H222" i="18"/>
  <c r="D222" i="18"/>
  <c r="B222" i="18"/>
  <c r="Z221" i="18"/>
  <c r="X221" i="18"/>
  <c r="N221" i="18"/>
  <c r="L221" i="18"/>
  <c r="B221" i="18"/>
  <c r="T220" i="18"/>
  <c r="P220" i="18"/>
  <c r="N220" i="18"/>
  <c r="H220" i="18"/>
  <c r="L220" i="18" s="1"/>
  <c r="D220" i="18"/>
  <c r="B220" i="18"/>
  <c r="Z219" i="18"/>
  <c r="X219" i="18"/>
  <c r="L219" i="18"/>
  <c r="N219" i="18" s="1"/>
  <c r="B219" i="18"/>
  <c r="T218" i="18"/>
  <c r="Z218" i="18" s="1"/>
  <c r="P218" i="18"/>
  <c r="X218" i="18" s="1"/>
  <c r="H218" i="18"/>
  <c r="N218" i="18" s="1"/>
  <c r="D218" i="18"/>
  <c r="L218" i="18" s="1"/>
  <c r="B218" i="18"/>
  <c r="X217" i="18"/>
  <c r="Z217" i="18" s="1"/>
  <c r="N217" i="18"/>
  <c r="L217" i="18"/>
  <c r="B217" i="18"/>
  <c r="X216" i="18"/>
  <c r="Z216" i="18" s="1"/>
  <c r="T216" i="18"/>
  <c r="P216" i="18"/>
  <c r="L216" i="18"/>
  <c r="N216" i="18" s="1"/>
  <c r="H216" i="18"/>
  <c r="D216" i="18"/>
  <c r="B216" i="18"/>
  <c r="Z215" i="18"/>
  <c r="X215" i="18"/>
  <c r="N215" i="18"/>
  <c r="L215" i="18"/>
  <c r="B215" i="18"/>
  <c r="T214" i="18"/>
  <c r="X214" i="18" s="1"/>
  <c r="Z214" i="18" s="1"/>
  <c r="P214" i="18"/>
  <c r="H214" i="18"/>
  <c r="D214" i="18"/>
  <c r="B214" i="18"/>
  <c r="Z213" i="18"/>
  <c r="X213" i="18"/>
  <c r="L213" i="18"/>
  <c r="N213" i="18" s="1"/>
  <c r="B213" i="18"/>
  <c r="X212" i="18"/>
  <c r="Z212" i="18" s="1"/>
  <c r="L212" i="18"/>
  <c r="N212" i="18" s="1"/>
  <c r="B212" i="18"/>
  <c r="T211" i="18"/>
  <c r="P211" i="18"/>
  <c r="X211" i="18" s="1"/>
  <c r="Z211" i="18" s="1"/>
  <c r="H211" i="18"/>
  <c r="D211" i="18"/>
  <c r="L211" i="18" s="1"/>
  <c r="N211" i="18" s="1"/>
  <c r="B211" i="18"/>
  <c r="X210" i="18"/>
  <c r="Z210" i="18" s="1"/>
  <c r="N210" i="18"/>
  <c r="L210" i="18"/>
  <c r="B210" i="18"/>
  <c r="X209" i="18"/>
  <c r="Z209" i="18" s="1"/>
  <c r="T209" i="18"/>
  <c r="P209" i="18"/>
  <c r="L209" i="18"/>
  <c r="H209" i="18"/>
  <c r="D209" i="18"/>
  <c r="B209" i="18"/>
  <c r="X208" i="18"/>
  <c r="Z208" i="18" s="1"/>
  <c r="L208" i="18"/>
  <c r="N208" i="18" s="1"/>
  <c r="B208" i="18"/>
  <c r="T207" i="18"/>
  <c r="P207" i="18"/>
  <c r="X207" i="18" s="1"/>
  <c r="Z207" i="18" s="1"/>
  <c r="H207" i="18"/>
  <c r="D207" i="18"/>
  <c r="B207" i="18"/>
  <c r="X206" i="18"/>
  <c r="Z206" i="18" s="1"/>
  <c r="L206" i="18"/>
  <c r="N206" i="18" s="1"/>
  <c r="B206" i="18"/>
  <c r="T205" i="18"/>
  <c r="P205" i="18"/>
  <c r="X205" i="18" s="1"/>
  <c r="Z205" i="18" s="1"/>
  <c r="H205" i="18"/>
  <c r="D205" i="18"/>
  <c r="L205" i="18" s="1"/>
  <c r="N205" i="18" s="1"/>
  <c r="B205" i="18"/>
  <c r="X204" i="18"/>
  <c r="Z204" i="18" s="1"/>
  <c r="L204" i="18"/>
  <c r="N204" i="18" s="1"/>
  <c r="B204" i="18"/>
  <c r="X203" i="18"/>
  <c r="Z203" i="18" s="1"/>
  <c r="N203" i="18"/>
  <c r="L203" i="18"/>
  <c r="B203" i="18"/>
  <c r="X202" i="18"/>
  <c r="Z202" i="18" s="1"/>
  <c r="T202" i="18"/>
  <c r="P202" i="18"/>
  <c r="L202" i="18"/>
  <c r="N202" i="18" s="1"/>
  <c r="H202" i="18"/>
  <c r="D202" i="18"/>
  <c r="B202" i="18"/>
  <c r="Z201" i="18"/>
  <c r="X201" i="18"/>
  <c r="N201" i="18"/>
  <c r="L201" i="18"/>
  <c r="B201" i="18"/>
  <c r="X200" i="18"/>
  <c r="Z200" i="18" s="1"/>
  <c r="L200" i="18"/>
  <c r="N200" i="18" s="1"/>
  <c r="B200" i="18"/>
  <c r="T199" i="18"/>
  <c r="P199" i="18"/>
  <c r="X199" i="18" s="1"/>
  <c r="Z199" i="18" s="1"/>
  <c r="H199" i="18"/>
  <c r="D199" i="18"/>
  <c r="L199" i="18" s="1"/>
  <c r="N199" i="18" s="1"/>
  <c r="B199" i="18"/>
  <c r="X198" i="18"/>
  <c r="Z198" i="18" s="1"/>
  <c r="L198" i="18"/>
  <c r="N198" i="18" s="1"/>
  <c r="B198" i="18"/>
  <c r="Z197" i="18"/>
  <c r="X197" i="18"/>
  <c r="T197" i="18"/>
  <c r="P197" i="18"/>
  <c r="H197" i="18"/>
  <c r="D197" i="18"/>
  <c r="L197" i="18" s="1"/>
  <c r="N197" i="18" s="1"/>
  <c r="B197" i="18"/>
  <c r="X196" i="18"/>
  <c r="Z196" i="18" s="1"/>
  <c r="L196" i="18"/>
  <c r="N196" i="18" s="1"/>
  <c r="B196" i="18"/>
  <c r="X195" i="18"/>
  <c r="T195" i="18"/>
  <c r="P195" i="18"/>
  <c r="L195" i="18"/>
  <c r="N195" i="18" s="1"/>
  <c r="H195" i="18"/>
  <c r="D195" i="18"/>
  <c r="B195" i="18"/>
  <c r="Z194" i="18"/>
  <c r="X194" i="18"/>
  <c r="L194" i="18"/>
  <c r="N194" i="18" s="1"/>
  <c r="B194" i="18"/>
  <c r="Z193" i="18"/>
  <c r="T193" i="18"/>
  <c r="P193" i="18"/>
  <c r="X193" i="18" s="1"/>
  <c r="H193" i="18"/>
  <c r="D193" i="18"/>
  <c r="L193" i="18" s="1"/>
  <c r="N193" i="18" s="1"/>
  <c r="B193" i="18"/>
  <c r="X192" i="18"/>
  <c r="Z192" i="18" s="1"/>
  <c r="L192" i="18"/>
  <c r="N192" i="18" s="1"/>
  <c r="B192" i="18"/>
  <c r="Z191" i="18"/>
  <c r="X191" i="18"/>
  <c r="L191" i="18"/>
  <c r="N191" i="18" s="1"/>
  <c r="B191" i="18"/>
  <c r="X190" i="18"/>
  <c r="Z190" i="18" s="1"/>
  <c r="L190" i="18"/>
  <c r="N190" i="18" s="1"/>
  <c r="B190" i="18"/>
  <c r="Z189" i="18"/>
  <c r="X189" i="18"/>
  <c r="L189" i="18"/>
  <c r="N189" i="18" s="1"/>
  <c r="B189" i="18"/>
  <c r="X188" i="18"/>
  <c r="Z188" i="18" s="1"/>
  <c r="L188" i="18"/>
  <c r="N188" i="18" s="1"/>
  <c r="B188" i="18"/>
  <c r="Z187" i="18"/>
  <c r="X187" i="18"/>
  <c r="L187" i="18"/>
  <c r="N187" i="18" s="1"/>
  <c r="B187" i="18"/>
  <c r="X186" i="18"/>
  <c r="Z186" i="18" s="1"/>
  <c r="L186" i="18"/>
  <c r="N186" i="18" s="1"/>
  <c r="B186" i="18"/>
  <c r="Z185" i="18"/>
  <c r="X185" i="18"/>
  <c r="T185" i="18"/>
  <c r="P185" i="18"/>
  <c r="H185" i="18"/>
  <c r="D185" i="18"/>
  <c r="L185" i="18" s="1"/>
  <c r="N185" i="18" s="1"/>
  <c r="B185" i="18"/>
  <c r="X184" i="18"/>
  <c r="Z184" i="18" s="1"/>
  <c r="L184" i="18"/>
  <c r="N184" i="18" s="1"/>
  <c r="B184" i="18"/>
  <c r="X183" i="18"/>
  <c r="Z183" i="18" s="1"/>
  <c r="N183" i="18"/>
  <c r="L183" i="18"/>
  <c r="B183" i="18"/>
  <c r="X182" i="18"/>
  <c r="Z182" i="18" s="1"/>
  <c r="N182" i="18"/>
  <c r="L182" i="18"/>
  <c r="B182" i="18"/>
  <c r="X181" i="18"/>
  <c r="Z181" i="18" s="1"/>
  <c r="N181" i="18"/>
  <c r="L181" i="18"/>
  <c r="B181" i="18"/>
  <c r="Z180" i="18"/>
  <c r="X180" i="18"/>
  <c r="N180" i="18"/>
  <c r="L180" i="18"/>
  <c r="B180" i="18"/>
  <c r="X179" i="18"/>
  <c r="Z179" i="18" s="1"/>
  <c r="N179" i="18"/>
  <c r="L179" i="18"/>
  <c r="B179" i="18"/>
  <c r="X178" i="18"/>
  <c r="Z178" i="18" s="1"/>
  <c r="N178" i="18"/>
  <c r="L178" i="18"/>
  <c r="B178" i="18"/>
  <c r="X177" i="18"/>
  <c r="Z177" i="18" s="1"/>
  <c r="N177" i="18"/>
  <c r="L177" i="18"/>
  <c r="B177" i="18"/>
  <c r="X176" i="18"/>
  <c r="Z176" i="18" s="1"/>
  <c r="L176" i="18"/>
  <c r="N176" i="18" s="1"/>
  <c r="B176" i="18"/>
  <c r="X175" i="18"/>
  <c r="Z175" i="18" s="1"/>
  <c r="N175" i="18"/>
  <c r="L175" i="18"/>
  <c r="B175" i="18"/>
  <c r="X174" i="18"/>
  <c r="T174" i="18"/>
  <c r="P174" i="18"/>
  <c r="L174" i="18"/>
  <c r="N174" i="18" s="1"/>
  <c r="H174" i="18"/>
  <c r="D174" i="18"/>
  <c r="B174" i="18"/>
  <c r="T173" i="18"/>
  <c r="P173" i="18"/>
  <c r="H173" i="18"/>
  <c r="D173" i="18"/>
  <c r="L173" i="18" s="1"/>
  <c r="Z169" i="18"/>
  <c r="X169" i="18"/>
  <c r="L169" i="18"/>
  <c r="N169" i="18" s="1"/>
  <c r="B169" i="18"/>
  <c r="Z168" i="18"/>
  <c r="X168" i="18"/>
  <c r="L168" i="18"/>
  <c r="N168" i="18" s="1"/>
  <c r="B168" i="18"/>
  <c r="Z167" i="18"/>
  <c r="X167" i="18"/>
  <c r="N167" i="18"/>
  <c r="L167" i="18"/>
  <c r="B167" i="18"/>
  <c r="Z166" i="18"/>
  <c r="X166" i="18"/>
  <c r="N166" i="18"/>
  <c r="L166" i="18"/>
  <c r="B166" i="18"/>
  <c r="Z165" i="18"/>
  <c r="X165" i="18"/>
  <c r="L165" i="18"/>
  <c r="N165" i="18" s="1"/>
  <c r="B165" i="18"/>
  <c r="Z164" i="18"/>
  <c r="X164" i="18"/>
  <c r="L164" i="18"/>
  <c r="N164" i="18" s="1"/>
  <c r="B164" i="18"/>
  <c r="Z163" i="18"/>
  <c r="X163" i="18"/>
  <c r="N163" i="18"/>
  <c r="L163" i="18"/>
  <c r="B163" i="18"/>
  <c r="Z162" i="18"/>
  <c r="X162" i="18"/>
  <c r="N162" i="18"/>
  <c r="L162" i="18"/>
  <c r="B162" i="18"/>
  <c r="Z161" i="18"/>
  <c r="X161" i="18"/>
  <c r="L161" i="18"/>
  <c r="N161" i="18" s="1"/>
  <c r="B161" i="18"/>
  <c r="Z160" i="18"/>
  <c r="X160" i="18"/>
  <c r="L160" i="18"/>
  <c r="N160" i="18" s="1"/>
  <c r="B160" i="18"/>
  <c r="Z159" i="18"/>
  <c r="X159" i="18"/>
  <c r="N159" i="18"/>
  <c r="L159" i="18"/>
  <c r="B159" i="18"/>
  <c r="Z158" i="18"/>
  <c r="X158" i="18"/>
  <c r="N158" i="18"/>
  <c r="L158" i="18"/>
  <c r="B158" i="18"/>
  <c r="Z157" i="18"/>
  <c r="X157" i="18"/>
  <c r="L157" i="18"/>
  <c r="N157" i="18" s="1"/>
  <c r="B157" i="18"/>
  <c r="Z156" i="18"/>
  <c r="X156" i="18"/>
  <c r="L156" i="18"/>
  <c r="N156" i="18" s="1"/>
  <c r="B156" i="18"/>
  <c r="Z155" i="18"/>
  <c r="X155" i="18"/>
  <c r="L155" i="18"/>
  <c r="N155" i="18" s="1"/>
  <c r="B155" i="18"/>
  <c r="Z154" i="18"/>
  <c r="X154" i="18"/>
  <c r="N154" i="18"/>
  <c r="L154" i="18"/>
  <c r="B154" i="18"/>
  <c r="Z153" i="18"/>
  <c r="X153" i="18"/>
  <c r="L153" i="18"/>
  <c r="N153" i="18" s="1"/>
  <c r="B153" i="18"/>
  <c r="Z152" i="18"/>
  <c r="X152" i="18"/>
  <c r="L152" i="18"/>
  <c r="N152" i="18" s="1"/>
  <c r="B152" i="18"/>
  <c r="Z151" i="18"/>
  <c r="X151" i="18"/>
  <c r="N151" i="18"/>
  <c r="L151" i="18"/>
  <c r="B151" i="18"/>
  <c r="Z150" i="18"/>
  <c r="X150" i="18"/>
  <c r="L150" i="18"/>
  <c r="N150" i="18" s="1"/>
  <c r="B150" i="18"/>
  <c r="Z149" i="18"/>
  <c r="X149" i="18"/>
  <c r="N149" i="18"/>
  <c r="L149" i="18"/>
  <c r="B149" i="18"/>
  <c r="Z148" i="18"/>
  <c r="X148" i="18"/>
  <c r="L148" i="18"/>
  <c r="N148" i="18" s="1"/>
  <c r="B148" i="18"/>
  <c r="Z147" i="18"/>
  <c r="X147" i="18"/>
  <c r="L147" i="18"/>
  <c r="N147" i="18" s="1"/>
  <c r="B147" i="18"/>
  <c r="Z146" i="18"/>
  <c r="X146" i="18"/>
  <c r="L146" i="18"/>
  <c r="N146" i="18" s="1"/>
  <c r="B146" i="18"/>
  <c r="Z145" i="18"/>
  <c r="X145" i="18"/>
  <c r="L145" i="18"/>
  <c r="N145" i="18" s="1"/>
  <c r="B145" i="18"/>
  <c r="Z144" i="18"/>
  <c r="X144" i="18"/>
  <c r="L144" i="18"/>
  <c r="N144" i="18" s="1"/>
  <c r="B144" i="18"/>
  <c r="Z143" i="18"/>
  <c r="X143" i="18"/>
  <c r="L143" i="18"/>
  <c r="N143" i="18" s="1"/>
  <c r="B143" i="18"/>
  <c r="Z142" i="18"/>
  <c r="X142" i="18"/>
  <c r="L142" i="18"/>
  <c r="N142" i="18" s="1"/>
  <c r="B142" i="18"/>
  <c r="Z141" i="18"/>
  <c r="X141" i="18"/>
  <c r="L141" i="18"/>
  <c r="N141" i="18" s="1"/>
  <c r="B141" i="18"/>
  <c r="Z140" i="18"/>
  <c r="X140" i="18"/>
  <c r="L140" i="18"/>
  <c r="N140" i="18" s="1"/>
  <c r="B140" i="18"/>
  <c r="Z139" i="18"/>
  <c r="X139" i="18"/>
  <c r="L139" i="18"/>
  <c r="N139" i="18" s="1"/>
  <c r="B139" i="18"/>
  <c r="Z138" i="18"/>
  <c r="X138" i="18"/>
  <c r="L138" i="18"/>
  <c r="N138" i="18" s="1"/>
  <c r="B138" i="18"/>
  <c r="Z137" i="18"/>
  <c r="X137" i="18"/>
  <c r="L137" i="18"/>
  <c r="N137" i="18" s="1"/>
  <c r="B137" i="18"/>
  <c r="Z136" i="18"/>
  <c r="X136" i="18"/>
  <c r="L136" i="18"/>
  <c r="N136" i="18" s="1"/>
  <c r="B136" i="18"/>
  <c r="Z135" i="18"/>
  <c r="X135" i="18"/>
  <c r="L135" i="18"/>
  <c r="N135" i="18" s="1"/>
  <c r="B135" i="18"/>
  <c r="Z134" i="18"/>
  <c r="X134" i="18"/>
  <c r="L134" i="18"/>
  <c r="N134" i="18" s="1"/>
  <c r="B134" i="18"/>
  <c r="Z133" i="18"/>
  <c r="X133" i="18"/>
  <c r="L133" i="18"/>
  <c r="N133" i="18" s="1"/>
  <c r="B133" i="18"/>
  <c r="Z132" i="18"/>
  <c r="X132" i="18"/>
  <c r="L132" i="18"/>
  <c r="N132" i="18" s="1"/>
  <c r="B132" i="18"/>
  <c r="Z131" i="18"/>
  <c r="X131" i="18"/>
  <c r="L131" i="18"/>
  <c r="N131" i="18" s="1"/>
  <c r="B131" i="18"/>
  <c r="Z130" i="18"/>
  <c r="X130" i="18"/>
  <c r="L130" i="18"/>
  <c r="N130" i="18" s="1"/>
  <c r="B130" i="18"/>
  <c r="Z129" i="18"/>
  <c r="X129" i="18"/>
  <c r="L129" i="18"/>
  <c r="N129" i="18" s="1"/>
  <c r="B129" i="18"/>
  <c r="Z128" i="18"/>
  <c r="X128" i="18"/>
  <c r="L128" i="18"/>
  <c r="N128" i="18" s="1"/>
  <c r="B128" i="18"/>
  <c r="Z127" i="18"/>
  <c r="X127" i="18"/>
  <c r="L127" i="18"/>
  <c r="N127" i="18" s="1"/>
  <c r="B127" i="18"/>
  <c r="Z126" i="18"/>
  <c r="X126" i="18"/>
  <c r="N126" i="18"/>
  <c r="L126" i="18"/>
  <c r="B126" i="18"/>
  <c r="Z125" i="18"/>
  <c r="X125" i="18"/>
  <c r="L125" i="18"/>
  <c r="N125" i="18" s="1"/>
  <c r="B125" i="18"/>
  <c r="Z124" i="18"/>
  <c r="X124" i="18"/>
  <c r="L124" i="18"/>
  <c r="N124" i="18" s="1"/>
  <c r="B124" i="18"/>
  <c r="Z123" i="18"/>
  <c r="X123" i="18"/>
  <c r="N123" i="18"/>
  <c r="L123" i="18"/>
  <c r="B123" i="18"/>
  <c r="Z122" i="18"/>
  <c r="X122" i="18"/>
  <c r="L122" i="18"/>
  <c r="N122" i="18" s="1"/>
  <c r="B122" i="18"/>
  <c r="Z121" i="18"/>
  <c r="X121" i="18"/>
  <c r="L121" i="18"/>
  <c r="N121" i="18" s="1"/>
  <c r="B121" i="18"/>
  <c r="Z120" i="18"/>
  <c r="X120" i="18"/>
  <c r="L120" i="18"/>
  <c r="N120" i="18" s="1"/>
  <c r="B120" i="18"/>
  <c r="Z119" i="18"/>
  <c r="X119" i="18"/>
  <c r="L119" i="18"/>
  <c r="N119" i="18" s="1"/>
  <c r="B119" i="18"/>
  <c r="Z118" i="18"/>
  <c r="X118" i="18"/>
  <c r="L118" i="18"/>
  <c r="N118" i="18" s="1"/>
  <c r="B118" i="18"/>
  <c r="T117" i="18"/>
  <c r="P117" i="18"/>
  <c r="X117" i="18" s="1"/>
  <c r="Z117" i="18" s="1"/>
  <c r="H117" i="18"/>
  <c r="D117" i="18"/>
  <c r="L117" i="18" s="1"/>
  <c r="Z115" i="18"/>
  <c r="T115" i="18"/>
  <c r="P115" i="18"/>
  <c r="X115" i="18" s="1"/>
  <c r="L115" i="18"/>
  <c r="N115" i="18" s="1"/>
  <c r="H115" i="18"/>
  <c r="D115" i="18"/>
  <c r="B115" i="18"/>
  <c r="T114" i="18"/>
  <c r="Z114" i="18" s="1"/>
  <c r="P114" i="18"/>
  <c r="X114" i="18" s="1"/>
  <c r="H114" i="18"/>
  <c r="D114" i="18"/>
  <c r="B114" i="18"/>
  <c r="Z113" i="18"/>
  <c r="T113" i="18"/>
  <c r="P113" i="18"/>
  <c r="X113" i="18" s="1"/>
  <c r="H113" i="18"/>
  <c r="D113" i="18"/>
  <c r="B113" i="18"/>
  <c r="Z112" i="18"/>
  <c r="T112" i="18"/>
  <c r="X112" i="18" s="1"/>
  <c r="P112" i="18"/>
  <c r="H112" i="18"/>
  <c r="N112" i="18" s="1"/>
  <c r="D112" i="18"/>
  <c r="L112" i="18" s="1"/>
  <c r="B112" i="18"/>
  <c r="Z111" i="18"/>
  <c r="T111" i="18"/>
  <c r="P111" i="18"/>
  <c r="X111" i="18" s="1"/>
  <c r="N111" i="18"/>
  <c r="L111" i="18"/>
  <c r="H111" i="18"/>
  <c r="D111" i="18"/>
  <c r="B111" i="18"/>
  <c r="T110" i="18"/>
  <c r="P110" i="18"/>
  <c r="X110" i="18" s="1"/>
  <c r="H110" i="18"/>
  <c r="D110" i="18"/>
  <c r="L110" i="18" s="1"/>
  <c r="B110" i="18"/>
  <c r="T109" i="18"/>
  <c r="Z109" i="18" s="1"/>
  <c r="P109" i="18"/>
  <c r="X109" i="18" s="1"/>
  <c r="H109" i="18"/>
  <c r="D109" i="18"/>
  <c r="B109" i="18"/>
  <c r="Z108" i="18"/>
  <c r="T108" i="18"/>
  <c r="X108" i="18" s="1"/>
  <c r="P108" i="18"/>
  <c r="H108" i="18"/>
  <c r="D108" i="18"/>
  <c r="L108" i="18" s="1"/>
  <c r="B108" i="18"/>
  <c r="Z107" i="18"/>
  <c r="T107" i="18"/>
  <c r="P107" i="18"/>
  <c r="X107" i="18" s="1"/>
  <c r="L107" i="18"/>
  <c r="N107" i="18" s="1"/>
  <c r="H107" i="18"/>
  <c r="D107" i="18"/>
  <c r="B107" i="18"/>
  <c r="T106" i="18"/>
  <c r="P106" i="18"/>
  <c r="X106" i="18" s="1"/>
  <c r="H106" i="18"/>
  <c r="D106" i="18"/>
  <c r="L106" i="18" s="1"/>
  <c r="B106" i="18"/>
  <c r="T105" i="18"/>
  <c r="Z105" i="18" s="1"/>
  <c r="P105" i="18"/>
  <c r="X105" i="18" s="1"/>
  <c r="H105" i="18"/>
  <c r="D105" i="18"/>
  <c r="B105" i="18"/>
  <c r="Z104" i="18"/>
  <c r="T104" i="18"/>
  <c r="X104" i="18" s="1"/>
  <c r="P104" i="18"/>
  <c r="H104" i="18"/>
  <c r="D104" i="18"/>
  <c r="B104" i="18"/>
  <c r="Z103" i="18"/>
  <c r="T103" i="18"/>
  <c r="P103" i="18"/>
  <c r="X103" i="18" s="1"/>
  <c r="L103" i="18"/>
  <c r="N103" i="18" s="1"/>
  <c r="H103" i="18"/>
  <c r="D103" i="18"/>
  <c r="B103" i="18"/>
  <c r="T102" i="18"/>
  <c r="P102" i="18"/>
  <c r="X102" i="18" s="1"/>
  <c r="H102" i="18"/>
  <c r="D102" i="18"/>
  <c r="L102" i="18" s="1"/>
  <c r="B102" i="18"/>
  <c r="T101" i="18"/>
  <c r="Z101" i="18" s="1"/>
  <c r="P101" i="18"/>
  <c r="X101" i="18" s="1"/>
  <c r="H101" i="18"/>
  <c r="D101" i="18"/>
  <c r="B101" i="18"/>
  <c r="Z100" i="18"/>
  <c r="T100" i="18"/>
  <c r="X100" i="18" s="1"/>
  <c r="P100" i="18"/>
  <c r="H100" i="18"/>
  <c r="N100" i="18" s="1"/>
  <c r="D100" i="18"/>
  <c r="B100" i="18"/>
  <c r="Z99" i="18"/>
  <c r="T99" i="18"/>
  <c r="P99" i="18"/>
  <c r="X99" i="18" s="1"/>
  <c r="L99" i="18"/>
  <c r="N99" i="18" s="1"/>
  <c r="H99" i="18"/>
  <c r="D99" i="18"/>
  <c r="B99" i="18"/>
  <c r="T98" i="18"/>
  <c r="P98" i="18"/>
  <c r="X98" i="18" s="1"/>
  <c r="H98" i="18"/>
  <c r="D98" i="18"/>
  <c r="L98" i="18" s="1"/>
  <c r="B98" i="18"/>
  <c r="T97" i="18"/>
  <c r="Z97" i="18" s="1"/>
  <c r="P97" i="18"/>
  <c r="X97" i="18" s="1"/>
  <c r="H97" i="18"/>
  <c r="D97" i="18"/>
  <c r="B97" i="18"/>
  <c r="Z96" i="18"/>
  <c r="T96" i="18"/>
  <c r="X96" i="18" s="1"/>
  <c r="P96" i="18"/>
  <c r="H96" i="18"/>
  <c r="D96" i="18"/>
  <c r="B96" i="18"/>
  <c r="Z95" i="18"/>
  <c r="T95" i="18"/>
  <c r="P95" i="18"/>
  <c r="X95" i="18" s="1"/>
  <c r="L95" i="18"/>
  <c r="N95" i="18" s="1"/>
  <c r="H95" i="18"/>
  <c r="D95" i="18"/>
  <c r="B95" i="18"/>
  <c r="T94" i="18"/>
  <c r="P94" i="18"/>
  <c r="X94" i="18" s="1"/>
  <c r="H94" i="18"/>
  <c r="D94" i="18"/>
  <c r="L94" i="18" s="1"/>
  <c r="B94" i="18"/>
  <c r="T93" i="18"/>
  <c r="Z93" i="18" s="1"/>
  <c r="P93" i="18"/>
  <c r="X93" i="18" s="1"/>
  <c r="H93" i="18"/>
  <c r="N93" i="18" s="1"/>
  <c r="D93" i="18"/>
  <c r="B93" i="18"/>
  <c r="Z92" i="18"/>
  <c r="T92" i="18"/>
  <c r="X92" i="18" s="1"/>
  <c r="P92" i="18"/>
  <c r="H92" i="18"/>
  <c r="D92" i="18"/>
  <c r="B92" i="18"/>
  <c r="Z91" i="18"/>
  <c r="T91" i="18"/>
  <c r="P91" i="18"/>
  <c r="X91" i="18" s="1"/>
  <c r="L91" i="18"/>
  <c r="N91" i="18" s="1"/>
  <c r="H91" i="18"/>
  <c r="D91" i="18"/>
  <c r="B91" i="18"/>
  <c r="T90" i="18"/>
  <c r="P90" i="18"/>
  <c r="X90" i="18" s="1"/>
  <c r="H90" i="18"/>
  <c r="D90" i="18"/>
  <c r="L90" i="18" s="1"/>
  <c r="B90" i="18"/>
  <c r="T89" i="18"/>
  <c r="Z89" i="18" s="1"/>
  <c r="P89" i="18"/>
  <c r="X89" i="18" s="1"/>
  <c r="H89" i="18"/>
  <c r="D89" i="18"/>
  <c r="B89" i="18"/>
  <c r="T88" i="18"/>
  <c r="P88" i="18"/>
  <c r="L88" i="18"/>
  <c r="H88" i="18"/>
  <c r="N88" i="18" s="1"/>
  <c r="D88" i="18"/>
  <c r="B88" i="18"/>
  <c r="T87" i="18"/>
  <c r="P87" i="18"/>
  <c r="X87" i="18" s="1"/>
  <c r="Z87" i="18" s="1"/>
  <c r="N87" i="18"/>
  <c r="L87" i="18"/>
  <c r="H87" i="18"/>
  <c r="D87" i="18"/>
  <c r="B87" i="18"/>
  <c r="T86" i="18"/>
  <c r="P86" i="18"/>
  <c r="X86" i="18" s="1"/>
  <c r="H86" i="18"/>
  <c r="D86" i="18"/>
  <c r="B86" i="18"/>
  <c r="T85" i="18"/>
  <c r="P85" i="18"/>
  <c r="L85" i="18"/>
  <c r="H85" i="18"/>
  <c r="D85" i="18"/>
  <c r="B85" i="18"/>
  <c r="T84" i="18"/>
  <c r="P84" i="18"/>
  <c r="L84" i="18"/>
  <c r="H84" i="18"/>
  <c r="D84" i="18"/>
  <c r="B84" i="18"/>
  <c r="Z83" i="18"/>
  <c r="T83" i="18"/>
  <c r="P83" i="18"/>
  <c r="X83" i="18" s="1"/>
  <c r="N83" i="18"/>
  <c r="L83" i="18"/>
  <c r="H83" i="18"/>
  <c r="D83" i="18"/>
  <c r="B83" i="18"/>
  <c r="T82" i="18"/>
  <c r="P82" i="18"/>
  <c r="H82" i="18"/>
  <c r="D82" i="18"/>
  <c r="B82" i="18"/>
  <c r="T81" i="18"/>
  <c r="P81" i="18"/>
  <c r="L81" i="18"/>
  <c r="H81" i="18"/>
  <c r="N81" i="18" s="1"/>
  <c r="D81" i="18"/>
  <c r="B81" i="18"/>
  <c r="Z80" i="18"/>
  <c r="X80" i="18"/>
  <c r="T80" i="18"/>
  <c r="P80" i="18"/>
  <c r="H80" i="18"/>
  <c r="D80" i="18"/>
  <c r="B80" i="18"/>
  <c r="Z79" i="18"/>
  <c r="T79" i="18"/>
  <c r="P79" i="18"/>
  <c r="X79" i="18" s="1"/>
  <c r="N79" i="18"/>
  <c r="L79" i="18"/>
  <c r="H79" i="18"/>
  <c r="D79" i="18"/>
  <c r="B79" i="18"/>
  <c r="T78" i="18"/>
  <c r="P78" i="18"/>
  <c r="H78" i="18"/>
  <c r="D78" i="18"/>
  <c r="B78" i="18"/>
  <c r="T77" i="18"/>
  <c r="P77" i="18"/>
  <c r="L77" i="18"/>
  <c r="H77" i="18"/>
  <c r="D77" i="18"/>
  <c r="B77" i="18"/>
  <c r="Z76" i="18"/>
  <c r="X76" i="18"/>
  <c r="T76" i="18"/>
  <c r="P76" i="18"/>
  <c r="H76" i="18"/>
  <c r="D76" i="18"/>
  <c r="B76" i="18"/>
  <c r="Z75" i="18"/>
  <c r="T75" i="18"/>
  <c r="P75" i="18"/>
  <c r="X75" i="18" s="1"/>
  <c r="L75" i="18"/>
  <c r="N75" i="18" s="1"/>
  <c r="H75" i="18"/>
  <c r="D75" i="18"/>
  <c r="B75" i="18"/>
  <c r="T74" i="18"/>
  <c r="Z74" i="18" s="1"/>
  <c r="P74" i="18"/>
  <c r="X74" i="18" s="1"/>
  <c r="L74" i="18"/>
  <c r="H74" i="18"/>
  <c r="D74" i="18"/>
  <c r="B74" i="18"/>
  <c r="T73" i="18"/>
  <c r="P73" i="18"/>
  <c r="X73" i="18" s="1"/>
  <c r="L73" i="18"/>
  <c r="H73" i="18"/>
  <c r="D73" i="18"/>
  <c r="B73" i="18"/>
  <c r="X72" i="18"/>
  <c r="T72" i="18"/>
  <c r="P72" i="18"/>
  <c r="H72" i="18"/>
  <c r="D72" i="18"/>
  <c r="L72" i="18" s="1"/>
  <c r="B72" i="18"/>
  <c r="T71" i="18"/>
  <c r="P71" i="18"/>
  <c r="X71" i="18" s="1"/>
  <c r="Z71" i="18" s="1"/>
  <c r="L71" i="18"/>
  <c r="N71" i="18" s="1"/>
  <c r="H71" i="18"/>
  <c r="D71" i="18"/>
  <c r="B71" i="18"/>
  <c r="T70" i="18"/>
  <c r="Z70" i="18" s="1"/>
  <c r="P70" i="18"/>
  <c r="X70" i="18" s="1"/>
  <c r="H70" i="18"/>
  <c r="N70" i="18" s="1"/>
  <c r="D70" i="18"/>
  <c r="L70" i="18" s="1"/>
  <c r="B70" i="18"/>
  <c r="T69" i="18"/>
  <c r="P69" i="18"/>
  <c r="X69" i="18" s="1"/>
  <c r="N69" i="18"/>
  <c r="L69" i="18"/>
  <c r="H69" i="18"/>
  <c r="D69" i="18"/>
  <c r="B69" i="18"/>
  <c r="Z68" i="18"/>
  <c r="X68" i="18"/>
  <c r="T68" i="18"/>
  <c r="P68" i="18"/>
  <c r="H68" i="18"/>
  <c r="D68" i="18"/>
  <c r="L68" i="18" s="1"/>
  <c r="B68" i="18"/>
  <c r="Z67" i="18"/>
  <c r="T67" i="18"/>
  <c r="P67" i="18"/>
  <c r="X67" i="18" s="1"/>
  <c r="L67" i="18"/>
  <c r="N67" i="18" s="1"/>
  <c r="H67" i="18"/>
  <c r="D67" i="18"/>
  <c r="B67" i="18"/>
  <c r="T66" i="18"/>
  <c r="P66" i="18"/>
  <c r="L66" i="18"/>
  <c r="H66" i="18"/>
  <c r="D66" i="18"/>
  <c r="B66" i="18"/>
  <c r="T65" i="18"/>
  <c r="P65" i="18"/>
  <c r="L65" i="18"/>
  <c r="N65" i="18" s="1"/>
  <c r="H65" i="18"/>
  <c r="D65" i="18"/>
  <c r="B65" i="18"/>
  <c r="Z64" i="18"/>
  <c r="X64" i="18"/>
  <c r="T64" i="18"/>
  <c r="P64" i="18"/>
  <c r="H64" i="18"/>
  <c r="N64" i="18" s="1"/>
  <c r="D64" i="18"/>
  <c r="B64" i="18"/>
  <c r="Z63" i="18"/>
  <c r="T63" i="18"/>
  <c r="P63" i="18"/>
  <c r="X63" i="18" s="1"/>
  <c r="N63" i="18"/>
  <c r="L63" i="18"/>
  <c r="H63" i="18"/>
  <c r="D63" i="18"/>
  <c r="B63" i="18"/>
  <c r="X62" i="18"/>
  <c r="T62" i="18"/>
  <c r="Z62" i="18" s="1"/>
  <c r="P62" i="18"/>
  <c r="L62" i="18"/>
  <c r="H62" i="18"/>
  <c r="D62" i="18"/>
  <c r="B62" i="18"/>
  <c r="T61" i="18"/>
  <c r="P61" i="18"/>
  <c r="H61" i="18"/>
  <c r="D61" i="18"/>
  <c r="B61" i="18"/>
  <c r="T60" i="18"/>
  <c r="P60" i="18"/>
  <c r="X60" i="18" s="1"/>
  <c r="Z60" i="18" s="1"/>
  <c r="L60" i="18"/>
  <c r="H60" i="18"/>
  <c r="D60" i="18"/>
  <c r="B60" i="18"/>
  <c r="T59" i="18"/>
  <c r="P59" i="18"/>
  <c r="L59" i="18"/>
  <c r="N59" i="18" s="1"/>
  <c r="H59" i="18"/>
  <c r="D59" i="18"/>
  <c r="B59" i="18"/>
  <c r="Z58" i="18"/>
  <c r="X58" i="18"/>
  <c r="T58" i="18"/>
  <c r="P58" i="18"/>
  <c r="H58" i="18"/>
  <c r="D58" i="18"/>
  <c r="B58" i="18"/>
  <c r="Z57" i="18"/>
  <c r="T57" i="18"/>
  <c r="P57" i="18"/>
  <c r="X57" i="18" s="1"/>
  <c r="N57" i="18"/>
  <c r="L57" i="18"/>
  <c r="H57" i="18"/>
  <c r="D57" i="18"/>
  <c r="B57" i="18"/>
  <c r="X56" i="18"/>
  <c r="T56" i="18"/>
  <c r="Z56" i="18" s="1"/>
  <c r="P56" i="18"/>
  <c r="L56" i="18"/>
  <c r="H56" i="18"/>
  <c r="D56" i="18"/>
  <c r="B56" i="18"/>
  <c r="T55" i="18"/>
  <c r="P55" i="18"/>
  <c r="H55" i="18"/>
  <c r="D55" i="18"/>
  <c r="B55" i="18"/>
  <c r="T54" i="18"/>
  <c r="P54" i="18"/>
  <c r="X54" i="18" s="1"/>
  <c r="Z54" i="18" s="1"/>
  <c r="L54" i="18"/>
  <c r="H54" i="18"/>
  <c r="D54" i="18"/>
  <c r="B54" i="18"/>
  <c r="T53" i="18"/>
  <c r="P53" i="18"/>
  <c r="L53" i="18"/>
  <c r="N53" i="18" s="1"/>
  <c r="H53" i="18"/>
  <c r="D53" i="18"/>
  <c r="B53" i="18"/>
  <c r="Z52" i="18"/>
  <c r="X52" i="18"/>
  <c r="T52" i="18"/>
  <c r="P52" i="18"/>
  <c r="H52" i="18"/>
  <c r="D52" i="18"/>
  <c r="B52" i="18"/>
  <c r="Z51" i="18"/>
  <c r="T51" i="18"/>
  <c r="P51" i="18"/>
  <c r="X51" i="18" s="1"/>
  <c r="N51" i="18"/>
  <c r="L51" i="18"/>
  <c r="H51" i="18"/>
  <c r="D51" i="18"/>
  <c r="B51" i="18"/>
  <c r="X50" i="18"/>
  <c r="T50" i="18"/>
  <c r="Z50" i="18" s="1"/>
  <c r="P50" i="18"/>
  <c r="L50" i="18"/>
  <c r="H50" i="18"/>
  <c r="D50" i="18"/>
  <c r="B50" i="18"/>
  <c r="T49" i="18"/>
  <c r="P49" i="18"/>
  <c r="H49" i="18"/>
  <c r="D49" i="18"/>
  <c r="B49" i="18"/>
  <c r="T48" i="18"/>
  <c r="P48" i="18"/>
  <c r="X48" i="18" s="1"/>
  <c r="Z48" i="18" s="1"/>
  <c r="L48" i="18"/>
  <c r="H48" i="18"/>
  <c r="D48" i="18"/>
  <c r="B48" i="18"/>
  <c r="T47" i="18"/>
  <c r="P47" i="18"/>
  <c r="L47" i="18"/>
  <c r="N47" i="18" s="1"/>
  <c r="H47" i="18"/>
  <c r="D47" i="18"/>
  <c r="B47" i="18"/>
  <c r="Z46" i="18"/>
  <c r="X46" i="18"/>
  <c r="T46" i="18"/>
  <c r="P46" i="18"/>
  <c r="H46" i="18"/>
  <c r="D46" i="18"/>
  <c r="L46" i="18" s="1"/>
  <c r="B46" i="18"/>
  <c r="Z45" i="18"/>
  <c r="T45" i="18"/>
  <c r="P45" i="18"/>
  <c r="X45" i="18" s="1"/>
  <c r="N45" i="18"/>
  <c r="L45" i="18"/>
  <c r="H45" i="18"/>
  <c r="D45" i="18"/>
  <c r="B45" i="18"/>
  <c r="X44" i="18"/>
  <c r="T44" i="18"/>
  <c r="P44" i="18"/>
  <c r="L44" i="18"/>
  <c r="H44" i="18"/>
  <c r="N44" i="18" s="1"/>
  <c r="D44" i="18"/>
  <c r="B44" i="18"/>
  <c r="T43" i="18"/>
  <c r="P43" i="18"/>
  <c r="H43" i="18"/>
  <c r="D43" i="18"/>
  <c r="B43" i="18"/>
  <c r="T42" i="18"/>
  <c r="P42" i="18"/>
  <c r="X42" i="18" s="1"/>
  <c r="Z42" i="18" s="1"/>
  <c r="L42" i="18"/>
  <c r="H42" i="18"/>
  <c r="D42" i="18"/>
  <c r="B42" i="18"/>
  <c r="T41" i="18"/>
  <c r="P41" i="18"/>
  <c r="L41" i="18"/>
  <c r="N41" i="18" s="1"/>
  <c r="H41" i="18"/>
  <c r="D41" i="18"/>
  <c r="B41" i="18"/>
  <c r="Z40" i="18"/>
  <c r="X40" i="18"/>
  <c r="T40" i="18"/>
  <c r="P40" i="18"/>
  <c r="H40" i="18"/>
  <c r="D40" i="18"/>
  <c r="B40" i="18"/>
  <c r="Z39" i="18"/>
  <c r="T39" i="18"/>
  <c r="P39" i="18"/>
  <c r="X39" i="18" s="1"/>
  <c r="N39" i="18"/>
  <c r="L39" i="18"/>
  <c r="H39" i="18"/>
  <c r="D39" i="18"/>
  <c r="B39" i="18"/>
  <c r="X38" i="18"/>
  <c r="T38" i="18"/>
  <c r="Z38" i="18" s="1"/>
  <c r="P38" i="18"/>
  <c r="L38" i="18"/>
  <c r="H38" i="18"/>
  <c r="D38" i="18"/>
  <c r="B38" i="18"/>
  <c r="Z37" i="18"/>
  <c r="X37" i="18"/>
  <c r="T37" i="18"/>
  <c r="P37" i="18"/>
  <c r="L37" i="18"/>
  <c r="H37" i="18"/>
  <c r="N37" i="18" s="1"/>
  <c r="D37" i="18"/>
  <c r="B37" i="18"/>
  <c r="T36" i="18"/>
  <c r="P36" i="18"/>
  <c r="X36" i="18" s="1"/>
  <c r="H36" i="18"/>
  <c r="D36" i="18"/>
  <c r="L36" i="18" s="1"/>
  <c r="N36" i="18" s="1"/>
  <c r="B36" i="18"/>
  <c r="T35" i="18"/>
  <c r="Z35" i="18" s="1"/>
  <c r="P35" i="18"/>
  <c r="X35" i="18" s="1"/>
  <c r="H35" i="18"/>
  <c r="D35" i="18"/>
  <c r="B35" i="18"/>
  <c r="T34" i="18"/>
  <c r="Z34" i="18" s="1"/>
  <c r="P34" i="18"/>
  <c r="X34" i="18" s="1"/>
  <c r="H34" i="18"/>
  <c r="D34" i="18"/>
  <c r="L34" i="18" s="1"/>
  <c r="B34" i="18"/>
  <c r="X33" i="18"/>
  <c r="T33" i="18"/>
  <c r="Z33" i="18" s="1"/>
  <c r="P33" i="18"/>
  <c r="L33" i="18"/>
  <c r="H33" i="18"/>
  <c r="N33" i="18" s="1"/>
  <c r="D33" i="18"/>
  <c r="B33" i="18"/>
  <c r="X32" i="18"/>
  <c r="Z32" i="18" s="1"/>
  <c r="T32" i="18"/>
  <c r="P32" i="18"/>
  <c r="N32" i="18"/>
  <c r="L32" i="18"/>
  <c r="H32" i="18"/>
  <c r="D32" i="18"/>
  <c r="B32" i="18"/>
  <c r="T31" i="18"/>
  <c r="P31" i="18"/>
  <c r="L31" i="18"/>
  <c r="N31" i="18" s="1"/>
  <c r="H31" i="18"/>
  <c r="D31" i="18"/>
  <c r="B31" i="18"/>
  <c r="Z30" i="18"/>
  <c r="X30" i="18"/>
  <c r="T30" i="18"/>
  <c r="P30" i="18"/>
  <c r="H30" i="18"/>
  <c r="D30" i="18"/>
  <c r="B30" i="18"/>
  <c r="T29" i="18"/>
  <c r="P29" i="18"/>
  <c r="X29" i="18" s="1"/>
  <c r="Z29" i="18" s="1"/>
  <c r="N29" i="18"/>
  <c r="L29" i="18"/>
  <c r="H29" i="18"/>
  <c r="D29" i="18"/>
  <c r="B29" i="18"/>
  <c r="T28" i="18"/>
  <c r="P28" i="18"/>
  <c r="X28" i="18" s="1"/>
  <c r="Z28" i="18" s="1"/>
  <c r="H28" i="18"/>
  <c r="D28" i="18"/>
  <c r="L28" i="18" s="1"/>
  <c r="B28" i="18"/>
  <c r="T27" i="18"/>
  <c r="P27" i="18"/>
  <c r="N27" i="18"/>
  <c r="H27" i="18"/>
  <c r="D27" i="18"/>
  <c r="L27" i="18" s="1"/>
  <c r="B27" i="18"/>
  <c r="X26" i="18"/>
  <c r="T26" i="18"/>
  <c r="P26" i="18"/>
  <c r="H26" i="18"/>
  <c r="D26" i="18"/>
  <c r="L26" i="18" s="1"/>
  <c r="B26" i="18"/>
  <c r="T25" i="18"/>
  <c r="P25" i="18"/>
  <c r="L25" i="18"/>
  <c r="H25" i="18"/>
  <c r="D25" i="18"/>
  <c r="B25" i="18"/>
  <c r="T24" i="18"/>
  <c r="P24" i="18"/>
  <c r="L24" i="18"/>
  <c r="N24" i="18" s="1"/>
  <c r="H24" i="18"/>
  <c r="D24" i="18"/>
  <c r="B24" i="18"/>
  <c r="T23" i="18"/>
  <c r="P23" i="18"/>
  <c r="H23" i="18"/>
  <c r="D23" i="18"/>
  <c r="B23" i="18"/>
  <c r="T22" i="18"/>
  <c r="P22" i="18"/>
  <c r="X22" i="18" s="1"/>
  <c r="Z22" i="18" s="1"/>
  <c r="L22" i="18"/>
  <c r="H22" i="18"/>
  <c r="D22" i="18"/>
  <c r="B22" i="18"/>
  <c r="X21" i="18"/>
  <c r="T21" i="18"/>
  <c r="P21" i="18"/>
  <c r="H21" i="18"/>
  <c r="L21" i="18" s="1"/>
  <c r="N21" i="18" s="1"/>
  <c r="D21" i="18"/>
  <c r="B21" i="18"/>
  <c r="T20" i="18"/>
  <c r="P20" i="18"/>
  <c r="X20" i="18" s="1"/>
  <c r="Z20" i="18" s="1"/>
  <c r="H20" i="18"/>
  <c r="D20" i="18"/>
  <c r="L20" i="18" s="1"/>
  <c r="N20" i="18" s="1"/>
  <c r="B20" i="18"/>
  <c r="T19" i="18"/>
  <c r="P19" i="18"/>
  <c r="H19" i="18"/>
  <c r="D19" i="18"/>
  <c r="L19" i="18" s="1"/>
  <c r="N19" i="18" s="1"/>
  <c r="B19" i="18"/>
  <c r="T18" i="18"/>
  <c r="P18" i="18"/>
  <c r="H18" i="18"/>
  <c r="D18" i="18"/>
  <c r="B18" i="18"/>
  <c r="T17" i="18"/>
  <c r="P17" i="18"/>
  <c r="X17" i="18" s="1"/>
  <c r="H17" i="18"/>
  <c r="D17" i="18"/>
  <c r="B17" i="18"/>
  <c r="Z16" i="18"/>
  <c r="X16" i="18"/>
  <c r="T16" i="18"/>
  <c r="P16" i="18"/>
  <c r="H16" i="18"/>
  <c r="D16" i="18"/>
  <c r="B16" i="18"/>
  <c r="T15" i="18"/>
  <c r="P15" i="18"/>
  <c r="X15" i="18" s="1"/>
  <c r="Z15" i="18" s="1"/>
  <c r="N15" i="18"/>
  <c r="L15" i="18"/>
  <c r="H15" i="18"/>
  <c r="D15" i="18"/>
  <c r="B15" i="18"/>
  <c r="T14" i="18"/>
  <c r="P14" i="18"/>
  <c r="X14" i="18" s="1"/>
  <c r="Z14" i="18" s="1"/>
  <c r="H14" i="18"/>
  <c r="D14" i="18"/>
  <c r="D12" i="18" s="1"/>
  <c r="F236" i="18" s="1"/>
  <c r="B14" i="18"/>
  <c r="T13" i="18"/>
  <c r="Z13" i="18" s="1"/>
  <c r="P13" i="18"/>
  <c r="H13" i="18"/>
  <c r="N13" i="18" s="1"/>
  <c r="D13" i="18"/>
  <c r="B13" i="18"/>
  <c r="D4" i="18"/>
  <c r="X249" i="15"/>
  <c r="Z249" i="15" s="1"/>
  <c r="L249" i="15"/>
  <c r="N249" i="15" s="1"/>
  <c r="Z245" i="15"/>
  <c r="T245" i="15"/>
  <c r="P245" i="15"/>
  <c r="X245" i="15" s="1"/>
  <c r="N245" i="15"/>
  <c r="H245" i="15"/>
  <c r="D245" i="15"/>
  <c r="L245" i="15" s="1"/>
  <c r="B245" i="15"/>
  <c r="T244" i="15"/>
  <c r="P244" i="15"/>
  <c r="X244" i="15" s="1"/>
  <c r="Z244" i="15" s="1"/>
  <c r="H244" i="15"/>
  <c r="N244" i="15" s="1"/>
  <c r="D244" i="15"/>
  <c r="L244" i="15" s="1"/>
  <c r="B244" i="15"/>
  <c r="T243" i="15"/>
  <c r="P243" i="15"/>
  <c r="X243" i="15" s="1"/>
  <c r="H243" i="15"/>
  <c r="D243" i="15"/>
  <c r="B243" i="15"/>
  <c r="T242" i="15"/>
  <c r="P242" i="15"/>
  <c r="L242" i="15"/>
  <c r="H242" i="15"/>
  <c r="N242" i="15" s="1"/>
  <c r="D242" i="15"/>
  <c r="B242" i="15"/>
  <c r="X241" i="15"/>
  <c r="T241" i="15"/>
  <c r="P241" i="15"/>
  <c r="L241" i="15"/>
  <c r="N241" i="15" s="1"/>
  <c r="H241" i="15"/>
  <c r="D241" i="15"/>
  <c r="B241" i="15"/>
  <c r="Z240" i="15"/>
  <c r="T240" i="15"/>
  <c r="P240" i="15"/>
  <c r="X240" i="15" s="1"/>
  <c r="N240" i="15"/>
  <c r="H240" i="15"/>
  <c r="L240" i="15" s="1"/>
  <c r="D240" i="15"/>
  <c r="B240" i="15"/>
  <c r="T239" i="15"/>
  <c r="P239" i="15"/>
  <c r="H239" i="15"/>
  <c r="D239" i="15"/>
  <c r="L239" i="15" s="1"/>
  <c r="N239" i="15" s="1"/>
  <c r="B239" i="15"/>
  <c r="T238" i="15"/>
  <c r="Z238" i="15" s="1"/>
  <c r="P238" i="15"/>
  <c r="X238" i="15" s="1"/>
  <c r="H238" i="15"/>
  <c r="D238" i="15"/>
  <c r="B238" i="15"/>
  <c r="T237" i="15"/>
  <c r="H237" i="15"/>
  <c r="X235" i="15"/>
  <c r="Z235" i="15" s="1"/>
  <c r="L235" i="15"/>
  <c r="N235" i="15" s="1"/>
  <c r="B235" i="15"/>
  <c r="T234" i="15"/>
  <c r="P234" i="15"/>
  <c r="X234" i="15" s="1"/>
  <c r="Z234" i="15" s="1"/>
  <c r="H234" i="15"/>
  <c r="L234" i="15" s="1"/>
  <c r="N234" i="15" s="1"/>
  <c r="D234" i="15"/>
  <c r="B234" i="15"/>
  <c r="Z233" i="15"/>
  <c r="X233" i="15"/>
  <c r="L233" i="15"/>
  <c r="N233" i="15" s="1"/>
  <c r="B233" i="15"/>
  <c r="X232" i="15"/>
  <c r="Z232" i="15" s="1"/>
  <c r="N232" i="15"/>
  <c r="L232" i="15"/>
  <c r="B232" i="15"/>
  <c r="X231" i="15"/>
  <c r="Z231" i="15" s="1"/>
  <c r="L231" i="15"/>
  <c r="N231" i="15" s="1"/>
  <c r="B231" i="15"/>
  <c r="X230" i="15"/>
  <c r="T230" i="15"/>
  <c r="Z230" i="15" s="1"/>
  <c r="P230" i="15"/>
  <c r="H230" i="15"/>
  <c r="D230" i="15"/>
  <c r="B230" i="15"/>
  <c r="X229" i="15"/>
  <c r="Z229" i="15" s="1"/>
  <c r="N229" i="15"/>
  <c r="L229" i="15"/>
  <c r="B229" i="15"/>
  <c r="T228" i="15"/>
  <c r="Z228" i="15" s="1"/>
  <c r="P228" i="15"/>
  <c r="X228" i="15" s="1"/>
  <c r="H228" i="15"/>
  <c r="D228" i="15"/>
  <c r="L228" i="15" s="1"/>
  <c r="N228" i="15" s="1"/>
  <c r="B228" i="15"/>
  <c r="X227" i="15"/>
  <c r="Z227" i="15" s="1"/>
  <c r="L227" i="15"/>
  <c r="N227" i="15" s="1"/>
  <c r="B227" i="15"/>
  <c r="Z226" i="15"/>
  <c r="X226" i="15"/>
  <c r="L226" i="15"/>
  <c r="N226" i="15" s="1"/>
  <c r="B226" i="15"/>
  <c r="T225" i="15"/>
  <c r="P225" i="15"/>
  <c r="H225" i="15"/>
  <c r="D225" i="15"/>
  <c r="B225" i="15"/>
  <c r="X224" i="15"/>
  <c r="Z224" i="15" s="1"/>
  <c r="N224" i="15"/>
  <c r="L224" i="15"/>
  <c r="B224" i="15"/>
  <c r="X223" i="15"/>
  <c r="Z223" i="15" s="1"/>
  <c r="L223" i="15"/>
  <c r="N223" i="15" s="1"/>
  <c r="B223" i="15"/>
  <c r="X222" i="15"/>
  <c r="Z222" i="15" s="1"/>
  <c r="L222" i="15"/>
  <c r="N222" i="15" s="1"/>
  <c r="B222" i="15"/>
  <c r="Z221" i="15"/>
  <c r="X221" i="15"/>
  <c r="L221" i="15"/>
  <c r="N221" i="15" s="1"/>
  <c r="B221" i="15"/>
  <c r="X220" i="15"/>
  <c r="Z220" i="15" s="1"/>
  <c r="N220" i="15"/>
  <c r="L220" i="15"/>
  <c r="B220" i="15"/>
  <c r="Z219" i="15"/>
  <c r="X219" i="15"/>
  <c r="N219" i="15"/>
  <c r="L219" i="15"/>
  <c r="B219" i="15"/>
  <c r="X218" i="15"/>
  <c r="Z218" i="15" s="1"/>
  <c r="L218" i="15"/>
  <c r="N218" i="15" s="1"/>
  <c r="B218" i="15"/>
  <c r="T217" i="15"/>
  <c r="P217" i="15"/>
  <c r="X217" i="15" s="1"/>
  <c r="Z217" i="15" s="1"/>
  <c r="H217" i="15"/>
  <c r="D217" i="15"/>
  <c r="L217" i="15" s="1"/>
  <c r="N217" i="15" s="1"/>
  <c r="B217" i="15"/>
  <c r="Z216" i="15"/>
  <c r="X216" i="15"/>
  <c r="N216" i="15"/>
  <c r="L216" i="15"/>
  <c r="B216" i="15"/>
  <c r="X215" i="15"/>
  <c r="Z215" i="15" s="1"/>
  <c r="L215" i="15"/>
  <c r="N215" i="15" s="1"/>
  <c r="B215" i="15"/>
  <c r="T214" i="15"/>
  <c r="P214" i="15"/>
  <c r="X214" i="15" s="1"/>
  <c r="Z214" i="15" s="1"/>
  <c r="H214" i="15"/>
  <c r="N214" i="15" s="1"/>
  <c r="D214" i="15"/>
  <c r="L214" i="15" s="1"/>
  <c r="B214" i="15"/>
  <c r="Z213" i="15"/>
  <c r="X213" i="15"/>
  <c r="N213" i="15"/>
  <c r="L213" i="15"/>
  <c r="B213" i="15"/>
  <c r="Z212" i="15"/>
  <c r="X212" i="15"/>
  <c r="L212" i="15"/>
  <c r="N212" i="15" s="1"/>
  <c r="B212" i="15"/>
  <c r="X211" i="15"/>
  <c r="Z211" i="15" s="1"/>
  <c r="L211" i="15"/>
  <c r="N211" i="15" s="1"/>
  <c r="B211" i="15"/>
  <c r="Z210" i="15"/>
  <c r="X210" i="15"/>
  <c r="L210" i="15"/>
  <c r="N210" i="15" s="1"/>
  <c r="B210" i="15"/>
  <c r="T209" i="15"/>
  <c r="P209" i="15"/>
  <c r="H209" i="15"/>
  <c r="D209" i="15"/>
  <c r="B209" i="15"/>
  <c r="X208" i="15"/>
  <c r="Z208" i="15" s="1"/>
  <c r="N208" i="15"/>
  <c r="L208" i="15"/>
  <c r="B208" i="15"/>
  <c r="X207" i="15"/>
  <c r="Z207" i="15" s="1"/>
  <c r="L207" i="15"/>
  <c r="N207" i="15" s="1"/>
  <c r="B207" i="15"/>
  <c r="X206" i="15"/>
  <c r="Z206" i="15" s="1"/>
  <c r="N206" i="15"/>
  <c r="L206" i="15"/>
  <c r="B206" i="15"/>
  <c r="T205" i="15"/>
  <c r="P205" i="15"/>
  <c r="X205" i="15" s="1"/>
  <c r="Z205" i="15" s="1"/>
  <c r="H205" i="15"/>
  <c r="D205" i="15"/>
  <c r="L205" i="15" s="1"/>
  <c r="N205" i="15" s="1"/>
  <c r="B205" i="15"/>
  <c r="Z204" i="15"/>
  <c r="X204" i="15"/>
  <c r="N204" i="15"/>
  <c r="L204" i="15"/>
  <c r="B204" i="15"/>
  <c r="X203" i="15"/>
  <c r="Z203" i="15" s="1"/>
  <c r="L203" i="15"/>
  <c r="N203" i="15" s="1"/>
  <c r="B203" i="15"/>
  <c r="Z202" i="15"/>
  <c r="X202" i="15"/>
  <c r="N202" i="15"/>
  <c r="L202" i="15"/>
  <c r="B202" i="15"/>
  <c r="Z201" i="15"/>
  <c r="X201" i="15"/>
  <c r="N201" i="15"/>
  <c r="L201" i="15"/>
  <c r="B201" i="15"/>
  <c r="T200" i="15"/>
  <c r="P200" i="15"/>
  <c r="H200" i="15"/>
  <c r="D200" i="15"/>
  <c r="L200" i="15" s="1"/>
  <c r="N200" i="15" s="1"/>
  <c r="B200" i="15"/>
  <c r="X199" i="15"/>
  <c r="Z199" i="15" s="1"/>
  <c r="L199" i="15"/>
  <c r="N199" i="15" s="1"/>
  <c r="B199" i="15"/>
  <c r="T198" i="15"/>
  <c r="P198" i="15"/>
  <c r="X198" i="15" s="1"/>
  <c r="Z198" i="15" s="1"/>
  <c r="N198" i="15"/>
  <c r="H198" i="15"/>
  <c r="L198" i="15" s="1"/>
  <c r="D198" i="15"/>
  <c r="B198" i="15"/>
  <c r="Z197" i="15"/>
  <c r="X197" i="15"/>
  <c r="N197" i="15"/>
  <c r="L197" i="15"/>
  <c r="B197" i="15"/>
  <c r="T196" i="15"/>
  <c r="P196" i="15"/>
  <c r="L196" i="15"/>
  <c r="H196" i="15"/>
  <c r="N196" i="15" s="1"/>
  <c r="D196" i="15"/>
  <c r="B196" i="15"/>
  <c r="X195" i="15"/>
  <c r="Z195" i="15" s="1"/>
  <c r="L195" i="15"/>
  <c r="N195" i="15" s="1"/>
  <c r="B195" i="15"/>
  <c r="T194" i="15"/>
  <c r="P194" i="15"/>
  <c r="X194" i="15" s="1"/>
  <c r="Z194" i="15" s="1"/>
  <c r="H194" i="15"/>
  <c r="D194" i="15"/>
  <c r="L194" i="15" s="1"/>
  <c r="B194" i="15"/>
  <c r="Z193" i="15"/>
  <c r="X193" i="15"/>
  <c r="N193" i="15"/>
  <c r="L193" i="15"/>
  <c r="B193" i="15"/>
  <c r="T192" i="15"/>
  <c r="X192" i="15" s="1"/>
  <c r="Z192" i="15" s="1"/>
  <c r="P192" i="15"/>
  <c r="H192" i="15"/>
  <c r="D192" i="15"/>
  <c r="L192" i="15" s="1"/>
  <c r="N192" i="15" s="1"/>
  <c r="B192" i="15"/>
  <c r="X191" i="15"/>
  <c r="Z191" i="15" s="1"/>
  <c r="L191" i="15"/>
  <c r="N191" i="15" s="1"/>
  <c r="B191" i="15"/>
  <c r="X190" i="15"/>
  <c r="T190" i="15"/>
  <c r="Z190" i="15" s="1"/>
  <c r="P190" i="15"/>
  <c r="H190" i="15"/>
  <c r="D190" i="15"/>
  <c r="B190" i="15"/>
  <c r="X189" i="15"/>
  <c r="Z189" i="15" s="1"/>
  <c r="N189" i="15"/>
  <c r="L189" i="15"/>
  <c r="B189" i="15"/>
  <c r="Z188" i="15"/>
  <c r="X188" i="15"/>
  <c r="N188" i="15"/>
  <c r="L188" i="15"/>
  <c r="B188" i="15"/>
  <c r="X187" i="15"/>
  <c r="T187" i="15"/>
  <c r="Z187" i="15" s="1"/>
  <c r="P187" i="15"/>
  <c r="L187" i="15"/>
  <c r="N187" i="15" s="1"/>
  <c r="H187" i="15"/>
  <c r="D187" i="15"/>
  <c r="B187" i="15"/>
  <c r="Z186" i="15"/>
  <c r="X186" i="15"/>
  <c r="L186" i="15"/>
  <c r="N186" i="15" s="1"/>
  <c r="B186" i="15"/>
  <c r="T185" i="15"/>
  <c r="P185" i="15"/>
  <c r="H185" i="15"/>
  <c r="D185" i="15"/>
  <c r="B185" i="15"/>
  <c r="X184" i="15"/>
  <c r="Z184" i="15" s="1"/>
  <c r="N184" i="15"/>
  <c r="L184" i="15"/>
  <c r="B184" i="15"/>
  <c r="T183" i="15"/>
  <c r="P183" i="15"/>
  <c r="X183" i="15" s="1"/>
  <c r="Z183" i="15" s="1"/>
  <c r="H183" i="15"/>
  <c r="D183" i="15"/>
  <c r="L183" i="15" s="1"/>
  <c r="N183" i="15" s="1"/>
  <c r="B183" i="15"/>
  <c r="X182" i="15"/>
  <c r="Z182" i="15" s="1"/>
  <c r="N182" i="15"/>
  <c r="L182" i="15"/>
  <c r="B182" i="15"/>
  <c r="Z181" i="15"/>
  <c r="X181" i="15"/>
  <c r="T181" i="15"/>
  <c r="P181" i="15"/>
  <c r="L181" i="15"/>
  <c r="H181" i="15"/>
  <c r="N181" i="15" s="1"/>
  <c r="D181" i="15"/>
  <c r="B181" i="15"/>
  <c r="Z180" i="15"/>
  <c r="X180" i="15"/>
  <c r="L180" i="15"/>
  <c r="N180" i="15" s="1"/>
  <c r="B180" i="15"/>
  <c r="X179" i="15"/>
  <c r="Z179" i="15" s="1"/>
  <c r="L179" i="15"/>
  <c r="N179" i="15" s="1"/>
  <c r="B179" i="15"/>
  <c r="T178" i="15"/>
  <c r="P178" i="15"/>
  <c r="X178" i="15" s="1"/>
  <c r="Z178" i="15" s="1"/>
  <c r="N178" i="15"/>
  <c r="H178" i="15"/>
  <c r="L178" i="15" s="1"/>
  <c r="D178" i="15"/>
  <c r="B178" i="15"/>
  <c r="Z177" i="15"/>
  <c r="X177" i="15"/>
  <c r="N177" i="15"/>
  <c r="L177" i="15"/>
  <c r="B177" i="15"/>
  <c r="X176" i="15"/>
  <c r="Z176" i="15" s="1"/>
  <c r="N176" i="15"/>
  <c r="L176" i="15"/>
  <c r="B176" i="15"/>
  <c r="T175" i="15"/>
  <c r="P175" i="15"/>
  <c r="X175" i="15" s="1"/>
  <c r="Z175" i="15" s="1"/>
  <c r="H175" i="15"/>
  <c r="D175" i="15"/>
  <c r="L175" i="15" s="1"/>
  <c r="N175" i="15" s="1"/>
  <c r="B175" i="15"/>
  <c r="X174" i="15"/>
  <c r="Z174" i="15" s="1"/>
  <c r="N174" i="15"/>
  <c r="L174" i="15"/>
  <c r="B174" i="15"/>
  <c r="X173" i="15"/>
  <c r="Z173" i="15" s="1"/>
  <c r="T173" i="15"/>
  <c r="P173" i="15"/>
  <c r="L173" i="15"/>
  <c r="H173" i="15"/>
  <c r="D173" i="15"/>
  <c r="B173" i="15"/>
  <c r="Z172" i="15"/>
  <c r="X172" i="15"/>
  <c r="L172" i="15"/>
  <c r="N172" i="15" s="1"/>
  <c r="B172" i="15"/>
  <c r="V171" i="15"/>
  <c r="T171" i="15"/>
  <c r="P171" i="15"/>
  <c r="H171" i="15"/>
  <c r="D171" i="15"/>
  <c r="B171" i="15"/>
  <c r="X170" i="15"/>
  <c r="Z170" i="15" s="1"/>
  <c r="L170" i="15"/>
  <c r="N170" i="15" s="1"/>
  <c r="B170" i="15"/>
  <c r="T169" i="15"/>
  <c r="P169" i="15"/>
  <c r="X169" i="15" s="1"/>
  <c r="Z169" i="15" s="1"/>
  <c r="H169" i="15"/>
  <c r="D169" i="15"/>
  <c r="L169" i="15" s="1"/>
  <c r="N169" i="15" s="1"/>
  <c r="B169" i="15"/>
  <c r="Z168" i="15"/>
  <c r="X168" i="15"/>
  <c r="N168" i="15"/>
  <c r="L168" i="15"/>
  <c r="B168" i="15"/>
  <c r="X167" i="15"/>
  <c r="Z167" i="15" s="1"/>
  <c r="L167" i="15"/>
  <c r="N167" i="15" s="1"/>
  <c r="B167" i="15"/>
  <c r="X166" i="15"/>
  <c r="Z166" i="15" s="1"/>
  <c r="N166" i="15"/>
  <c r="L166" i="15"/>
  <c r="B166" i="15"/>
  <c r="X165" i="15"/>
  <c r="Z165" i="15" s="1"/>
  <c r="N165" i="15"/>
  <c r="L165" i="15"/>
  <c r="B165" i="15"/>
  <c r="Z164" i="15"/>
  <c r="X164" i="15"/>
  <c r="N164" i="15"/>
  <c r="L164" i="15"/>
  <c r="B164" i="15"/>
  <c r="X163" i="15"/>
  <c r="Z163" i="15" s="1"/>
  <c r="L163" i="15"/>
  <c r="N163" i="15" s="1"/>
  <c r="B163" i="15"/>
  <c r="X162" i="15"/>
  <c r="Z162" i="15" s="1"/>
  <c r="N162" i="15"/>
  <c r="L162" i="15"/>
  <c r="B162" i="15"/>
  <c r="Z161" i="15"/>
  <c r="X161" i="15"/>
  <c r="T161" i="15"/>
  <c r="P161" i="15"/>
  <c r="L161" i="15"/>
  <c r="H161" i="15"/>
  <c r="N161" i="15" s="1"/>
  <c r="D161" i="15"/>
  <c r="B161" i="15"/>
  <c r="Z160" i="15"/>
  <c r="X160" i="15"/>
  <c r="L160" i="15"/>
  <c r="N160" i="15" s="1"/>
  <c r="B160" i="15"/>
  <c r="X159" i="15"/>
  <c r="Z159" i="15" s="1"/>
  <c r="L159" i="15"/>
  <c r="N159" i="15" s="1"/>
  <c r="B159" i="15"/>
  <c r="Z158" i="15"/>
  <c r="X158" i="15"/>
  <c r="L158" i="15"/>
  <c r="N158" i="15" s="1"/>
  <c r="B158" i="15"/>
  <c r="Z157" i="15"/>
  <c r="X157" i="15"/>
  <c r="N157" i="15"/>
  <c r="L157" i="15"/>
  <c r="B157" i="15"/>
  <c r="Z156" i="15"/>
  <c r="X156" i="15"/>
  <c r="N156" i="15"/>
  <c r="L156" i="15"/>
  <c r="B156" i="15"/>
  <c r="X155" i="15"/>
  <c r="Z155" i="15" s="1"/>
  <c r="L155" i="15"/>
  <c r="N155" i="15" s="1"/>
  <c r="B155" i="15"/>
  <c r="Z154" i="15"/>
  <c r="X154" i="15"/>
  <c r="L154" i="15"/>
  <c r="N154" i="15" s="1"/>
  <c r="B154" i="15"/>
  <c r="Z153" i="15"/>
  <c r="X153" i="15"/>
  <c r="N153" i="15"/>
  <c r="L153" i="15"/>
  <c r="B153" i="15"/>
  <c r="Z152" i="15"/>
  <c r="X152" i="15"/>
  <c r="L152" i="15"/>
  <c r="N152" i="15" s="1"/>
  <c r="B152" i="15"/>
  <c r="X151" i="15"/>
  <c r="Z151" i="15" s="1"/>
  <c r="L151" i="15"/>
  <c r="N151" i="15" s="1"/>
  <c r="B151" i="15"/>
  <c r="T150" i="15"/>
  <c r="P150" i="15"/>
  <c r="X150" i="15" s="1"/>
  <c r="Z150" i="15" s="1"/>
  <c r="H150" i="15"/>
  <c r="L150" i="15" s="1"/>
  <c r="N150" i="15" s="1"/>
  <c r="D150" i="15"/>
  <c r="B150" i="15"/>
  <c r="T149" i="15"/>
  <c r="P149" i="15"/>
  <c r="X149" i="15" s="1"/>
  <c r="Z149" i="15" s="1"/>
  <c r="H149" i="15"/>
  <c r="D149" i="15"/>
  <c r="L149" i="15" s="1"/>
  <c r="Z145" i="15"/>
  <c r="X145" i="15"/>
  <c r="N145" i="15"/>
  <c r="L145" i="15"/>
  <c r="B145" i="15"/>
  <c r="Z144" i="15"/>
  <c r="X144" i="15"/>
  <c r="N144" i="15"/>
  <c r="L144" i="15"/>
  <c r="B144" i="15"/>
  <c r="X143" i="15"/>
  <c r="Z143" i="15" s="1"/>
  <c r="L143" i="15"/>
  <c r="N143" i="15" s="1"/>
  <c r="B143" i="15"/>
  <c r="X142" i="15"/>
  <c r="Z142" i="15" s="1"/>
  <c r="V142" i="15"/>
  <c r="L142" i="15"/>
  <c r="N142" i="15" s="1"/>
  <c r="B142" i="15"/>
  <c r="Z141" i="15"/>
  <c r="X141" i="15"/>
  <c r="L141" i="15"/>
  <c r="N141" i="15" s="1"/>
  <c r="B141" i="15"/>
  <c r="Z140" i="15"/>
  <c r="X140" i="15"/>
  <c r="N140" i="15"/>
  <c r="L140" i="15"/>
  <c r="B140" i="15"/>
  <c r="X139" i="15"/>
  <c r="Z139" i="15" s="1"/>
  <c r="L139" i="15"/>
  <c r="N139" i="15" s="1"/>
  <c r="B139" i="15"/>
  <c r="X138" i="15"/>
  <c r="Z138" i="15" s="1"/>
  <c r="L138" i="15"/>
  <c r="N138" i="15" s="1"/>
  <c r="B138" i="15"/>
  <c r="Z137" i="15"/>
  <c r="X137" i="15"/>
  <c r="N137" i="15"/>
  <c r="L137" i="15"/>
  <c r="B137" i="15"/>
  <c r="Z136" i="15"/>
  <c r="X136" i="15"/>
  <c r="N136" i="15"/>
  <c r="L136" i="15"/>
  <c r="B136" i="15"/>
  <c r="X135" i="15"/>
  <c r="Z135" i="15" s="1"/>
  <c r="L135" i="15"/>
  <c r="N135" i="15" s="1"/>
  <c r="B135" i="15"/>
  <c r="X134" i="15"/>
  <c r="Z134" i="15" s="1"/>
  <c r="L134" i="15"/>
  <c r="N134" i="15" s="1"/>
  <c r="B134" i="15"/>
  <c r="Z133" i="15"/>
  <c r="X133" i="15"/>
  <c r="L133" i="15"/>
  <c r="N133" i="15" s="1"/>
  <c r="B133" i="15"/>
  <c r="Z132" i="15"/>
  <c r="X132" i="15"/>
  <c r="V132" i="15"/>
  <c r="N132" i="15"/>
  <c r="L132" i="15"/>
  <c r="B132" i="15"/>
  <c r="X131" i="15"/>
  <c r="Z131" i="15" s="1"/>
  <c r="L131" i="15"/>
  <c r="N131" i="15" s="1"/>
  <c r="B131" i="15"/>
  <c r="X130" i="15"/>
  <c r="Z130" i="15" s="1"/>
  <c r="L130" i="15"/>
  <c r="N130" i="15" s="1"/>
  <c r="B130" i="15"/>
  <c r="Z129" i="15"/>
  <c r="X129" i="15"/>
  <c r="N129" i="15"/>
  <c r="L129" i="15"/>
  <c r="B129" i="15"/>
  <c r="Z128" i="15"/>
  <c r="X128" i="15"/>
  <c r="N128" i="15"/>
  <c r="L128" i="15"/>
  <c r="B128" i="15"/>
  <c r="X127" i="15"/>
  <c r="Z127" i="15" s="1"/>
  <c r="L127" i="15"/>
  <c r="N127" i="15" s="1"/>
  <c r="B127" i="15"/>
  <c r="X126" i="15"/>
  <c r="Z126" i="15" s="1"/>
  <c r="L126" i="15"/>
  <c r="N126" i="15" s="1"/>
  <c r="B126" i="15"/>
  <c r="Z125" i="15"/>
  <c r="X125" i="15"/>
  <c r="N125" i="15"/>
  <c r="L125" i="15"/>
  <c r="B125" i="15"/>
  <c r="Z124" i="15"/>
  <c r="X124" i="15"/>
  <c r="N124" i="15"/>
  <c r="L124" i="15"/>
  <c r="B124" i="15"/>
  <c r="X123" i="15"/>
  <c r="Z123" i="15" s="1"/>
  <c r="L123" i="15"/>
  <c r="N123" i="15" s="1"/>
  <c r="B123" i="15"/>
  <c r="X122" i="15"/>
  <c r="Z122" i="15" s="1"/>
  <c r="L122" i="15"/>
  <c r="N122" i="15" s="1"/>
  <c r="B122" i="15"/>
  <c r="Z121" i="15"/>
  <c r="X121" i="15"/>
  <c r="N121" i="15"/>
  <c r="L121" i="15"/>
  <c r="B121" i="15"/>
  <c r="Z120" i="15"/>
  <c r="X120" i="15"/>
  <c r="N120" i="15"/>
  <c r="L120" i="15"/>
  <c r="B120" i="15"/>
  <c r="X119" i="15"/>
  <c r="Z119" i="15" s="1"/>
  <c r="L119" i="15"/>
  <c r="N119" i="15" s="1"/>
  <c r="B119" i="15"/>
  <c r="X118" i="15"/>
  <c r="Z118" i="15" s="1"/>
  <c r="L118" i="15"/>
  <c r="N118" i="15" s="1"/>
  <c r="B118" i="15"/>
  <c r="Z117" i="15"/>
  <c r="X117" i="15"/>
  <c r="L117" i="15"/>
  <c r="N117" i="15" s="1"/>
  <c r="B117" i="15"/>
  <c r="Z116" i="15"/>
  <c r="X116" i="15"/>
  <c r="N116" i="15"/>
  <c r="L116" i="15"/>
  <c r="B116" i="15"/>
  <c r="X115" i="15"/>
  <c r="Z115" i="15" s="1"/>
  <c r="L115" i="15"/>
  <c r="N115" i="15" s="1"/>
  <c r="B115" i="15"/>
  <c r="X114" i="15"/>
  <c r="Z114" i="15" s="1"/>
  <c r="L114" i="15"/>
  <c r="N114" i="15" s="1"/>
  <c r="B114" i="15"/>
  <c r="Z113" i="15"/>
  <c r="X113" i="15"/>
  <c r="N113" i="15"/>
  <c r="L113" i="15"/>
  <c r="B113" i="15"/>
  <c r="Z112" i="15"/>
  <c r="X112" i="15"/>
  <c r="N112" i="15"/>
  <c r="L112" i="15"/>
  <c r="B112" i="15"/>
  <c r="X111" i="15"/>
  <c r="Z111" i="15" s="1"/>
  <c r="L111" i="15"/>
  <c r="N111" i="15" s="1"/>
  <c r="B111" i="15"/>
  <c r="X110" i="15"/>
  <c r="Z110" i="15" s="1"/>
  <c r="L110" i="15"/>
  <c r="N110" i="15" s="1"/>
  <c r="B110" i="15"/>
  <c r="Z109" i="15"/>
  <c r="X109" i="15"/>
  <c r="L109" i="15"/>
  <c r="N109" i="15" s="1"/>
  <c r="B109" i="15"/>
  <c r="Z108" i="15"/>
  <c r="X108" i="15"/>
  <c r="N108" i="15"/>
  <c r="L108" i="15"/>
  <c r="B108" i="15"/>
  <c r="X107" i="15"/>
  <c r="Z107" i="15" s="1"/>
  <c r="N107" i="15"/>
  <c r="L107" i="15"/>
  <c r="B107" i="15"/>
  <c r="X106" i="15"/>
  <c r="Z106" i="15" s="1"/>
  <c r="L106" i="15"/>
  <c r="N106" i="15" s="1"/>
  <c r="B106" i="15"/>
  <c r="Z105" i="15"/>
  <c r="X105" i="15"/>
  <c r="N105" i="15"/>
  <c r="L105" i="15"/>
  <c r="B105" i="15"/>
  <c r="Z104" i="15"/>
  <c r="X104" i="15"/>
  <c r="N104" i="15"/>
  <c r="L104" i="15"/>
  <c r="B104" i="15"/>
  <c r="X103" i="15"/>
  <c r="Z103" i="15" s="1"/>
  <c r="L103" i="15"/>
  <c r="N103" i="15" s="1"/>
  <c r="B103" i="15"/>
  <c r="X102" i="15"/>
  <c r="Z102" i="15" s="1"/>
  <c r="L102" i="15"/>
  <c r="N102" i="15" s="1"/>
  <c r="B102" i="15"/>
  <c r="Z101" i="15"/>
  <c r="X101" i="15"/>
  <c r="N101" i="15"/>
  <c r="L101" i="15"/>
  <c r="B101" i="15"/>
  <c r="Z100" i="15"/>
  <c r="X100" i="15"/>
  <c r="N100" i="15"/>
  <c r="L100" i="15"/>
  <c r="B100" i="15"/>
  <c r="X99" i="15"/>
  <c r="Z99" i="15" s="1"/>
  <c r="L99" i="15"/>
  <c r="N99" i="15" s="1"/>
  <c r="B99" i="15"/>
  <c r="X98" i="15"/>
  <c r="Z98" i="15" s="1"/>
  <c r="T98" i="15"/>
  <c r="P98" i="15"/>
  <c r="H98" i="15"/>
  <c r="N98" i="15" s="1"/>
  <c r="D98" i="15"/>
  <c r="L98" i="15" s="1"/>
  <c r="X96" i="15"/>
  <c r="T96" i="15"/>
  <c r="P96" i="15"/>
  <c r="L96" i="15"/>
  <c r="N96" i="15" s="1"/>
  <c r="H96" i="15"/>
  <c r="D96" i="15"/>
  <c r="B96" i="15"/>
  <c r="Z95" i="15"/>
  <c r="X95" i="15"/>
  <c r="T95" i="15"/>
  <c r="P95" i="15"/>
  <c r="N95" i="15"/>
  <c r="L95" i="15"/>
  <c r="H95" i="15"/>
  <c r="D95" i="15"/>
  <c r="B95" i="15"/>
  <c r="T94" i="15"/>
  <c r="P94" i="15"/>
  <c r="H94" i="15"/>
  <c r="D94" i="15"/>
  <c r="L94" i="15" s="1"/>
  <c r="N94" i="15" s="1"/>
  <c r="B94" i="15"/>
  <c r="T93" i="15"/>
  <c r="P93" i="15"/>
  <c r="H93" i="15"/>
  <c r="D93" i="15"/>
  <c r="B93" i="15"/>
  <c r="T92" i="15"/>
  <c r="P92" i="15"/>
  <c r="L92" i="15"/>
  <c r="N92" i="15" s="1"/>
  <c r="H92" i="15"/>
  <c r="D92" i="15"/>
  <c r="B92" i="15"/>
  <c r="Z91" i="15"/>
  <c r="X91" i="15"/>
  <c r="T91" i="15"/>
  <c r="P91" i="15"/>
  <c r="N91" i="15"/>
  <c r="L91" i="15"/>
  <c r="H91" i="15"/>
  <c r="D91" i="15"/>
  <c r="B91" i="15"/>
  <c r="T90" i="15"/>
  <c r="P90" i="15"/>
  <c r="X90" i="15" s="1"/>
  <c r="H90" i="15"/>
  <c r="D90" i="15"/>
  <c r="L90" i="15" s="1"/>
  <c r="N90" i="15" s="1"/>
  <c r="B90" i="15"/>
  <c r="T89" i="15"/>
  <c r="P89" i="15"/>
  <c r="L89" i="15"/>
  <c r="H89" i="15"/>
  <c r="D89" i="15"/>
  <c r="B89" i="15"/>
  <c r="X88" i="15"/>
  <c r="T88" i="15"/>
  <c r="P88" i="15"/>
  <c r="L88" i="15"/>
  <c r="N88" i="15" s="1"/>
  <c r="H88" i="15"/>
  <c r="D88" i="15"/>
  <c r="B88" i="15"/>
  <c r="Z87" i="15"/>
  <c r="X87" i="15"/>
  <c r="T87" i="15"/>
  <c r="P87" i="15"/>
  <c r="L87" i="15"/>
  <c r="N87" i="15" s="1"/>
  <c r="H87" i="15"/>
  <c r="D87" i="15"/>
  <c r="B87" i="15"/>
  <c r="T86" i="15"/>
  <c r="P86" i="15"/>
  <c r="H86" i="15"/>
  <c r="D86" i="15"/>
  <c r="L86" i="15" s="1"/>
  <c r="N86" i="15" s="1"/>
  <c r="B86" i="15"/>
  <c r="T85" i="15"/>
  <c r="P85" i="15"/>
  <c r="H85" i="15"/>
  <c r="D85" i="15"/>
  <c r="B85" i="15"/>
  <c r="X84" i="15"/>
  <c r="T84" i="15"/>
  <c r="P84" i="15"/>
  <c r="L84" i="15"/>
  <c r="N84" i="15" s="1"/>
  <c r="H84" i="15"/>
  <c r="D84" i="15"/>
  <c r="B84" i="15"/>
  <c r="Z83" i="15"/>
  <c r="X83" i="15"/>
  <c r="T83" i="15"/>
  <c r="P83" i="15"/>
  <c r="N83" i="15"/>
  <c r="L83" i="15"/>
  <c r="H83" i="15"/>
  <c r="D83" i="15"/>
  <c r="B83" i="15"/>
  <c r="T82" i="15"/>
  <c r="P82" i="15"/>
  <c r="X82" i="15" s="1"/>
  <c r="H82" i="15"/>
  <c r="D82" i="15"/>
  <c r="L82" i="15" s="1"/>
  <c r="N82" i="15" s="1"/>
  <c r="B82" i="15"/>
  <c r="T81" i="15"/>
  <c r="P81" i="15"/>
  <c r="H81" i="15"/>
  <c r="D81" i="15"/>
  <c r="B81" i="15"/>
  <c r="X80" i="15"/>
  <c r="T80" i="15"/>
  <c r="P80" i="15"/>
  <c r="L80" i="15"/>
  <c r="N80" i="15" s="1"/>
  <c r="H80" i="15"/>
  <c r="D80" i="15"/>
  <c r="B80" i="15"/>
  <c r="Z79" i="15"/>
  <c r="X79" i="15"/>
  <c r="T79" i="15"/>
  <c r="P79" i="15"/>
  <c r="L79" i="15"/>
  <c r="N79" i="15" s="1"/>
  <c r="H79" i="15"/>
  <c r="D79" i="15"/>
  <c r="B79" i="15"/>
  <c r="T78" i="15"/>
  <c r="P78" i="15"/>
  <c r="H78" i="15"/>
  <c r="D78" i="15"/>
  <c r="L78" i="15" s="1"/>
  <c r="N78" i="15" s="1"/>
  <c r="B78" i="15"/>
  <c r="T77" i="15"/>
  <c r="P77" i="15"/>
  <c r="H77" i="15"/>
  <c r="D77" i="15"/>
  <c r="B77" i="15"/>
  <c r="T76" i="15"/>
  <c r="P76" i="15"/>
  <c r="L76" i="15"/>
  <c r="N76" i="15" s="1"/>
  <c r="H76" i="15"/>
  <c r="D76" i="15"/>
  <c r="B76" i="15"/>
  <c r="Z75" i="15"/>
  <c r="X75" i="15"/>
  <c r="T75" i="15"/>
  <c r="P75" i="15"/>
  <c r="N75" i="15"/>
  <c r="L75" i="15"/>
  <c r="H75" i="15"/>
  <c r="D75" i="15"/>
  <c r="B75" i="15"/>
  <c r="T74" i="15"/>
  <c r="P74" i="15"/>
  <c r="X74" i="15" s="1"/>
  <c r="H74" i="15"/>
  <c r="D74" i="15"/>
  <c r="L74" i="15" s="1"/>
  <c r="N74" i="15" s="1"/>
  <c r="B74" i="15"/>
  <c r="T73" i="15"/>
  <c r="P73" i="15"/>
  <c r="L73" i="15"/>
  <c r="H73" i="15"/>
  <c r="D73" i="15"/>
  <c r="B73" i="15"/>
  <c r="X72" i="15"/>
  <c r="T72" i="15"/>
  <c r="P72" i="15"/>
  <c r="L72" i="15"/>
  <c r="N72" i="15" s="1"/>
  <c r="H72" i="15"/>
  <c r="D72" i="15"/>
  <c r="B72" i="15"/>
  <c r="Z71" i="15"/>
  <c r="X71" i="15"/>
  <c r="T71" i="15"/>
  <c r="P71" i="15"/>
  <c r="L71" i="15"/>
  <c r="N71" i="15" s="1"/>
  <c r="H71" i="15"/>
  <c r="D71" i="15"/>
  <c r="B71" i="15"/>
  <c r="T70" i="15"/>
  <c r="P70" i="15"/>
  <c r="H70" i="15"/>
  <c r="D70" i="15"/>
  <c r="L70" i="15" s="1"/>
  <c r="N70" i="15" s="1"/>
  <c r="B70" i="15"/>
  <c r="T69" i="15"/>
  <c r="P69" i="15"/>
  <c r="H69" i="15"/>
  <c r="D69" i="15"/>
  <c r="B69" i="15"/>
  <c r="X68" i="15"/>
  <c r="T68" i="15"/>
  <c r="P68" i="15"/>
  <c r="L68" i="15"/>
  <c r="N68" i="15" s="1"/>
  <c r="H68" i="15"/>
  <c r="D68" i="15"/>
  <c r="B68" i="15"/>
  <c r="Z67" i="15"/>
  <c r="X67" i="15"/>
  <c r="T67" i="15"/>
  <c r="P67" i="15"/>
  <c r="N67" i="15"/>
  <c r="L67" i="15"/>
  <c r="H67" i="15"/>
  <c r="D67" i="15"/>
  <c r="B67" i="15"/>
  <c r="T66" i="15"/>
  <c r="P66" i="15"/>
  <c r="X66" i="15" s="1"/>
  <c r="H66" i="15"/>
  <c r="D66" i="15"/>
  <c r="L66" i="15" s="1"/>
  <c r="N66" i="15" s="1"/>
  <c r="B66" i="15"/>
  <c r="T65" i="15"/>
  <c r="P65" i="15"/>
  <c r="H65" i="15"/>
  <c r="D65" i="15"/>
  <c r="B65" i="15"/>
  <c r="X64" i="15"/>
  <c r="T64" i="15"/>
  <c r="P64" i="15"/>
  <c r="L64" i="15"/>
  <c r="N64" i="15" s="1"/>
  <c r="H64" i="15"/>
  <c r="D64" i="15"/>
  <c r="B64" i="15"/>
  <c r="Z63" i="15"/>
  <c r="X63" i="15"/>
  <c r="T63" i="15"/>
  <c r="P63" i="15"/>
  <c r="L63" i="15"/>
  <c r="N63" i="15" s="1"/>
  <c r="H63" i="15"/>
  <c r="D63" i="15"/>
  <c r="B63" i="15"/>
  <c r="T62" i="15"/>
  <c r="P62" i="15"/>
  <c r="H62" i="15"/>
  <c r="D62" i="15"/>
  <c r="L62" i="15" s="1"/>
  <c r="N62" i="15" s="1"/>
  <c r="B62" i="15"/>
  <c r="T61" i="15"/>
  <c r="Z61" i="15" s="1"/>
  <c r="P61" i="15"/>
  <c r="H61" i="15"/>
  <c r="D61" i="15"/>
  <c r="B61" i="15"/>
  <c r="X60" i="15"/>
  <c r="T60" i="15"/>
  <c r="P60" i="15"/>
  <c r="L60" i="15"/>
  <c r="N60" i="15" s="1"/>
  <c r="H60" i="15"/>
  <c r="D60" i="15"/>
  <c r="B60" i="15"/>
  <c r="Z59" i="15"/>
  <c r="X59" i="15"/>
  <c r="T59" i="15"/>
  <c r="P59" i="15"/>
  <c r="N59" i="15"/>
  <c r="L59" i="15"/>
  <c r="H59" i="15"/>
  <c r="D59" i="15"/>
  <c r="B59" i="15"/>
  <c r="T58" i="15"/>
  <c r="P58" i="15"/>
  <c r="X58" i="15" s="1"/>
  <c r="H58" i="15"/>
  <c r="D58" i="15"/>
  <c r="L58" i="15" s="1"/>
  <c r="N58" i="15" s="1"/>
  <c r="B58" i="15"/>
  <c r="T57" i="15"/>
  <c r="P57" i="15"/>
  <c r="L57" i="15"/>
  <c r="H57" i="15"/>
  <c r="D57" i="15"/>
  <c r="B57" i="15"/>
  <c r="X56" i="15"/>
  <c r="T56" i="15"/>
  <c r="P56" i="15"/>
  <c r="L56" i="15"/>
  <c r="N56" i="15" s="1"/>
  <c r="H56" i="15"/>
  <c r="D56" i="15"/>
  <c r="B56" i="15"/>
  <c r="Z55" i="15"/>
  <c r="X55" i="15"/>
  <c r="T55" i="15"/>
  <c r="P55" i="15"/>
  <c r="L55" i="15"/>
  <c r="N55" i="15" s="1"/>
  <c r="H55" i="15"/>
  <c r="D55" i="15"/>
  <c r="B55" i="15"/>
  <c r="T54" i="15"/>
  <c r="P54" i="15"/>
  <c r="H54" i="15"/>
  <c r="D54" i="15"/>
  <c r="L54" i="15" s="1"/>
  <c r="N54" i="15" s="1"/>
  <c r="B54" i="15"/>
  <c r="T53" i="15"/>
  <c r="P53" i="15"/>
  <c r="H53" i="15"/>
  <c r="D53" i="15"/>
  <c r="B53" i="15"/>
  <c r="X52" i="15"/>
  <c r="T52" i="15"/>
  <c r="P52" i="15"/>
  <c r="L52" i="15"/>
  <c r="N52" i="15" s="1"/>
  <c r="H52" i="15"/>
  <c r="D52" i="15"/>
  <c r="B52" i="15"/>
  <c r="Z51" i="15"/>
  <c r="X51" i="15"/>
  <c r="T51" i="15"/>
  <c r="P51" i="15"/>
  <c r="L51" i="15"/>
  <c r="N51" i="15" s="1"/>
  <c r="H51" i="15"/>
  <c r="D51" i="15"/>
  <c r="B51" i="15"/>
  <c r="T50" i="15"/>
  <c r="P50" i="15"/>
  <c r="X50" i="15" s="1"/>
  <c r="H50" i="15"/>
  <c r="D50" i="15"/>
  <c r="L50" i="15" s="1"/>
  <c r="N50" i="15" s="1"/>
  <c r="B50" i="15"/>
  <c r="T49" i="15"/>
  <c r="P49" i="15"/>
  <c r="H49" i="15"/>
  <c r="D49" i="15"/>
  <c r="B49" i="15"/>
  <c r="X48" i="15"/>
  <c r="T48" i="15"/>
  <c r="P48" i="15"/>
  <c r="L48" i="15"/>
  <c r="N48" i="15" s="1"/>
  <c r="H48" i="15"/>
  <c r="D48" i="15"/>
  <c r="B48" i="15"/>
  <c r="Z47" i="15"/>
  <c r="X47" i="15"/>
  <c r="T47" i="15"/>
  <c r="P47" i="15"/>
  <c r="L47" i="15"/>
  <c r="N47" i="15" s="1"/>
  <c r="H47" i="15"/>
  <c r="D47" i="15"/>
  <c r="B47" i="15"/>
  <c r="T46" i="15"/>
  <c r="P46" i="15"/>
  <c r="H46" i="15"/>
  <c r="D46" i="15"/>
  <c r="L46" i="15" s="1"/>
  <c r="N46" i="15" s="1"/>
  <c r="B46" i="15"/>
  <c r="T45" i="15"/>
  <c r="P45" i="15"/>
  <c r="H45" i="15"/>
  <c r="D45" i="15"/>
  <c r="B45" i="15"/>
  <c r="X44" i="15"/>
  <c r="T44" i="15"/>
  <c r="P44" i="15"/>
  <c r="L44" i="15"/>
  <c r="N44" i="15" s="1"/>
  <c r="H44" i="15"/>
  <c r="D44" i="15"/>
  <c r="B44" i="15"/>
  <c r="Z43" i="15"/>
  <c r="X43" i="15"/>
  <c r="T43" i="15"/>
  <c r="P43" i="15"/>
  <c r="L43" i="15"/>
  <c r="N43" i="15" s="1"/>
  <c r="H43" i="15"/>
  <c r="D43" i="15"/>
  <c r="B43" i="15"/>
  <c r="T42" i="15"/>
  <c r="P42" i="15"/>
  <c r="X42" i="15" s="1"/>
  <c r="H42" i="15"/>
  <c r="D42" i="15"/>
  <c r="L42" i="15" s="1"/>
  <c r="N42" i="15" s="1"/>
  <c r="B42" i="15"/>
  <c r="T41" i="15"/>
  <c r="P41" i="15"/>
  <c r="H41" i="15"/>
  <c r="D41" i="15"/>
  <c r="B41" i="15"/>
  <c r="X40" i="15"/>
  <c r="T40" i="15"/>
  <c r="P40" i="15"/>
  <c r="L40" i="15"/>
  <c r="N40" i="15" s="1"/>
  <c r="H40" i="15"/>
  <c r="D40" i="15"/>
  <c r="B40" i="15"/>
  <c r="Z39" i="15"/>
  <c r="X39" i="15"/>
  <c r="T39" i="15"/>
  <c r="P39" i="15"/>
  <c r="L39" i="15"/>
  <c r="N39" i="15" s="1"/>
  <c r="H39" i="15"/>
  <c r="D39" i="15"/>
  <c r="B39" i="15"/>
  <c r="T38" i="15"/>
  <c r="P38" i="15"/>
  <c r="H38" i="15"/>
  <c r="D38" i="15"/>
  <c r="L38" i="15" s="1"/>
  <c r="N38" i="15" s="1"/>
  <c r="B38" i="15"/>
  <c r="T37" i="15"/>
  <c r="P37" i="15"/>
  <c r="H37" i="15"/>
  <c r="D37" i="15"/>
  <c r="B37" i="15"/>
  <c r="X36" i="15"/>
  <c r="T36" i="15"/>
  <c r="P36" i="15"/>
  <c r="L36" i="15"/>
  <c r="N36" i="15" s="1"/>
  <c r="H36" i="15"/>
  <c r="D36" i="15"/>
  <c r="B36" i="15"/>
  <c r="Z35" i="15"/>
  <c r="X35" i="15"/>
  <c r="T35" i="15"/>
  <c r="P35" i="15"/>
  <c r="L35" i="15"/>
  <c r="N35" i="15" s="1"/>
  <c r="H35" i="15"/>
  <c r="D35" i="15"/>
  <c r="B35" i="15"/>
  <c r="T34" i="15"/>
  <c r="P34" i="15"/>
  <c r="X34" i="15" s="1"/>
  <c r="H34" i="15"/>
  <c r="D34" i="15"/>
  <c r="L34" i="15" s="1"/>
  <c r="N34" i="15" s="1"/>
  <c r="B34" i="15"/>
  <c r="T33" i="15"/>
  <c r="P33" i="15"/>
  <c r="H33" i="15"/>
  <c r="D33" i="15"/>
  <c r="B33" i="15"/>
  <c r="X32" i="15"/>
  <c r="T32" i="15"/>
  <c r="P32" i="15"/>
  <c r="L32" i="15"/>
  <c r="N32" i="15" s="1"/>
  <c r="H32" i="15"/>
  <c r="D32" i="15"/>
  <c r="B32" i="15"/>
  <c r="Z31" i="15"/>
  <c r="X31" i="15"/>
  <c r="T31" i="15"/>
  <c r="P31" i="15"/>
  <c r="L31" i="15"/>
  <c r="N31" i="15" s="1"/>
  <c r="H31" i="15"/>
  <c r="D31" i="15"/>
  <c r="B31" i="15"/>
  <c r="T30" i="15"/>
  <c r="P30" i="15"/>
  <c r="H30" i="15"/>
  <c r="D30" i="15"/>
  <c r="L30" i="15" s="1"/>
  <c r="N30" i="15" s="1"/>
  <c r="B30" i="15"/>
  <c r="T29" i="15"/>
  <c r="P29" i="15"/>
  <c r="H29" i="15"/>
  <c r="D29" i="15"/>
  <c r="B29" i="15"/>
  <c r="X28" i="15"/>
  <c r="T28" i="15"/>
  <c r="P28" i="15"/>
  <c r="L28" i="15"/>
  <c r="N28" i="15" s="1"/>
  <c r="H28" i="15"/>
  <c r="D28" i="15"/>
  <c r="B28" i="15"/>
  <c r="Z27" i="15"/>
  <c r="X27" i="15"/>
  <c r="T27" i="15"/>
  <c r="P27" i="15"/>
  <c r="L27" i="15"/>
  <c r="N27" i="15" s="1"/>
  <c r="H27" i="15"/>
  <c r="D27" i="15"/>
  <c r="B27" i="15"/>
  <c r="T26" i="15"/>
  <c r="P26" i="15"/>
  <c r="X26" i="15" s="1"/>
  <c r="H26" i="15"/>
  <c r="D26" i="15"/>
  <c r="L26" i="15" s="1"/>
  <c r="N26" i="15" s="1"/>
  <c r="B26" i="15"/>
  <c r="T25" i="15"/>
  <c r="P25" i="15"/>
  <c r="L25" i="15"/>
  <c r="H25" i="15"/>
  <c r="D25" i="15"/>
  <c r="B25" i="15"/>
  <c r="X24" i="15"/>
  <c r="T24" i="15"/>
  <c r="P24" i="15"/>
  <c r="L24" i="15"/>
  <c r="N24" i="15" s="1"/>
  <c r="H24" i="15"/>
  <c r="D24" i="15"/>
  <c r="B24" i="15"/>
  <c r="Z23" i="15"/>
  <c r="X23" i="15"/>
  <c r="T23" i="15"/>
  <c r="P23" i="15"/>
  <c r="L23" i="15"/>
  <c r="N23" i="15" s="1"/>
  <c r="H23" i="15"/>
  <c r="D23" i="15"/>
  <c r="B23" i="15"/>
  <c r="T22" i="15"/>
  <c r="P22" i="15"/>
  <c r="X22" i="15" s="1"/>
  <c r="H22" i="15"/>
  <c r="D22" i="15"/>
  <c r="L22" i="15" s="1"/>
  <c r="N22" i="15" s="1"/>
  <c r="B22" i="15"/>
  <c r="T21" i="15"/>
  <c r="P21" i="15"/>
  <c r="H21" i="15"/>
  <c r="D21" i="15"/>
  <c r="B21" i="15"/>
  <c r="X20" i="15"/>
  <c r="T20" i="15"/>
  <c r="P20" i="15"/>
  <c r="L20" i="15"/>
  <c r="N20" i="15" s="1"/>
  <c r="H20" i="15"/>
  <c r="D20" i="15"/>
  <c r="B20" i="15"/>
  <c r="Z19" i="15"/>
  <c r="X19" i="15"/>
  <c r="T19" i="15"/>
  <c r="P19" i="15"/>
  <c r="L19" i="15"/>
  <c r="N19" i="15" s="1"/>
  <c r="H19" i="15"/>
  <c r="D19" i="15"/>
  <c r="B19" i="15"/>
  <c r="T18" i="15"/>
  <c r="P18" i="15"/>
  <c r="X18" i="15" s="1"/>
  <c r="H18" i="15"/>
  <c r="D18" i="15"/>
  <c r="L18" i="15" s="1"/>
  <c r="N18" i="15" s="1"/>
  <c r="B18" i="15"/>
  <c r="T17" i="15"/>
  <c r="P17" i="15"/>
  <c r="H17" i="15"/>
  <c r="D17" i="15"/>
  <c r="B17" i="15"/>
  <c r="X16" i="15"/>
  <c r="T16" i="15"/>
  <c r="P16" i="15"/>
  <c r="L16" i="15"/>
  <c r="N16" i="15" s="1"/>
  <c r="H16" i="15"/>
  <c r="D16" i="15"/>
  <c r="B16" i="15"/>
  <c r="Z15" i="15"/>
  <c r="X15" i="15"/>
  <c r="T15" i="15"/>
  <c r="P15" i="15"/>
  <c r="L15" i="15"/>
  <c r="N15" i="15" s="1"/>
  <c r="H15" i="15"/>
  <c r="D15" i="15"/>
  <c r="B15" i="15"/>
  <c r="T14" i="15"/>
  <c r="P14" i="15"/>
  <c r="H14" i="15"/>
  <c r="D14" i="15"/>
  <c r="L14" i="15" s="1"/>
  <c r="N14" i="15" s="1"/>
  <c r="B14" i="15"/>
  <c r="T13" i="15"/>
  <c r="Z13" i="15" s="1"/>
  <c r="P13" i="15"/>
  <c r="H13" i="15"/>
  <c r="D13" i="15"/>
  <c r="B13" i="15"/>
  <c r="T12" i="15"/>
  <c r="V136" i="15" s="1"/>
  <c r="D4" i="15"/>
  <c r="Z257" i="12"/>
  <c r="X257" i="12"/>
  <c r="L257" i="12"/>
  <c r="N257" i="12" s="1"/>
  <c r="X253" i="12"/>
  <c r="T253" i="12"/>
  <c r="Z253" i="12" s="1"/>
  <c r="P253" i="12"/>
  <c r="N253" i="12"/>
  <c r="L253" i="12"/>
  <c r="H253" i="12"/>
  <c r="D253" i="12"/>
  <c r="B253" i="12"/>
  <c r="X252" i="12"/>
  <c r="Z252" i="12" s="1"/>
  <c r="T252" i="12"/>
  <c r="P252" i="12"/>
  <c r="N252" i="12"/>
  <c r="H252" i="12"/>
  <c r="D252" i="12"/>
  <c r="L252" i="12" s="1"/>
  <c r="B252" i="12"/>
  <c r="T251" i="12"/>
  <c r="P251" i="12"/>
  <c r="X251" i="12" s="1"/>
  <c r="Z251" i="12" s="1"/>
  <c r="H251" i="12"/>
  <c r="D251" i="12"/>
  <c r="L251" i="12" s="1"/>
  <c r="B251" i="12"/>
  <c r="T250" i="12"/>
  <c r="P250" i="12"/>
  <c r="H250" i="12"/>
  <c r="D250" i="12"/>
  <c r="L250" i="12" s="1"/>
  <c r="N250" i="12" s="1"/>
  <c r="B250" i="12"/>
  <c r="T249" i="12"/>
  <c r="P249" i="12"/>
  <c r="H249" i="12"/>
  <c r="D249" i="12"/>
  <c r="L249" i="12" s="1"/>
  <c r="N249" i="12" s="1"/>
  <c r="B249" i="12"/>
  <c r="T248" i="12"/>
  <c r="P248" i="12"/>
  <c r="X248" i="12" s="1"/>
  <c r="Z248" i="12" s="1"/>
  <c r="H248" i="12"/>
  <c r="D248" i="12"/>
  <c r="B248" i="12"/>
  <c r="X247" i="12"/>
  <c r="Z247" i="12" s="1"/>
  <c r="T247" i="12"/>
  <c r="P247" i="12"/>
  <c r="L247" i="12"/>
  <c r="H247" i="12"/>
  <c r="D247" i="12"/>
  <c r="B247" i="12"/>
  <c r="T246" i="12"/>
  <c r="P246" i="12"/>
  <c r="L246" i="12"/>
  <c r="N246" i="12" s="1"/>
  <c r="H246" i="12"/>
  <c r="D246" i="12"/>
  <c r="D245" i="12" s="1"/>
  <c r="B246" i="12"/>
  <c r="P245" i="12"/>
  <c r="X243" i="12"/>
  <c r="Z243" i="12" s="1"/>
  <c r="L243" i="12"/>
  <c r="N243" i="12" s="1"/>
  <c r="B243" i="12"/>
  <c r="T242" i="12"/>
  <c r="P242" i="12"/>
  <c r="X242" i="12" s="1"/>
  <c r="Z242" i="12" s="1"/>
  <c r="H242" i="12"/>
  <c r="D242" i="12"/>
  <c r="B242" i="12"/>
  <c r="X241" i="12"/>
  <c r="Z241" i="12" s="1"/>
  <c r="N241" i="12"/>
  <c r="L241" i="12"/>
  <c r="B241" i="12"/>
  <c r="Z240" i="12"/>
  <c r="X240" i="12"/>
  <c r="N240" i="12"/>
  <c r="L240" i="12"/>
  <c r="B240" i="12"/>
  <c r="X239" i="12"/>
  <c r="Z239" i="12" s="1"/>
  <c r="N239" i="12"/>
  <c r="L239" i="12"/>
  <c r="B239" i="12"/>
  <c r="X238" i="12"/>
  <c r="Z238" i="12" s="1"/>
  <c r="T238" i="12"/>
  <c r="P238" i="12"/>
  <c r="H238" i="12"/>
  <c r="D238" i="12"/>
  <c r="B238" i="12"/>
  <c r="Z237" i="12"/>
  <c r="X237" i="12"/>
  <c r="N237" i="12"/>
  <c r="L237" i="12"/>
  <c r="B237" i="12"/>
  <c r="T236" i="12"/>
  <c r="X236" i="12" s="1"/>
  <c r="P236" i="12"/>
  <c r="L236" i="12"/>
  <c r="N236" i="12" s="1"/>
  <c r="H236" i="12"/>
  <c r="D236" i="12"/>
  <c r="B236" i="12"/>
  <c r="X235" i="12"/>
  <c r="Z235" i="12" s="1"/>
  <c r="L235" i="12"/>
  <c r="N235" i="12" s="1"/>
  <c r="B235" i="12"/>
  <c r="X234" i="12"/>
  <c r="Z234" i="12" s="1"/>
  <c r="L234" i="12"/>
  <c r="N234" i="12" s="1"/>
  <c r="B234" i="12"/>
  <c r="Z233" i="12"/>
  <c r="T233" i="12"/>
  <c r="P233" i="12"/>
  <c r="X233" i="12" s="1"/>
  <c r="H233" i="12"/>
  <c r="D233" i="12"/>
  <c r="L233" i="12" s="1"/>
  <c r="B233" i="12"/>
  <c r="Z232" i="12"/>
  <c r="X232" i="12"/>
  <c r="N232" i="12"/>
  <c r="L232" i="12"/>
  <c r="B232" i="12"/>
  <c r="X231" i="12"/>
  <c r="Z231" i="12" s="1"/>
  <c r="N231" i="12"/>
  <c r="L231" i="12"/>
  <c r="B231" i="12"/>
  <c r="X230" i="12"/>
  <c r="Z230" i="12" s="1"/>
  <c r="N230" i="12"/>
  <c r="L230" i="12"/>
  <c r="B230" i="12"/>
  <c r="Z229" i="12"/>
  <c r="X229" i="12"/>
  <c r="N229" i="12"/>
  <c r="L229" i="12"/>
  <c r="B229" i="12"/>
  <c r="Z228" i="12"/>
  <c r="X228" i="12"/>
  <c r="N228" i="12"/>
  <c r="L228" i="12"/>
  <c r="B228" i="12"/>
  <c r="Z227" i="12"/>
  <c r="X227" i="12"/>
  <c r="N227" i="12"/>
  <c r="L227" i="12"/>
  <c r="B227" i="12"/>
  <c r="X226" i="12"/>
  <c r="Z226" i="12" s="1"/>
  <c r="L226" i="12"/>
  <c r="N226" i="12" s="1"/>
  <c r="B226" i="12"/>
  <c r="X225" i="12"/>
  <c r="Z225" i="12" s="1"/>
  <c r="T225" i="12"/>
  <c r="P225" i="12"/>
  <c r="L225" i="12"/>
  <c r="H225" i="12"/>
  <c r="D225" i="12"/>
  <c r="B225" i="12"/>
  <c r="Z224" i="12"/>
  <c r="X224" i="12"/>
  <c r="N224" i="12"/>
  <c r="L224" i="12"/>
  <c r="B224" i="12"/>
  <c r="Z223" i="12"/>
  <c r="X223" i="12"/>
  <c r="L223" i="12"/>
  <c r="N223" i="12" s="1"/>
  <c r="B223" i="12"/>
  <c r="Z222" i="12"/>
  <c r="X222" i="12"/>
  <c r="T222" i="12"/>
  <c r="P222" i="12"/>
  <c r="N222" i="12"/>
  <c r="H222" i="12"/>
  <c r="L222" i="12" s="1"/>
  <c r="D222" i="12"/>
  <c r="B222" i="12"/>
  <c r="Z221" i="12"/>
  <c r="X221" i="12"/>
  <c r="N221" i="12"/>
  <c r="L221" i="12"/>
  <c r="B221" i="12"/>
  <c r="Z220" i="12"/>
  <c r="X220" i="12"/>
  <c r="N220" i="12"/>
  <c r="L220" i="12"/>
  <c r="B220" i="12"/>
  <c r="X219" i="12"/>
  <c r="Z219" i="12" s="1"/>
  <c r="L219" i="12"/>
  <c r="N219" i="12" s="1"/>
  <c r="B219" i="12"/>
  <c r="X218" i="12"/>
  <c r="Z218" i="12" s="1"/>
  <c r="L218" i="12"/>
  <c r="N218" i="12" s="1"/>
  <c r="B218" i="12"/>
  <c r="Z217" i="12"/>
  <c r="X217" i="12"/>
  <c r="L217" i="12"/>
  <c r="N217" i="12" s="1"/>
  <c r="B217" i="12"/>
  <c r="T216" i="12"/>
  <c r="P216" i="12"/>
  <c r="L216" i="12"/>
  <c r="N216" i="12" s="1"/>
  <c r="H216" i="12"/>
  <c r="D216" i="12"/>
  <c r="B216" i="12"/>
  <c r="X215" i="12"/>
  <c r="Z215" i="12" s="1"/>
  <c r="N215" i="12"/>
  <c r="L215" i="12"/>
  <c r="B215" i="12"/>
  <c r="X214" i="12"/>
  <c r="Z214" i="12" s="1"/>
  <c r="N214" i="12"/>
  <c r="L214" i="12"/>
  <c r="B214" i="12"/>
  <c r="X213" i="12"/>
  <c r="Z213" i="12" s="1"/>
  <c r="N213" i="12"/>
  <c r="L213" i="12"/>
  <c r="B213" i="12"/>
  <c r="Z212" i="12"/>
  <c r="T212" i="12"/>
  <c r="X212" i="12" s="1"/>
  <c r="P212" i="12"/>
  <c r="H212" i="12"/>
  <c r="D212" i="12"/>
  <c r="L212" i="12" s="1"/>
  <c r="N212" i="12" s="1"/>
  <c r="B212" i="12"/>
  <c r="Z211" i="12"/>
  <c r="X211" i="12"/>
  <c r="L211" i="12"/>
  <c r="N211" i="12" s="1"/>
  <c r="B211" i="12"/>
  <c r="X210" i="12"/>
  <c r="Z210" i="12" s="1"/>
  <c r="L210" i="12"/>
  <c r="N210" i="12" s="1"/>
  <c r="B210" i="12"/>
  <c r="Z209" i="12"/>
  <c r="X209" i="12"/>
  <c r="N209" i="12"/>
  <c r="L209" i="12"/>
  <c r="B209" i="12"/>
  <c r="Z208" i="12"/>
  <c r="X208" i="12"/>
  <c r="N208" i="12"/>
  <c r="L208" i="12"/>
  <c r="B208" i="12"/>
  <c r="T207" i="12"/>
  <c r="P207" i="12"/>
  <c r="X207" i="12" s="1"/>
  <c r="H207" i="12"/>
  <c r="N207" i="12" s="1"/>
  <c r="D207" i="12"/>
  <c r="L207" i="12" s="1"/>
  <c r="B207" i="12"/>
  <c r="X206" i="12"/>
  <c r="Z206" i="12" s="1"/>
  <c r="L206" i="12"/>
  <c r="N206" i="12" s="1"/>
  <c r="B206" i="12"/>
  <c r="Z205" i="12"/>
  <c r="X205" i="12"/>
  <c r="T205" i="12"/>
  <c r="P205" i="12"/>
  <c r="H205" i="12"/>
  <c r="D205" i="12"/>
  <c r="L205" i="12" s="1"/>
  <c r="B205" i="12"/>
  <c r="Z204" i="12"/>
  <c r="X204" i="12"/>
  <c r="N204" i="12"/>
  <c r="L204" i="12"/>
  <c r="B204" i="12"/>
  <c r="T203" i="12"/>
  <c r="P203" i="12"/>
  <c r="N203" i="12"/>
  <c r="L203" i="12"/>
  <c r="H203" i="12"/>
  <c r="D203" i="12"/>
  <c r="B203" i="12"/>
  <c r="Z202" i="12"/>
  <c r="X202" i="12"/>
  <c r="L202" i="12"/>
  <c r="N202" i="12" s="1"/>
  <c r="B202" i="12"/>
  <c r="Z201" i="12"/>
  <c r="T201" i="12"/>
  <c r="P201" i="12"/>
  <c r="X201" i="12" s="1"/>
  <c r="H201" i="12"/>
  <c r="D201" i="12"/>
  <c r="L201" i="12" s="1"/>
  <c r="B201" i="12"/>
  <c r="Z200" i="12"/>
  <c r="X200" i="12"/>
  <c r="N200" i="12"/>
  <c r="L200" i="12"/>
  <c r="B200" i="12"/>
  <c r="T199" i="12"/>
  <c r="P199" i="12"/>
  <c r="X199" i="12" s="1"/>
  <c r="H199" i="12"/>
  <c r="D199" i="12"/>
  <c r="L199" i="12" s="1"/>
  <c r="N199" i="12" s="1"/>
  <c r="B199" i="12"/>
  <c r="X198" i="12"/>
  <c r="Z198" i="12" s="1"/>
  <c r="L198" i="12"/>
  <c r="N198" i="12" s="1"/>
  <c r="B198" i="12"/>
  <c r="Z197" i="12"/>
  <c r="X197" i="12"/>
  <c r="T197" i="12"/>
  <c r="P197" i="12"/>
  <c r="L197" i="12"/>
  <c r="H197" i="12"/>
  <c r="D197" i="12"/>
  <c r="B197" i="12"/>
  <c r="Z196" i="12"/>
  <c r="X196" i="12"/>
  <c r="N196" i="12"/>
  <c r="L196" i="12"/>
  <c r="B196" i="12"/>
  <c r="T195" i="12"/>
  <c r="P195" i="12"/>
  <c r="X195" i="12" s="1"/>
  <c r="H195" i="12"/>
  <c r="D195" i="12"/>
  <c r="B195" i="12"/>
  <c r="X194" i="12"/>
  <c r="Z194" i="12" s="1"/>
  <c r="L194" i="12"/>
  <c r="N194" i="12" s="1"/>
  <c r="B194" i="12"/>
  <c r="Z193" i="12"/>
  <c r="X193" i="12"/>
  <c r="L193" i="12"/>
  <c r="N193" i="12" s="1"/>
  <c r="B193" i="12"/>
  <c r="T192" i="12"/>
  <c r="P192" i="12"/>
  <c r="H192" i="12"/>
  <c r="D192" i="12"/>
  <c r="L192" i="12" s="1"/>
  <c r="N192" i="12" s="1"/>
  <c r="B192" i="12"/>
  <c r="X191" i="12"/>
  <c r="Z191" i="12" s="1"/>
  <c r="N191" i="12"/>
  <c r="L191" i="12"/>
  <c r="B191" i="12"/>
  <c r="X190" i="12"/>
  <c r="Z190" i="12" s="1"/>
  <c r="T190" i="12"/>
  <c r="P190" i="12"/>
  <c r="H190" i="12"/>
  <c r="L190" i="12" s="1"/>
  <c r="D190" i="12"/>
  <c r="B190" i="12"/>
  <c r="Z189" i="12"/>
  <c r="X189" i="12"/>
  <c r="L189" i="12"/>
  <c r="N189" i="12" s="1"/>
  <c r="B189" i="12"/>
  <c r="T188" i="12"/>
  <c r="X188" i="12" s="1"/>
  <c r="P188" i="12"/>
  <c r="N188" i="12"/>
  <c r="L188" i="12"/>
  <c r="H188" i="12"/>
  <c r="D188" i="12"/>
  <c r="B188" i="12"/>
  <c r="X187" i="12"/>
  <c r="Z187" i="12" s="1"/>
  <c r="L187" i="12"/>
  <c r="N187" i="12" s="1"/>
  <c r="B187" i="12"/>
  <c r="X186" i="12"/>
  <c r="T186" i="12"/>
  <c r="P186" i="12"/>
  <c r="H186" i="12"/>
  <c r="D186" i="12"/>
  <c r="B186" i="12"/>
  <c r="X185" i="12"/>
  <c r="Z185" i="12" s="1"/>
  <c r="N185" i="12"/>
  <c r="L185" i="12"/>
  <c r="B185" i="12"/>
  <c r="Z184" i="12"/>
  <c r="X184" i="12"/>
  <c r="N184" i="12"/>
  <c r="L184" i="12"/>
  <c r="B184" i="12"/>
  <c r="T183" i="12"/>
  <c r="P183" i="12"/>
  <c r="N183" i="12"/>
  <c r="L183" i="12"/>
  <c r="H183" i="12"/>
  <c r="D183" i="12"/>
  <c r="B183" i="12"/>
  <c r="Z182" i="12"/>
  <c r="X182" i="12"/>
  <c r="L182" i="12"/>
  <c r="N182" i="12" s="1"/>
  <c r="B182" i="12"/>
  <c r="Z181" i="12"/>
  <c r="X181" i="12"/>
  <c r="N181" i="12"/>
  <c r="L181" i="12"/>
  <c r="B181" i="12"/>
  <c r="Z180" i="12"/>
  <c r="T180" i="12"/>
  <c r="X180" i="12" s="1"/>
  <c r="P180" i="12"/>
  <c r="L180" i="12"/>
  <c r="N180" i="12" s="1"/>
  <c r="H180" i="12"/>
  <c r="D180" i="12"/>
  <c r="B180" i="12"/>
  <c r="X179" i="12"/>
  <c r="Z179" i="12" s="1"/>
  <c r="L179" i="12"/>
  <c r="N179" i="12" s="1"/>
  <c r="B179" i="12"/>
  <c r="X178" i="12"/>
  <c r="T178" i="12"/>
  <c r="P178" i="12"/>
  <c r="H178" i="12"/>
  <c r="D178" i="12"/>
  <c r="L178" i="12" s="1"/>
  <c r="B178" i="12"/>
  <c r="Z177" i="12"/>
  <c r="X177" i="12"/>
  <c r="N177" i="12"/>
  <c r="L177" i="12"/>
  <c r="B177" i="12"/>
  <c r="Z176" i="12"/>
  <c r="T176" i="12"/>
  <c r="X176" i="12" s="1"/>
  <c r="P176" i="12"/>
  <c r="L176" i="12"/>
  <c r="N176" i="12" s="1"/>
  <c r="H176" i="12"/>
  <c r="D176" i="12"/>
  <c r="B176" i="12"/>
  <c r="Z175" i="12"/>
  <c r="X175" i="12"/>
  <c r="L175" i="12"/>
  <c r="N175" i="12" s="1"/>
  <c r="B175" i="12"/>
  <c r="T174" i="12"/>
  <c r="P174" i="12"/>
  <c r="X174" i="12" s="1"/>
  <c r="Z174" i="12" s="1"/>
  <c r="H174" i="12"/>
  <c r="L174" i="12" s="1"/>
  <c r="D174" i="12"/>
  <c r="B174" i="12"/>
  <c r="X173" i="12"/>
  <c r="Z173" i="12" s="1"/>
  <c r="N173" i="12"/>
  <c r="L173" i="12"/>
  <c r="B173" i="12"/>
  <c r="Z172" i="12"/>
  <c r="X172" i="12"/>
  <c r="N172" i="12"/>
  <c r="L172" i="12"/>
  <c r="B172" i="12"/>
  <c r="X171" i="12"/>
  <c r="Z171" i="12" s="1"/>
  <c r="L171" i="12"/>
  <c r="N171" i="12" s="1"/>
  <c r="B171" i="12"/>
  <c r="X170" i="12"/>
  <c r="Z170" i="12" s="1"/>
  <c r="L170" i="12"/>
  <c r="N170" i="12" s="1"/>
  <c r="B170" i="12"/>
  <c r="Z169" i="12"/>
  <c r="X169" i="12"/>
  <c r="L169" i="12"/>
  <c r="N169" i="12" s="1"/>
  <c r="B169" i="12"/>
  <c r="Z168" i="12"/>
  <c r="X168" i="12"/>
  <c r="N168" i="12"/>
  <c r="L168" i="12"/>
  <c r="B168" i="12"/>
  <c r="X167" i="12"/>
  <c r="Z167" i="12" s="1"/>
  <c r="L167" i="12"/>
  <c r="N167" i="12" s="1"/>
  <c r="B167" i="12"/>
  <c r="T166" i="12"/>
  <c r="P166" i="12"/>
  <c r="X166" i="12" s="1"/>
  <c r="H166" i="12"/>
  <c r="D166" i="12"/>
  <c r="B166" i="12"/>
  <c r="X165" i="12"/>
  <c r="Z165" i="12" s="1"/>
  <c r="N165" i="12"/>
  <c r="L165" i="12"/>
  <c r="B165" i="12"/>
  <c r="Z164" i="12"/>
  <c r="X164" i="12"/>
  <c r="N164" i="12"/>
  <c r="L164" i="12"/>
  <c r="B164" i="12"/>
  <c r="X163" i="12"/>
  <c r="Z163" i="12" s="1"/>
  <c r="N163" i="12"/>
  <c r="L163" i="12"/>
  <c r="B163" i="12"/>
  <c r="X162" i="12"/>
  <c r="Z162" i="12" s="1"/>
  <c r="L162" i="12"/>
  <c r="N162" i="12" s="1"/>
  <c r="B162" i="12"/>
  <c r="Z161" i="12"/>
  <c r="X161" i="12"/>
  <c r="N161" i="12"/>
  <c r="L161" i="12"/>
  <c r="B161" i="12"/>
  <c r="Z160" i="12"/>
  <c r="X160" i="12"/>
  <c r="N160" i="12"/>
  <c r="L160" i="12"/>
  <c r="B160" i="12"/>
  <c r="X159" i="12"/>
  <c r="Z159" i="12" s="1"/>
  <c r="N159" i="12"/>
  <c r="L159" i="12"/>
  <c r="B159" i="12"/>
  <c r="X158" i="12"/>
  <c r="Z158" i="12" s="1"/>
  <c r="L158" i="12"/>
  <c r="N158" i="12" s="1"/>
  <c r="B158" i="12"/>
  <c r="X157" i="12"/>
  <c r="Z157" i="12" s="1"/>
  <c r="N157" i="12"/>
  <c r="L157" i="12"/>
  <c r="B157" i="12"/>
  <c r="Z156" i="12"/>
  <c r="X156" i="12"/>
  <c r="N156" i="12"/>
  <c r="L156" i="12"/>
  <c r="B156" i="12"/>
  <c r="X155" i="12"/>
  <c r="T155" i="12"/>
  <c r="P155" i="12"/>
  <c r="N155" i="12"/>
  <c r="L155" i="12"/>
  <c r="H155" i="12"/>
  <c r="D155" i="12"/>
  <c r="B155" i="12"/>
  <c r="T154" i="12"/>
  <c r="P154" i="12"/>
  <c r="X154" i="12" s="1"/>
  <c r="Z154" i="12" s="1"/>
  <c r="H154" i="12"/>
  <c r="D154" i="12"/>
  <c r="Z150" i="12"/>
  <c r="X150" i="12"/>
  <c r="L150" i="12"/>
  <c r="N150" i="12" s="1"/>
  <c r="B150" i="12"/>
  <c r="Z149" i="12"/>
  <c r="X149" i="12"/>
  <c r="L149" i="12"/>
  <c r="N149" i="12" s="1"/>
  <c r="B149" i="12"/>
  <c r="Z148" i="12"/>
  <c r="X148" i="12"/>
  <c r="N148" i="12"/>
  <c r="L148" i="12"/>
  <c r="B148" i="12"/>
  <c r="Z147" i="12"/>
  <c r="X147" i="12"/>
  <c r="L147" i="12"/>
  <c r="N147" i="12" s="1"/>
  <c r="B147" i="12"/>
  <c r="Z146" i="12"/>
  <c r="X146" i="12"/>
  <c r="L146" i="12"/>
  <c r="N146" i="12" s="1"/>
  <c r="B146" i="12"/>
  <c r="Z145" i="12"/>
  <c r="X145" i="12"/>
  <c r="N145" i="12"/>
  <c r="L145" i="12"/>
  <c r="B145" i="12"/>
  <c r="Z144" i="12"/>
  <c r="X144" i="12"/>
  <c r="N144" i="12"/>
  <c r="L144" i="12"/>
  <c r="B144" i="12"/>
  <c r="Z143" i="12"/>
  <c r="X143" i="12"/>
  <c r="L143" i="12"/>
  <c r="N143" i="12" s="1"/>
  <c r="B143" i="12"/>
  <c r="X142" i="12"/>
  <c r="Z142" i="12" s="1"/>
  <c r="L142" i="12"/>
  <c r="N142" i="12" s="1"/>
  <c r="B142" i="12"/>
  <c r="Z141" i="12"/>
  <c r="X141" i="12"/>
  <c r="N141" i="12"/>
  <c r="L141" i="12"/>
  <c r="B141" i="12"/>
  <c r="Z140" i="12"/>
  <c r="X140" i="12"/>
  <c r="N140" i="12"/>
  <c r="L140" i="12"/>
  <c r="B140" i="12"/>
  <c r="Z139" i="12"/>
  <c r="X139" i="12"/>
  <c r="L139" i="12"/>
  <c r="N139" i="12" s="1"/>
  <c r="B139" i="12"/>
  <c r="Z138" i="12"/>
  <c r="X138" i="12"/>
  <c r="L138" i="12"/>
  <c r="N138" i="12" s="1"/>
  <c r="B138" i="12"/>
  <c r="Z137" i="12"/>
  <c r="X137" i="12"/>
  <c r="N137" i="12"/>
  <c r="L137" i="12"/>
  <c r="B137" i="12"/>
  <c r="Z136" i="12"/>
  <c r="X136" i="12"/>
  <c r="N136" i="12"/>
  <c r="L136" i="12"/>
  <c r="B136" i="12"/>
  <c r="Z135" i="12"/>
  <c r="X135" i="12"/>
  <c r="L135" i="12"/>
  <c r="N135" i="12" s="1"/>
  <c r="B135" i="12"/>
  <c r="Z134" i="12"/>
  <c r="X134" i="12"/>
  <c r="N134" i="12"/>
  <c r="L134" i="12"/>
  <c r="B134" i="12"/>
  <c r="Z133" i="12"/>
  <c r="X133" i="12"/>
  <c r="L133" i="12"/>
  <c r="N133" i="12" s="1"/>
  <c r="B133" i="12"/>
  <c r="Z132" i="12"/>
  <c r="X132" i="12"/>
  <c r="N132" i="12"/>
  <c r="L132" i="12"/>
  <c r="B132" i="12"/>
  <c r="Z131" i="12"/>
  <c r="X131" i="12"/>
  <c r="L131" i="12"/>
  <c r="N131" i="12" s="1"/>
  <c r="B131" i="12"/>
  <c r="Z130" i="12"/>
  <c r="X130" i="12"/>
  <c r="L130" i="12"/>
  <c r="N130" i="12" s="1"/>
  <c r="B130" i="12"/>
  <c r="Z129" i="12"/>
  <c r="X129" i="12"/>
  <c r="N129" i="12"/>
  <c r="L129" i="12"/>
  <c r="B129" i="12"/>
  <c r="Z128" i="12"/>
  <c r="X128" i="12"/>
  <c r="N128" i="12"/>
  <c r="L128" i="12"/>
  <c r="B128" i="12"/>
  <c r="Z127" i="12"/>
  <c r="X127" i="12"/>
  <c r="L127" i="12"/>
  <c r="N127" i="12" s="1"/>
  <c r="B127" i="12"/>
  <c r="X126" i="12"/>
  <c r="Z126" i="12" s="1"/>
  <c r="L126" i="12"/>
  <c r="N126" i="12" s="1"/>
  <c r="B126" i="12"/>
  <c r="X125" i="12"/>
  <c r="Z125" i="12" s="1"/>
  <c r="L125" i="12"/>
  <c r="N125" i="12" s="1"/>
  <c r="B125" i="12"/>
  <c r="Z124" i="12"/>
  <c r="X124" i="12"/>
  <c r="N124" i="12"/>
  <c r="L124" i="12"/>
  <c r="B124" i="12"/>
  <c r="Z123" i="12"/>
  <c r="X123" i="12"/>
  <c r="L123" i="12"/>
  <c r="N123" i="12" s="1"/>
  <c r="B123" i="12"/>
  <c r="X122" i="12"/>
  <c r="Z122" i="12" s="1"/>
  <c r="L122" i="12"/>
  <c r="N122" i="12" s="1"/>
  <c r="B122" i="12"/>
  <c r="X121" i="12"/>
  <c r="Z121" i="12" s="1"/>
  <c r="L121" i="12"/>
  <c r="N121" i="12" s="1"/>
  <c r="B121" i="12"/>
  <c r="Z120" i="12"/>
  <c r="X120" i="12"/>
  <c r="N120" i="12"/>
  <c r="L120" i="12"/>
  <c r="B120" i="12"/>
  <c r="Z119" i="12"/>
  <c r="X119" i="12"/>
  <c r="L119" i="12"/>
  <c r="N119" i="12" s="1"/>
  <c r="B119" i="12"/>
  <c r="X118" i="12"/>
  <c r="Z118" i="12" s="1"/>
  <c r="L118" i="12"/>
  <c r="N118" i="12" s="1"/>
  <c r="B118" i="12"/>
  <c r="X117" i="12"/>
  <c r="Z117" i="12" s="1"/>
  <c r="L117" i="12"/>
  <c r="N117" i="12" s="1"/>
  <c r="B117" i="12"/>
  <c r="Z116" i="12"/>
  <c r="X116" i="12"/>
  <c r="N116" i="12"/>
  <c r="L116" i="12"/>
  <c r="B116" i="12"/>
  <c r="Z115" i="12"/>
  <c r="X115" i="12"/>
  <c r="L115" i="12"/>
  <c r="N115" i="12" s="1"/>
  <c r="B115" i="12"/>
  <c r="X114" i="12"/>
  <c r="Z114" i="12" s="1"/>
  <c r="L114" i="12"/>
  <c r="N114" i="12" s="1"/>
  <c r="B114" i="12"/>
  <c r="Z113" i="12"/>
  <c r="X113" i="12"/>
  <c r="N113" i="12"/>
  <c r="L113" i="12"/>
  <c r="B113" i="12"/>
  <c r="Z112" i="12"/>
  <c r="X112" i="12"/>
  <c r="N112" i="12"/>
  <c r="L112" i="12"/>
  <c r="B112" i="12"/>
  <c r="Z111" i="12"/>
  <c r="X111" i="12"/>
  <c r="L111" i="12"/>
  <c r="N111" i="12" s="1"/>
  <c r="B111" i="12"/>
  <c r="X110" i="12"/>
  <c r="Z110" i="12" s="1"/>
  <c r="N110" i="12"/>
  <c r="L110" i="12"/>
  <c r="B110" i="12"/>
  <c r="Z109" i="12"/>
  <c r="X109" i="12"/>
  <c r="L109" i="12"/>
  <c r="N109" i="12" s="1"/>
  <c r="B109" i="12"/>
  <c r="Z108" i="12"/>
  <c r="X108" i="12"/>
  <c r="N108" i="12"/>
  <c r="L108" i="12"/>
  <c r="B108" i="12"/>
  <c r="Z107" i="12"/>
  <c r="X107" i="12"/>
  <c r="N107" i="12"/>
  <c r="L107" i="12"/>
  <c r="B107" i="12"/>
  <c r="X106" i="12"/>
  <c r="Z106" i="12" s="1"/>
  <c r="L106" i="12"/>
  <c r="N106" i="12" s="1"/>
  <c r="B106" i="12"/>
  <c r="X105" i="12"/>
  <c r="Z105" i="12" s="1"/>
  <c r="L105" i="12"/>
  <c r="N105" i="12" s="1"/>
  <c r="B105" i="12"/>
  <c r="Z104" i="12"/>
  <c r="X104" i="12"/>
  <c r="L104" i="12"/>
  <c r="N104" i="12" s="1"/>
  <c r="B104" i="12"/>
  <c r="Z103" i="12"/>
  <c r="X103" i="12"/>
  <c r="L103" i="12"/>
  <c r="N103" i="12" s="1"/>
  <c r="B103" i="12"/>
  <c r="Z102" i="12"/>
  <c r="X102" i="12"/>
  <c r="L102" i="12"/>
  <c r="N102" i="12" s="1"/>
  <c r="B102" i="12"/>
  <c r="T101" i="12"/>
  <c r="P101" i="12"/>
  <c r="X101" i="12" s="1"/>
  <c r="Z101" i="12" s="1"/>
  <c r="H101" i="12"/>
  <c r="N101" i="12" s="1"/>
  <c r="D101" i="12"/>
  <c r="L101" i="12" s="1"/>
  <c r="T99" i="12"/>
  <c r="X99" i="12" s="1"/>
  <c r="Z99" i="12" s="1"/>
  <c r="P99" i="12"/>
  <c r="H99" i="12"/>
  <c r="L99" i="12" s="1"/>
  <c r="N99" i="12" s="1"/>
  <c r="D99" i="12"/>
  <c r="B99" i="12"/>
  <c r="Z98" i="12"/>
  <c r="T98" i="12"/>
  <c r="P98" i="12"/>
  <c r="X98" i="12" s="1"/>
  <c r="N98" i="12"/>
  <c r="H98" i="12"/>
  <c r="L98" i="12" s="1"/>
  <c r="D98" i="12"/>
  <c r="B98" i="12"/>
  <c r="T97" i="12"/>
  <c r="P97" i="12"/>
  <c r="X97" i="12" s="1"/>
  <c r="H97" i="12"/>
  <c r="D97" i="12"/>
  <c r="L97" i="12" s="1"/>
  <c r="B97" i="12"/>
  <c r="T96" i="12"/>
  <c r="X96" i="12" s="1"/>
  <c r="Z96" i="12" s="1"/>
  <c r="P96" i="12"/>
  <c r="L96" i="12"/>
  <c r="H96" i="12"/>
  <c r="D96" i="12"/>
  <c r="B96" i="12"/>
  <c r="T95" i="12"/>
  <c r="Z95" i="12" s="1"/>
  <c r="P95" i="12"/>
  <c r="X95" i="12" s="1"/>
  <c r="H95" i="12"/>
  <c r="L95" i="12" s="1"/>
  <c r="N95" i="12" s="1"/>
  <c r="D95" i="12"/>
  <c r="B95" i="12"/>
  <c r="T94" i="12"/>
  <c r="P94" i="12"/>
  <c r="X94" i="12" s="1"/>
  <c r="H94" i="12"/>
  <c r="D94" i="12"/>
  <c r="L94" i="12" s="1"/>
  <c r="B94" i="12"/>
  <c r="T93" i="12"/>
  <c r="P93" i="12"/>
  <c r="L93" i="12"/>
  <c r="H93" i="12"/>
  <c r="D93" i="12"/>
  <c r="B93" i="12"/>
  <c r="T92" i="12"/>
  <c r="Z92" i="12" s="1"/>
  <c r="P92" i="12"/>
  <c r="X92" i="12" s="1"/>
  <c r="L92" i="12"/>
  <c r="H92" i="12"/>
  <c r="D92" i="12"/>
  <c r="B92" i="12"/>
  <c r="T91" i="12"/>
  <c r="P91" i="12"/>
  <c r="X91" i="12" s="1"/>
  <c r="Z91" i="12" s="1"/>
  <c r="L91" i="12"/>
  <c r="H91" i="12"/>
  <c r="N91" i="12" s="1"/>
  <c r="D91" i="12"/>
  <c r="B91" i="12"/>
  <c r="T90" i="12"/>
  <c r="P90" i="12"/>
  <c r="H90" i="12"/>
  <c r="D90" i="12"/>
  <c r="B90" i="12"/>
  <c r="T89" i="12"/>
  <c r="P89" i="12"/>
  <c r="X89" i="12" s="1"/>
  <c r="Z89" i="12" s="1"/>
  <c r="L89" i="12"/>
  <c r="H89" i="12"/>
  <c r="D89" i="12"/>
  <c r="B89" i="12"/>
  <c r="T88" i="12"/>
  <c r="P88" i="12"/>
  <c r="X88" i="12" s="1"/>
  <c r="Z88" i="12" s="1"/>
  <c r="H88" i="12"/>
  <c r="L88" i="12" s="1"/>
  <c r="D88" i="12"/>
  <c r="B88" i="12"/>
  <c r="T87" i="12"/>
  <c r="X87" i="12" s="1"/>
  <c r="Z87" i="12" s="1"/>
  <c r="P87" i="12"/>
  <c r="H87" i="12"/>
  <c r="L87" i="12" s="1"/>
  <c r="N87" i="12" s="1"/>
  <c r="D87" i="12"/>
  <c r="B87" i="12"/>
  <c r="Z86" i="12"/>
  <c r="T86" i="12"/>
  <c r="P86" i="12"/>
  <c r="X86" i="12" s="1"/>
  <c r="N86" i="12"/>
  <c r="H86" i="12"/>
  <c r="L86" i="12" s="1"/>
  <c r="D86" i="12"/>
  <c r="B86" i="12"/>
  <c r="T85" i="12"/>
  <c r="Z85" i="12" s="1"/>
  <c r="P85" i="12"/>
  <c r="X85" i="12" s="1"/>
  <c r="H85" i="12"/>
  <c r="D85" i="12"/>
  <c r="L85" i="12" s="1"/>
  <c r="B85" i="12"/>
  <c r="T84" i="12"/>
  <c r="X84" i="12" s="1"/>
  <c r="Z84" i="12" s="1"/>
  <c r="P84" i="12"/>
  <c r="L84" i="12"/>
  <c r="H84" i="12"/>
  <c r="D84" i="12"/>
  <c r="B84" i="12"/>
  <c r="T83" i="12"/>
  <c r="P83" i="12"/>
  <c r="X83" i="12" s="1"/>
  <c r="H83" i="12"/>
  <c r="L83" i="12" s="1"/>
  <c r="N83" i="12" s="1"/>
  <c r="D83" i="12"/>
  <c r="B83" i="12"/>
  <c r="T82" i="12"/>
  <c r="Z82" i="12" s="1"/>
  <c r="P82" i="12"/>
  <c r="X82" i="12" s="1"/>
  <c r="H82" i="12"/>
  <c r="N82" i="12" s="1"/>
  <c r="D82" i="12"/>
  <c r="L82" i="12" s="1"/>
  <c r="B82" i="12"/>
  <c r="T81" i="12"/>
  <c r="P81" i="12"/>
  <c r="L81" i="12"/>
  <c r="H81" i="12"/>
  <c r="D81" i="12"/>
  <c r="B81" i="12"/>
  <c r="T80" i="12"/>
  <c r="P80" i="12"/>
  <c r="X80" i="12" s="1"/>
  <c r="H80" i="12"/>
  <c r="L80" i="12" s="1"/>
  <c r="N80" i="12" s="1"/>
  <c r="D80" i="12"/>
  <c r="B80" i="12"/>
  <c r="T79" i="12"/>
  <c r="P79" i="12"/>
  <c r="H79" i="12"/>
  <c r="N79" i="12" s="1"/>
  <c r="D79" i="12"/>
  <c r="L79" i="12" s="1"/>
  <c r="B79" i="12"/>
  <c r="T78" i="12"/>
  <c r="P78" i="12"/>
  <c r="X78" i="12" s="1"/>
  <c r="Z78" i="12" s="1"/>
  <c r="H78" i="12"/>
  <c r="D78" i="12"/>
  <c r="B78" i="12"/>
  <c r="X77" i="12"/>
  <c r="T77" i="12"/>
  <c r="Z77" i="12" s="1"/>
  <c r="P77" i="12"/>
  <c r="H77" i="12"/>
  <c r="D77" i="12"/>
  <c r="L77" i="12" s="1"/>
  <c r="B77" i="12"/>
  <c r="X76" i="12"/>
  <c r="Z76" i="12" s="1"/>
  <c r="T76" i="12"/>
  <c r="P76" i="12"/>
  <c r="L76" i="12"/>
  <c r="H76" i="12"/>
  <c r="N76" i="12" s="1"/>
  <c r="D76" i="12"/>
  <c r="B76" i="12"/>
  <c r="X75" i="12"/>
  <c r="T75" i="12"/>
  <c r="Z75" i="12" s="1"/>
  <c r="P75" i="12"/>
  <c r="N75" i="12"/>
  <c r="H75" i="12"/>
  <c r="D75" i="12"/>
  <c r="L75" i="12" s="1"/>
  <c r="B75" i="12"/>
  <c r="Z74" i="12"/>
  <c r="T74" i="12"/>
  <c r="P74" i="12"/>
  <c r="X74" i="12" s="1"/>
  <c r="L74" i="12"/>
  <c r="H74" i="12"/>
  <c r="N74" i="12" s="1"/>
  <c r="D74" i="12"/>
  <c r="B74" i="12"/>
  <c r="T73" i="12"/>
  <c r="P73" i="12"/>
  <c r="X73" i="12" s="1"/>
  <c r="L73" i="12"/>
  <c r="H73" i="12"/>
  <c r="D73" i="12"/>
  <c r="B73" i="12"/>
  <c r="T72" i="12"/>
  <c r="P72" i="12"/>
  <c r="X72" i="12" s="1"/>
  <c r="Z72" i="12" s="1"/>
  <c r="L72" i="12"/>
  <c r="H72" i="12"/>
  <c r="N72" i="12" s="1"/>
  <c r="D72" i="12"/>
  <c r="B72" i="12"/>
  <c r="T71" i="12"/>
  <c r="P71" i="12"/>
  <c r="X71" i="12" s="1"/>
  <c r="Z71" i="12" s="1"/>
  <c r="H71" i="12"/>
  <c r="D71" i="12"/>
  <c r="B71" i="12"/>
  <c r="T70" i="12"/>
  <c r="P70" i="12"/>
  <c r="H70" i="12"/>
  <c r="D70" i="12"/>
  <c r="B70" i="12"/>
  <c r="T69" i="12"/>
  <c r="P69" i="12"/>
  <c r="X69" i="12" s="1"/>
  <c r="Z69" i="12" s="1"/>
  <c r="L69" i="12"/>
  <c r="N69" i="12" s="1"/>
  <c r="H69" i="12"/>
  <c r="D69" i="12"/>
  <c r="B69" i="12"/>
  <c r="Z68" i="12"/>
  <c r="T68" i="12"/>
  <c r="P68" i="12"/>
  <c r="X68" i="12" s="1"/>
  <c r="H68" i="12"/>
  <c r="N68" i="12" s="1"/>
  <c r="D68" i="12"/>
  <c r="L68" i="12" s="1"/>
  <c r="B68" i="12"/>
  <c r="T67" i="12"/>
  <c r="P67" i="12"/>
  <c r="X67" i="12" s="1"/>
  <c r="Z67" i="12" s="1"/>
  <c r="H67" i="12"/>
  <c r="D67" i="12"/>
  <c r="B67" i="12"/>
  <c r="T66" i="12"/>
  <c r="P66" i="12"/>
  <c r="H66" i="12"/>
  <c r="D66" i="12"/>
  <c r="B66" i="12"/>
  <c r="T65" i="12"/>
  <c r="P65" i="12"/>
  <c r="X65" i="12" s="1"/>
  <c r="Z65" i="12" s="1"/>
  <c r="L65" i="12"/>
  <c r="N65" i="12" s="1"/>
  <c r="H65" i="12"/>
  <c r="D65" i="12"/>
  <c r="B65" i="12"/>
  <c r="T64" i="12"/>
  <c r="P64" i="12"/>
  <c r="X64" i="12" s="1"/>
  <c r="Z64" i="12" s="1"/>
  <c r="H64" i="12"/>
  <c r="D64" i="12"/>
  <c r="L64" i="12" s="1"/>
  <c r="B64" i="12"/>
  <c r="T63" i="12"/>
  <c r="P63" i="12"/>
  <c r="X63" i="12" s="1"/>
  <c r="Z63" i="12" s="1"/>
  <c r="H63" i="12"/>
  <c r="D63" i="12"/>
  <c r="B63" i="12"/>
  <c r="T62" i="12"/>
  <c r="P62" i="12"/>
  <c r="H62" i="12"/>
  <c r="N62" i="12" s="1"/>
  <c r="D62" i="12"/>
  <c r="B62" i="12"/>
  <c r="Z61" i="12"/>
  <c r="T61" i="12"/>
  <c r="P61" i="12"/>
  <c r="X61" i="12" s="1"/>
  <c r="L61" i="12"/>
  <c r="N61" i="12" s="1"/>
  <c r="H61" i="12"/>
  <c r="D61" i="12"/>
  <c r="B61" i="12"/>
  <c r="T60" i="12"/>
  <c r="P60" i="12"/>
  <c r="X60" i="12" s="1"/>
  <c r="Z60" i="12" s="1"/>
  <c r="H60" i="12"/>
  <c r="D60" i="12"/>
  <c r="L60" i="12" s="1"/>
  <c r="B60" i="12"/>
  <c r="T59" i="12"/>
  <c r="P59" i="12"/>
  <c r="X59" i="12" s="1"/>
  <c r="Z59" i="12" s="1"/>
  <c r="H59" i="12"/>
  <c r="D59" i="12"/>
  <c r="B59" i="12"/>
  <c r="T58" i="12"/>
  <c r="P58" i="12"/>
  <c r="H58" i="12"/>
  <c r="D58" i="12"/>
  <c r="B58" i="12"/>
  <c r="T57" i="12"/>
  <c r="P57" i="12"/>
  <c r="X57" i="12" s="1"/>
  <c r="Z57" i="12" s="1"/>
  <c r="L57" i="12"/>
  <c r="N57" i="12" s="1"/>
  <c r="H57" i="12"/>
  <c r="D57" i="12"/>
  <c r="B57" i="12"/>
  <c r="T56" i="12"/>
  <c r="P56" i="12"/>
  <c r="X56" i="12" s="1"/>
  <c r="Z56" i="12" s="1"/>
  <c r="H56" i="12"/>
  <c r="D56" i="12"/>
  <c r="L56" i="12" s="1"/>
  <c r="B56" i="12"/>
  <c r="T55" i="12"/>
  <c r="P55" i="12"/>
  <c r="X55" i="12" s="1"/>
  <c r="Z55" i="12" s="1"/>
  <c r="H55" i="12"/>
  <c r="D55" i="12"/>
  <c r="B55" i="12"/>
  <c r="T54" i="12"/>
  <c r="P54" i="12"/>
  <c r="H54" i="12"/>
  <c r="D54" i="12"/>
  <c r="B54" i="12"/>
  <c r="T53" i="12"/>
  <c r="P53" i="12"/>
  <c r="X53" i="12" s="1"/>
  <c r="Z53" i="12" s="1"/>
  <c r="L53" i="12"/>
  <c r="N53" i="12" s="1"/>
  <c r="H53" i="12"/>
  <c r="D53" i="12"/>
  <c r="B53" i="12"/>
  <c r="T52" i="12"/>
  <c r="P52" i="12"/>
  <c r="X52" i="12" s="1"/>
  <c r="Z52" i="12" s="1"/>
  <c r="H52" i="12"/>
  <c r="D52" i="12"/>
  <c r="L52" i="12" s="1"/>
  <c r="B52" i="12"/>
  <c r="T51" i="12"/>
  <c r="P51" i="12"/>
  <c r="X51" i="12" s="1"/>
  <c r="Z51" i="12" s="1"/>
  <c r="H51" i="12"/>
  <c r="D51" i="12"/>
  <c r="B51" i="12"/>
  <c r="T50" i="12"/>
  <c r="P50" i="12"/>
  <c r="H50" i="12"/>
  <c r="D50" i="12"/>
  <c r="B50" i="12"/>
  <c r="Z49" i="12"/>
  <c r="T49" i="12"/>
  <c r="P49" i="12"/>
  <c r="X49" i="12" s="1"/>
  <c r="L49" i="12"/>
  <c r="N49" i="12" s="1"/>
  <c r="H49" i="12"/>
  <c r="D49" i="12"/>
  <c r="B49" i="12"/>
  <c r="T48" i="12"/>
  <c r="P48" i="12"/>
  <c r="X48" i="12" s="1"/>
  <c r="Z48" i="12" s="1"/>
  <c r="H48" i="12"/>
  <c r="D48" i="12"/>
  <c r="L48" i="12" s="1"/>
  <c r="B48" i="12"/>
  <c r="T47" i="12"/>
  <c r="P47" i="12"/>
  <c r="X47" i="12" s="1"/>
  <c r="Z47" i="12" s="1"/>
  <c r="H47" i="12"/>
  <c r="D47" i="12"/>
  <c r="B47" i="12"/>
  <c r="T46" i="12"/>
  <c r="P46" i="12"/>
  <c r="H46" i="12"/>
  <c r="D46" i="12"/>
  <c r="B46" i="12"/>
  <c r="T45" i="12"/>
  <c r="P45" i="12"/>
  <c r="X45" i="12" s="1"/>
  <c r="Z45" i="12" s="1"/>
  <c r="L45" i="12"/>
  <c r="N45" i="12" s="1"/>
  <c r="H45" i="12"/>
  <c r="D45" i="12"/>
  <c r="B45" i="12"/>
  <c r="T44" i="12"/>
  <c r="P44" i="12"/>
  <c r="X44" i="12" s="1"/>
  <c r="Z44" i="12" s="1"/>
  <c r="H44" i="12"/>
  <c r="D44" i="12"/>
  <c r="L44" i="12" s="1"/>
  <c r="B44" i="12"/>
  <c r="T43" i="12"/>
  <c r="P43" i="12"/>
  <c r="X43" i="12" s="1"/>
  <c r="Z43" i="12" s="1"/>
  <c r="H43" i="12"/>
  <c r="D43" i="12"/>
  <c r="B43" i="12"/>
  <c r="T42" i="12"/>
  <c r="P42" i="12"/>
  <c r="H42" i="12"/>
  <c r="D42" i="12"/>
  <c r="B42" i="12"/>
  <c r="T41" i="12"/>
  <c r="P41" i="12"/>
  <c r="X41" i="12" s="1"/>
  <c r="Z41" i="12" s="1"/>
  <c r="L41" i="12"/>
  <c r="N41" i="12" s="1"/>
  <c r="H41" i="12"/>
  <c r="D41" i="12"/>
  <c r="B41" i="12"/>
  <c r="T40" i="12"/>
  <c r="P40" i="12"/>
  <c r="X40" i="12" s="1"/>
  <c r="Z40" i="12" s="1"/>
  <c r="H40" i="12"/>
  <c r="D40" i="12"/>
  <c r="L40" i="12" s="1"/>
  <c r="B40" i="12"/>
  <c r="T39" i="12"/>
  <c r="P39" i="12"/>
  <c r="X39" i="12" s="1"/>
  <c r="Z39" i="12" s="1"/>
  <c r="H39" i="12"/>
  <c r="D39" i="12"/>
  <c r="B39" i="12"/>
  <c r="T38" i="12"/>
  <c r="P38" i="12"/>
  <c r="H38" i="12"/>
  <c r="D38" i="12"/>
  <c r="B38" i="12"/>
  <c r="Z37" i="12"/>
  <c r="T37" i="12"/>
  <c r="P37" i="12"/>
  <c r="X37" i="12" s="1"/>
  <c r="L37" i="12"/>
  <c r="N37" i="12" s="1"/>
  <c r="H37" i="12"/>
  <c r="D37" i="12"/>
  <c r="B37" i="12"/>
  <c r="T36" i="12"/>
  <c r="P36" i="12"/>
  <c r="X36" i="12" s="1"/>
  <c r="Z36" i="12" s="1"/>
  <c r="H36" i="12"/>
  <c r="D36" i="12"/>
  <c r="L36" i="12" s="1"/>
  <c r="B36" i="12"/>
  <c r="T35" i="12"/>
  <c r="Z35" i="12" s="1"/>
  <c r="P35" i="12"/>
  <c r="X35" i="12" s="1"/>
  <c r="H35" i="12"/>
  <c r="D35" i="12"/>
  <c r="B35" i="12"/>
  <c r="T34" i="12"/>
  <c r="P34" i="12"/>
  <c r="H34" i="12"/>
  <c r="D34" i="12"/>
  <c r="B34" i="12"/>
  <c r="T33" i="12"/>
  <c r="P33" i="12"/>
  <c r="X33" i="12" s="1"/>
  <c r="Z33" i="12" s="1"/>
  <c r="L33" i="12"/>
  <c r="N33" i="12" s="1"/>
  <c r="H33" i="12"/>
  <c r="D33" i="12"/>
  <c r="B33" i="12"/>
  <c r="T32" i="12"/>
  <c r="P32" i="12"/>
  <c r="X32" i="12" s="1"/>
  <c r="Z32" i="12" s="1"/>
  <c r="H32" i="12"/>
  <c r="N32" i="12" s="1"/>
  <c r="D32" i="12"/>
  <c r="L32" i="12" s="1"/>
  <c r="B32" i="12"/>
  <c r="T31" i="12"/>
  <c r="P31" i="12"/>
  <c r="X31" i="12" s="1"/>
  <c r="H31" i="12"/>
  <c r="D31" i="12"/>
  <c r="B31" i="12"/>
  <c r="T30" i="12"/>
  <c r="P30" i="12"/>
  <c r="H30" i="12"/>
  <c r="D30" i="12"/>
  <c r="B30" i="12"/>
  <c r="T29" i="12"/>
  <c r="P29" i="12"/>
  <c r="X29" i="12" s="1"/>
  <c r="Z29" i="12" s="1"/>
  <c r="L29" i="12"/>
  <c r="N29" i="12" s="1"/>
  <c r="H29" i="12"/>
  <c r="D29" i="12"/>
  <c r="B29" i="12"/>
  <c r="T28" i="12"/>
  <c r="P28" i="12"/>
  <c r="X28" i="12" s="1"/>
  <c r="Z28" i="12" s="1"/>
  <c r="H28" i="12"/>
  <c r="D28" i="12"/>
  <c r="L28" i="12" s="1"/>
  <c r="B28" i="12"/>
  <c r="T27" i="12"/>
  <c r="Z27" i="12" s="1"/>
  <c r="P27" i="12"/>
  <c r="X27" i="12" s="1"/>
  <c r="H27" i="12"/>
  <c r="D27" i="12"/>
  <c r="B27" i="12"/>
  <c r="T26" i="12"/>
  <c r="P26" i="12"/>
  <c r="H26" i="12"/>
  <c r="D26" i="12"/>
  <c r="B26" i="12"/>
  <c r="Z25" i="12"/>
  <c r="T25" i="12"/>
  <c r="P25" i="12"/>
  <c r="X25" i="12" s="1"/>
  <c r="L25" i="12"/>
  <c r="N25" i="12" s="1"/>
  <c r="H25" i="12"/>
  <c r="D25" i="12"/>
  <c r="B25" i="12"/>
  <c r="T24" i="12"/>
  <c r="P24" i="12"/>
  <c r="X24" i="12" s="1"/>
  <c r="Z24" i="12" s="1"/>
  <c r="H24" i="12"/>
  <c r="D24" i="12"/>
  <c r="L24" i="12" s="1"/>
  <c r="B24" i="12"/>
  <c r="T23" i="12"/>
  <c r="Z23" i="12" s="1"/>
  <c r="P23" i="12"/>
  <c r="X23" i="12" s="1"/>
  <c r="H23" i="12"/>
  <c r="D23" i="12"/>
  <c r="B23" i="12"/>
  <c r="T22" i="12"/>
  <c r="P22" i="12"/>
  <c r="H22" i="12"/>
  <c r="D22" i="12"/>
  <c r="B22" i="12"/>
  <c r="T21" i="12"/>
  <c r="P21" i="12"/>
  <c r="X21" i="12" s="1"/>
  <c r="Z21" i="12" s="1"/>
  <c r="L21" i="12"/>
  <c r="N21" i="12" s="1"/>
  <c r="H21" i="12"/>
  <c r="D21" i="12"/>
  <c r="B21" i="12"/>
  <c r="T20" i="12"/>
  <c r="P20" i="12"/>
  <c r="X20" i="12" s="1"/>
  <c r="Z20" i="12" s="1"/>
  <c r="H20" i="12"/>
  <c r="D20" i="12"/>
  <c r="L20" i="12" s="1"/>
  <c r="B20" i="12"/>
  <c r="T19" i="12"/>
  <c r="Z19" i="12" s="1"/>
  <c r="P19" i="12"/>
  <c r="X19" i="12" s="1"/>
  <c r="H19" i="12"/>
  <c r="D19" i="12"/>
  <c r="B19" i="12"/>
  <c r="T18" i="12"/>
  <c r="P18" i="12"/>
  <c r="H18" i="12"/>
  <c r="D18" i="12"/>
  <c r="B18" i="12"/>
  <c r="T17" i="12"/>
  <c r="P17" i="12"/>
  <c r="X17" i="12" s="1"/>
  <c r="Z17" i="12" s="1"/>
  <c r="L17" i="12"/>
  <c r="N17" i="12" s="1"/>
  <c r="H17" i="12"/>
  <c r="D17" i="12"/>
  <c r="B17" i="12"/>
  <c r="T16" i="12"/>
  <c r="P16" i="12"/>
  <c r="X16" i="12" s="1"/>
  <c r="Z16" i="12" s="1"/>
  <c r="L16" i="12"/>
  <c r="H16" i="12"/>
  <c r="N16" i="12" s="1"/>
  <c r="D16" i="12"/>
  <c r="B16" i="12"/>
  <c r="T15" i="12"/>
  <c r="P15" i="12"/>
  <c r="X15" i="12" s="1"/>
  <c r="H15" i="12"/>
  <c r="D15" i="12"/>
  <c r="B15" i="12"/>
  <c r="T14" i="12"/>
  <c r="P14" i="12"/>
  <c r="H14" i="12"/>
  <c r="D14" i="12"/>
  <c r="B14" i="12"/>
  <c r="Z13" i="12"/>
  <c r="T13" i="12"/>
  <c r="T12" i="12" s="1"/>
  <c r="V248" i="12" s="1"/>
  <c r="P13" i="12"/>
  <c r="X13" i="12" s="1"/>
  <c r="N13" i="12"/>
  <c r="L13" i="12"/>
  <c r="H13" i="12"/>
  <c r="D13" i="12"/>
  <c r="B13" i="12"/>
  <c r="D4" i="12"/>
  <c r="R97" i="9"/>
  <c r="R94" i="9"/>
  <c r="Z92" i="9"/>
  <c r="X92" i="9"/>
  <c r="N92" i="9"/>
  <c r="L92" i="9"/>
  <c r="J90" i="9"/>
  <c r="Z88" i="9"/>
  <c r="T88" i="9"/>
  <c r="P88" i="9"/>
  <c r="X88" i="9" s="1"/>
  <c r="L88" i="9"/>
  <c r="J88" i="9"/>
  <c r="H88" i="9"/>
  <c r="N88" i="9" s="1"/>
  <c r="D88" i="9"/>
  <c r="X86" i="9"/>
  <c r="Z86" i="9" s="1"/>
  <c r="L86" i="9"/>
  <c r="N86" i="9" s="1"/>
  <c r="B86" i="9"/>
  <c r="X85" i="9"/>
  <c r="Z85" i="9" s="1"/>
  <c r="N85" i="9"/>
  <c r="L85" i="9"/>
  <c r="B85" i="9"/>
  <c r="X84" i="9"/>
  <c r="V84" i="9"/>
  <c r="T84" i="9"/>
  <c r="Z84" i="9" s="1"/>
  <c r="P84" i="9"/>
  <c r="H84" i="9"/>
  <c r="D84" i="9"/>
  <c r="L84" i="9" s="1"/>
  <c r="N84" i="9" s="1"/>
  <c r="B84" i="9"/>
  <c r="X83" i="9"/>
  <c r="Z83" i="9" s="1"/>
  <c r="L83" i="9"/>
  <c r="N83" i="9" s="1"/>
  <c r="J83" i="9"/>
  <c r="B83" i="9"/>
  <c r="X82" i="9"/>
  <c r="Z82" i="9" s="1"/>
  <c r="T82" i="9"/>
  <c r="R82" i="9"/>
  <c r="P82" i="9"/>
  <c r="H82" i="9"/>
  <c r="N82" i="9" s="1"/>
  <c r="D82" i="9"/>
  <c r="L82" i="9" s="1"/>
  <c r="B82" i="9"/>
  <c r="Z81" i="9"/>
  <c r="X81" i="9"/>
  <c r="R81" i="9"/>
  <c r="L81" i="9"/>
  <c r="N81" i="9" s="1"/>
  <c r="B81" i="9"/>
  <c r="X80" i="9"/>
  <c r="Z80" i="9" s="1"/>
  <c r="R80" i="9"/>
  <c r="L80" i="9"/>
  <c r="N80" i="9" s="1"/>
  <c r="J80" i="9"/>
  <c r="B80" i="9"/>
  <c r="T79" i="9"/>
  <c r="Z79" i="9" s="1"/>
  <c r="P79" i="9"/>
  <c r="X79" i="9" s="1"/>
  <c r="H79" i="9"/>
  <c r="D79" i="9"/>
  <c r="L79" i="9" s="1"/>
  <c r="B79" i="9"/>
  <c r="X78" i="9"/>
  <c r="Z78" i="9" s="1"/>
  <c r="L78" i="9"/>
  <c r="N78" i="9" s="1"/>
  <c r="B78" i="9"/>
  <c r="X77" i="9"/>
  <c r="Z77" i="9" s="1"/>
  <c r="N77" i="9"/>
  <c r="L77" i="9"/>
  <c r="B77" i="9"/>
  <c r="X76" i="9"/>
  <c r="Z76" i="9" s="1"/>
  <c r="V76" i="9"/>
  <c r="N76" i="9"/>
  <c r="L76" i="9"/>
  <c r="B76" i="9"/>
  <c r="Z75" i="9"/>
  <c r="X75" i="9"/>
  <c r="V75" i="9"/>
  <c r="N75" i="9"/>
  <c r="L75" i="9"/>
  <c r="B75" i="9"/>
  <c r="X74" i="9"/>
  <c r="Z74" i="9" s="1"/>
  <c r="L74" i="9"/>
  <c r="N74" i="9" s="1"/>
  <c r="B74" i="9"/>
  <c r="X73" i="9"/>
  <c r="T73" i="9"/>
  <c r="Z73" i="9" s="1"/>
  <c r="R73" i="9"/>
  <c r="P73" i="9"/>
  <c r="J73" i="9"/>
  <c r="H73" i="9"/>
  <c r="D73" i="9"/>
  <c r="L73" i="9" s="1"/>
  <c r="N73" i="9" s="1"/>
  <c r="B73" i="9"/>
  <c r="Z72" i="9"/>
  <c r="X72" i="9"/>
  <c r="R72" i="9"/>
  <c r="L72" i="9"/>
  <c r="N72" i="9" s="1"/>
  <c r="F72" i="9"/>
  <c r="B72" i="9"/>
  <c r="X71" i="9"/>
  <c r="T71" i="9"/>
  <c r="P71" i="9"/>
  <c r="H71" i="9"/>
  <c r="L71" i="9" s="1"/>
  <c r="N71" i="9" s="1"/>
  <c r="F71" i="9"/>
  <c r="D71" i="9"/>
  <c r="B71" i="9"/>
  <c r="Z70" i="9"/>
  <c r="X70" i="9"/>
  <c r="L70" i="9"/>
  <c r="N70" i="9" s="1"/>
  <c r="B70" i="9"/>
  <c r="Z69" i="9"/>
  <c r="X69" i="9"/>
  <c r="R69" i="9"/>
  <c r="L69" i="9"/>
  <c r="N69" i="9" s="1"/>
  <c r="B69" i="9"/>
  <c r="T68" i="9"/>
  <c r="P68" i="9"/>
  <c r="N68" i="9"/>
  <c r="J68" i="9"/>
  <c r="H68" i="9"/>
  <c r="D68" i="9"/>
  <c r="L68" i="9" s="1"/>
  <c r="B68" i="9"/>
  <c r="X67" i="9"/>
  <c r="Z67" i="9" s="1"/>
  <c r="V67" i="9"/>
  <c r="N67" i="9"/>
  <c r="L67" i="9"/>
  <c r="B67" i="9"/>
  <c r="X66" i="9"/>
  <c r="Z66" i="9" s="1"/>
  <c r="L66" i="9"/>
  <c r="N66" i="9" s="1"/>
  <c r="B66" i="9"/>
  <c r="X65" i="9"/>
  <c r="Z65" i="9" s="1"/>
  <c r="N65" i="9"/>
  <c r="L65" i="9"/>
  <c r="B65" i="9"/>
  <c r="X64" i="9"/>
  <c r="V64" i="9"/>
  <c r="T64" i="9"/>
  <c r="Z64" i="9" s="1"/>
  <c r="P64" i="9"/>
  <c r="H64" i="9"/>
  <c r="D64" i="9"/>
  <c r="L64" i="9" s="1"/>
  <c r="N64" i="9" s="1"/>
  <c r="B64" i="9"/>
  <c r="X63" i="9"/>
  <c r="Z63" i="9" s="1"/>
  <c r="L63" i="9"/>
  <c r="N63" i="9" s="1"/>
  <c r="J63" i="9"/>
  <c r="B63" i="9"/>
  <c r="X62" i="9"/>
  <c r="Z62" i="9" s="1"/>
  <c r="N62" i="9"/>
  <c r="L62" i="9"/>
  <c r="J62" i="9"/>
  <c r="B62" i="9"/>
  <c r="Z61" i="9"/>
  <c r="X61" i="9"/>
  <c r="N61" i="9"/>
  <c r="L61" i="9"/>
  <c r="F61" i="9"/>
  <c r="B61" i="9"/>
  <c r="Z60" i="9"/>
  <c r="X60" i="9"/>
  <c r="R60" i="9"/>
  <c r="L60" i="9"/>
  <c r="N60" i="9" s="1"/>
  <c r="F60" i="9"/>
  <c r="B60" i="9"/>
  <c r="X59" i="9"/>
  <c r="T59" i="9"/>
  <c r="Z59" i="9" s="1"/>
  <c r="P59" i="9"/>
  <c r="H59" i="9"/>
  <c r="L59" i="9" s="1"/>
  <c r="N59" i="9" s="1"/>
  <c r="F59" i="9"/>
  <c r="D59" i="9"/>
  <c r="B59" i="9"/>
  <c r="Z58" i="9"/>
  <c r="X58" i="9"/>
  <c r="L58" i="9"/>
  <c r="N58" i="9" s="1"/>
  <c r="B58" i="9"/>
  <c r="T57" i="9"/>
  <c r="P57" i="9"/>
  <c r="J57" i="9"/>
  <c r="H57" i="9"/>
  <c r="D57" i="9"/>
  <c r="L57" i="9" s="1"/>
  <c r="B57" i="9"/>
  <c r="X56" i="9"/>
  <c r="Z56" i="9" s="1"/>
  <c r="V56" i="9"/>
  <c r="N56" i="9"/>
  <c r="L56" i="9"/>
  <c r="F56" i="9"/>
  <c r="B56" i="9"/>
  <c r="V55" i="9"/>
  <c r="T55" i="9"/>
  <c r="P55" i="9"/>
  <c r="X55" i="9" s="1"/>
  <c r="Z55" i="9" s="1"/>
  <c r="L55" i="9"/>
  <c r="H55" i="9"/>
  <c r="N55" i="9" s="1"/>
  <c r="F55" i="9"/>
  <c r="D55" i="9"/>
  <c r="B55" i="9"/>
  <c r="X54" i="9"/>
  <c r="Z54" i="9" s="1"/>
  <c r="N54" i="9"/>
  <c r="L54" i="9"/>
  <c r="J54" i="9"/>
  <c r="B54" i="9"/>
  <c r="Z53" i="9"/>
  <c r="X53" i="9"/>
  <c r="N53" i="9"/>
  <c r="L53" i="9"/>
  <c r="F53" i="9"/>
  <c r="B53" i="9"/>
  <c r="T52" i="9"/>
  <c r="P52" i="9"/>
  <c r="X52" i="9" s="1"/>
  <c r="L52" i="9"/>
  <c r="N52" i="9" s="1"/>
  <c r="H52" i="9"/>
  <c r="F52" i="9"/>
  <c r="D52" i="9"/>
  <c r="B52" i="9"/>
  <c r="X51" i="9"/>
  <c r="Z51" i="9" s="1"/>
  <c r="L51" i="9"/>
  <c r="N51" i="9" s="1"/>
  <c r="J51" i="9"/>
  <c r="B51" i="9"/>
  <c r="T50" i="9"/>
  <c r="P50" i="9"/>
  <c r="X50" i="9" s="1"/>
  <c r="Z50" i="9" s="1"/>
  <c r="J50" i="9"/>
  <c r="H50" i="9"/>
  <c r="D50" i="9"/>
  <c r="B50" i="9"/>
  <c r="X49" i="9"/>
  <c r="Z49" i="9" s="1"/>
  <c r="N49" i="9"/>
  <c r="L49" i="9"/>
  <c r="B49" i="9"/>
  <c r="X48" i="9"/>
  <c r="V48" i="9"/>
  <c r="T48" i="9"/>
  <c r="Z48" i="9" s="1"/>
  <c r="R48" i="9"/>
  <c r="P48" i="9"/>
  <c r="H48" i="9"/>
  <c r="D48" i="9"/>
  <c r="L48" i="9" s="1"/>
  <c r="N48" i="9" s="1"/>
  <c r="B48" i="9"/>
  <c r="X47" i="9"/>
  <c r="Z47" i="9" s="1"/>
  <c r="R47" i="9"/>
  <c r="L47" i="9"/>
  <c r="N47" i="9" s="1"/>
  <c r="J47" i="9"/>
  <c r="B47" i="9"/>
  <c r="X46" i="9"/>
  <c r="Z46" i="9" s="1"/>
  <c r="T46" i="9"/>
  <c r="R46" i="9"/>
  <c r="P46" i="9"/>
  <c r="J46" i="9"/>
  <c r="H46" i="9"/>
  <c r="D46" i="9"/>
  <c r="L46" i="9" s="1"/>
  <c r="B46" i="9"/>
  <c r="Z45" i="9"/>
  <c r="X45" i="9"/>
  <c r="R45" i="9"/>
  <c r="L45" i="9"/>
  <c r="N45" i="9" s="1"/>
  <c r="B45" i="9"/>
  <c r="T44" i="9"/>
  <c r="P44" i="9"/>
  <c r="N44" i="9"/>
  <c r="J44" i="9"/>
  <c r="H44" i="9"/>
  <c r="D44" i="9"/>
  <c r="L44" i="9" s="1"/>
  <c r="B44" i="9"/>
  <c r="X43" i="9"/>
  <c r="Z43" i="9" s="1"/>
  <c r="V43" i="9"/>
  <c r="L43" i="9"/>
  <c r="N43" i="9" s="1"/>
  <c r="F43" i="9"/>
  <c r="B43" i="9"/>
  <c r="T42" i="9"/>
  <c r="R42" i="9"/>
  <c r="P42" i="9"/>
  <c r="X42" i="9" s="1"/>
  <c r="Z42" i="9" s="1"/>
  <c r="L42" i="9"/>
  <c r="J42" i="9"/>
  <c r="H42" i="9"/>
  <c r="N42" i="9" s="1"/>
  <c r="F42" i="9"/>
  <c r="D42" i="9"/>
  <c r="B42" i="9"/>
  <c r="Z41" i="9"/>
  <c r="X41" i="9"/>
  <c r="R41" i="9"/>
  <c r="N41" i="9"/>
  <c r="L41" i="9"/>
  <c r="F41" i="9"/>
  <c r="B41" i="9"/>
  <c r="T40" i="9"/>
  <c r="P40" i="9"/>
  <c r="X40" i="9" s="1"/>
  <c r="L40" i="9"/>
  <c r="N40" i="9" s="1"/>
  <c r="H40" i="9"/>
  <c r="F40" i="9"/>
  <c r="D40" i="9"/>
  <c r="B40" i="9"/>
  <c r="X39" i="9"/>
  <c r="Z39" i="9" s="1"/>
  <c r="V39" i="9"/>
  <c r="L39" i="9"/>
  <c r="N39" i="9" s="1"/>
  <c r="J39" i="9"/>
  <c r="B39" i="9"/>
  <c r="T38" i="9"/>
  <c r="P38" i="9"/>
  <c r="X38" i="9" s="1"/>
  <c r="Z38" i="9" s="1"/>
  <c r="J38" i="9"/>
  <c r="H38" i="9"/>
  <c r="D38" i="9"/>
  <c r="B38" i="9"/>
  <c r="X37" i="9"/>
  <c r="Z37" i="9" s="1"/>
  <c r="N37" i="9"/>
  <c r="L37" i="9"/>
  <c r="J37" i="9"/>
  <c r="B37" i="9"/>
  <c r="X36" i="9"/>
  <c r="Z36" i="9" s="1"/>
  <c r="V36" i="9"/>
  <c r="N36" i="9"/>
  <c r="L36" i="9"/>
  <c r="J36" i="9"/>
  <c r="F36" i="9"/>
  <c r="B36" i="9"/>
  <c r="X35" i="9"/>
  <c r="Z35" i="9" s="1"/>
  <c r="V35" i="9"/>
  <c r="L35" i="9"/>
  <c r="N35" i="9" s="1"/>
  <c r="F35" i="9"/>
  <c r="B35" i="9"/>
  <c r="X34" i="9"/>
  <c r="Z34" i="9" s="1"/>
  <c r="L34" i="9"/>
  <c r="N34" i="9" s="1"/>
  <c r="B34" i="9"/>
  <c r="X33" i="9"/>
  <c r="Z33" i="9" s="1"/>
  <c r="N33" i="9"/>
  <c r="L33" i="9"/>
  <c r="J33" i="9"/>
  <c r="B33" i="9"/>
  <c r="X32" i="9"/>
  <c r="Z32" i="9" s="1"/>
  <c r="V32" i="9"/>
  <c r="N32" i="9"/>
  <c r="L32" i="9"/>
  <c r="J32" i="9"/>
  <c r="F32" i="9"/>
  <c r="B32" i="9"/>
  <c r="X31" i="9"/>
  <c r="Z31" i="9" s="1"/>
  <c r="V31" i="9"/>
  <c r="L31" i="9"/>
  <c r="N31" i="9" s="1"/>
  <c r="F31" i="9"/>
  <c r="B31" i="9"/>
  <c r="T30" i="9"/>
  <c r="R30" i="9"/>
  <c r="P30" i="9"/>
  <c r="X30" i="9" s="1"/>
  <c r="Z30" i="9" s="1"/>
  <c r="L30" i="9"/>
  <c r="J30" i="9"/>
  <c r="H30" i="9"/>
  <c r="N30" i="9" s="1"/>
  <c r="F30" i="9"/>
  <c r="D30" i="9"/>
  <c r="B30" i="9"/>
  <c r="Z29" i="9"/>
  <c r="X29" i="9"/>
  <c r="R29" i="9"/>
  <c r="N29" i="9"/>
  <c r="L29" i="9"/>
  <c r="J29" i="9"/>
  <c r="F29" i="9"/>
  <c r="B29" i="9"/>
  <c r="Z28" i="9"/>
  <c r="X28" i="9"/>
  <c r="R28" i="9"/>
  <c r="L28" i="9"/>
  <c r="N28" i="9" s="1"/>
  <c r="J28" i="9"/>
  <c r="F28" i="9"/>
  <c r="B28" i="9"/>
  <c r="X27" i="9"/>
  <c r="Z27" i="9" s="1"/>
  <c r="R27" i="9"/>
  <c r="L27" i="9"/>
  <c r="N27" i="9" s="1"/>
  <c r="J27" i="9"/>
  <c r="B27" i="9"/>
  <c r="X26" i="9"/>
  <c r="Z26" i="9" s="1"/>
  <c r="N26" i="9"/>
  <c r="L26" i="9"/>
  <c r="J26" i="9"/>
  <c r="B26" i="9"/>
  <c r="Z25" i="9"/>
  <c r="X25" i="9"/>
  <c r="R25" i="9"/>
  <c r="N25" i="9"/>
  <c r="L25" i="9"/>
  <c r="J25" i="9"/>
  <c r="F25" i="9"/>
  <c r="B25" i="9"/>
  <c r="Z24" i="9"/>
  <c r="X24" i="9"/>
  <c r="R24" i="9"/>
  <c r="L24" i="9"/>
  <c r="N24" i="9" s="1"/>
  <c r="J24" i="9"/>
  <c r="F24" i="9"/>
  <c r="B24" i="9"/>
  <c r="X23" i="9"/>
  <c r="Z23" i="9" s="1"/>
  <c r="R23" i="9"/>
  <c r="L23" i="9"/>
  <c r="N23" i="9" s="1"/>
  <c r="J23" i="9"/>
  <c r="B23" i="9"/>
  <c r="X22" i="9"/>
  <c r="Z22" i="9" s="1"/>
  <c r="N22" i="9"/>
  <c r="L22" i="9"/>
  <c r="J22" i="9"/>
  <c r="B22" i="9"/>
  <c r="Z21" i="9"/>
  <c r="X21" i="9"/>
  <c r="R21" i="9"/>
  <c r="N21" i="9"/>
  <c r="L21" i="9"/>
  <c r="J21" i="9"/>
  <c r="F21" i="9"/>
  <c r="B21" i="9"/>
  <c r="Z20" i="9"/>
  <c r="X20" i="9"/>
  <c r="R20" i="9"/>
  <c r="L20" i="9"/>
  <c r="N20" i="9" s="1"/>
  <c r="J20" i="9"/>
  <c r="F20" i="9"/>
  <c r="B20" i="9"/>
  <c r="X19" i="9"/>
  <c r="T19" i="9"/>
  <c r="Z19" i="9" s="1"/>
  <c r="P19" i="9"/>
  <c r="J19" i="9"/>
  <c r="H19" i="9"/>
  <c r="L19" i="9" s="1"/>
  <c r="N19" i="9" s="1"/>
  <c r="F19" i="9"/>
  <c r="D19" i="9"/>
  <c r="B19" i="9"/>
  <c r="T18" i="9"/>
  <c r="R18" i="9"/>
  <c r="P18" i="9"/>
  <c r="X18" i="9" s="1"/>
  <c r="Z18" i="9" s="1"/>
  <c r="J18" i="9"/>
  <c r="H18" i="9"/>
  <c r="N18" i="9" s="1"/>
  <c r="D18" i="9"/>
  <c r="L18" i="9" s="1"/>
  <c r="R16" i="9"/>
  <c r="J16" i="9"/>
  <c r="Z14" i="9"/>
  <c r="T14" i="9"/>
  <c r="R14" i="9"/>
  <c r="P14" i="9"/>
  <c r="P16" i="9" s="1"/>
  <c r="J14" i="9"/>
  <c r="H14" i="9"/>
  <c r="N14" i="9" s="1"/>
  <c r="D14" i="9"/>
  <c r="L14" i="9" s="1"/>
  <c r="Z12" i="9"/>
  <c r="T12" i="9"/>
  <c r="V70" i="9" s="1"/>
  <c r="P12" i="9"/>
  <c r="R84" i="9" s="1"/>
  <c r="N12" i="9"/>
  <c r="L12" i="9"/>
  <c r="H12" i="9"/>
  <c r="J92" i="9" s="1"/>
  <c r="D12" i="9"/>
  <c r="F90" i="9" s="1"/>
  <c r="D4" i="9"/>
  <c r="R31" i="6"/>
  <c r="J31" i="6"/>
  <c r="F31" i="6"/>
  <c r="X29" i="6"/>
  <c r="T29" i="6"/>
  <c r="R29" i="6"/>
  <c r="P29" i="6"/>
  <c r="J29" i="6"/>
  <c r="H29" i="6"/>
  <c r="L29" i="6" s="1"/>
  <c r="N29" i="6" s="1"/>
  <c r="F29" i="6"/>
  <c r="D29" i="6"/>
  <c r="X28" i="6"/>
  <c r="T28" i="6"/>
  <c r="R28" i="6"/>
  <c r="P28" i="6"/>
  <c r="J28" i="6"/>
  <c r="H28" i="6"/>
  <c r="L28" i="6" s="1"/>
  <c r="N28" i="6" s="1"/>
  <c r="F28" i="6"/>
  <c r="D28" i="6"/>
  <c r="R26" i="6"/>
  <c r="J26" i="6"/>
  <c r="F26" i="6"/>
  <c r="Z24" i="6"/>
  <c r="X24" i="6"/>
  <c r="R24" i="6"/>
  <c r="N24" i="6"/>
  <c r="L24" i="6"/>
  <c r="J24" i="6"/>
  <c r="R22" i="6"/>
  <c r="J22" i="6"/>
  <c r="F22" i="6"/>
  <c r="Z20" i="6"/>
  <c r="T20" i="6"/>
  <c r="R20" i="6"/>
  <c r="P20" i="6"/>
  <c r="X20" i="6" s="1"/>
  <c r="L20" i="6"/>
  <c r="J20" i="6"/>
  <c r="H20" i="6"/>
  <c r="N20" i="6" s="1"/>
  <c r="F20" i="6"/>
  <c r="D20" i="6"/>
  <c r="Z18" i="6"/>
  <c r="T18" i="6"/>
  <c r="R18" i="6"/>
  <c r="P18" i="6"/>
  <c r="X18" i="6" s="1"/>
  <c r="L18" i="6"/>
  <c r="J18" i="6"/>
  <c r="H18" i="6"/>
  <c r="N18" i="6" s="1"/>
  <c r="F18" i="6"/>
  <c r="D18" i="6"/>
  <c r="R16" i="6"/>
  <c r="J16" i="6"/>
  <c r="F16" i="6"/>
  <c r="Z14" i="6"/>
  <c r="T14" i="6"/>
  <c r="R14" i="6"/>
  <c r="P14" i="6"/>
  <c r="X14" i="6" s="1"/>
  <c r="L14" i="6"/>
  <c r="J14" i="6"/>
  <c r="H14" i="6"/>
  <c r="H16" i="6" s="1"/>
  <c r="F14" i="6"/>
  <c r="D14" i="6"/>
  <c r="T12" i="6"/>
  <c r="P12" i="6"/>
  <c r="N12" i="6"/>
  <c r="L12" i="6"/>
  <c r="H12" i="6"/>
  <c r="D12" i="6"/>
  <c r="F24" i="6" s="1"/>
  <c r="D4" i="6"/>
  <c r="T302" i="3"/>
  <c r="P302" i="3"/>
  <c r="X302" i="3" s="1"/>
  <c r="H302" i="3"/>
  <c r="D302" i="3"/>
  <c r="L302" i="3" s="1"/>
  <c r="N302" i="3" s="1"/>
  <c r="T301" i="3"/>
  <c r="P301" i="3"/>
  <c r="H301" i="3"/>
  <c r="D301" i="3"/>
  <c r="L301" i="3" s="1"/>
  <c r="N301" i="3" s="1"/>
  <c r="X297" i="3"/>
  <c r="Z297" i="3" s="1"/>
  <c r="L297" i="3"/>
  <c r="N297" i="3" s="1"/>
  <c r="T293" i="3"/>
  <c r="P293" i="3"/>
  <c r="X293" i="3" s="1"/>
  <c r="L293" i="3"/>
  <c r="H293" i="3"/>
  <c r="N293" i="3" s="1"/>
  <c r="D293" i="3"/>
  <c r="B293" i="3"/>
  <c r="Z292" i="3"/>
  <c r="T292" i="3"/>
  <c r="P292" i="3"/>
  <c r="X292" i="3" s="1"/>
  <c r="H292" i="3"/>
  <c r="N292" i="3" s="1"/>
  <c r="D292" i="3"/>
  <c r="B292" i="3"/>
  <c r="T291" i="3"/>
  <c r="P291" i="3"/>
  <c r="X291" i="3" s="1"/>
  <c r="L291" i="3"/>
  <c r="H291" i="3"/>
  <c r="N291" i="3" s="1"/>
  <c r="D291" i="3"/>
  <c r="B291" i="3"/>
  <c r="T290" i="3"/>
  <c r="P290" i="3"/>
  <c r="X290" i="3" s="1"/>
  <c r="Z290" i="3" s="1"/>
  <c r="L290" i="3"/>
  <c r="H290" i="3"/>
  <c r="D290" i="3"/>
  <c r="B290" i="3"/>
  <c r="T289" i="3"/>
  <c r="P289" i="3"/>
  <c r="X289" i="3" s="1"/>
  <c r="H289" i="3"/>
  <c r="D289" i="3"/>
  <c r="L289" i="3" s="1"/>
  <c r="N289" i="3" s="1"/>
  <c r="B289" i="3"/>
  <c r="T288" i="3"/>
  <c r="P288" i="3"/>
  <c r="X288" i="3" s="1"/>
  <c r="Z288" i="3" s="1"/>
  <c r="L288" i="3"/>
  <c r="H288" i="3"/>
  <c r="N288" i="3" s="1"/>
  <c r="D288" i="3"/>
  <c r="B288" i="3"/>
  <c r="X287" i="3"/>
  <c r="T287" i="3"/>
  <c r="P287" i="3"/>
  <c r="H287" i="3"/>
  <c r="N287" i="3" s="1"/>
  <c r="D287" i="3"/>
  <c r="L287" i="3" s="1"/>
  <c r="B287" i="3"/>
  <c r="T286" i="3"/>
  <c r="P286" i="3"/>
  <c r="X286" i="3" s="1"/>
  <c r="Z286" i="3" s="1"/>
  <c r="H286" i="3"/>
  <c r="D286" i="3"/>
  <c r="L286" i="3" s="1"/>
  <c r="N286" i="3" s="1"/>
  <c r="B286" i="3"/>
  <c r="X285" i="3"/>
  <c r="T285" i="3"/>
  <c r="Z285" i="3" s="1"/>
  <c r="P285" i="3"/>
  <c r="H285" i="3"/>
  <c r="D285" i="3"/>
  <c r="L285" i="3" s="1"/>
  <c r="B285" i="3"/>
  <c r="X284" i="3"/>
  <c r="T284" i="3"/>
  <c r="Z284" i="3" s="1"/>
  <c r="P284" i="3"/>
  <c r="H284" i="3"/>
  <c r="D284" i="3"/>
  <c r="L284" i="3" s="1"/>
  <c r="N284" i="3" s="1"/>
  <c r="B284" i="3"/>
  <c r="T283" i="3"/>
  <c r="P283" i="3"/>
  <c r="P282" i="3" s="1"/>
  <c r="H283" i="3"/>
  <c r="D283" i="3"/>
  <c r="B283" i="3"/>
  <c r="X280" i="3"/>
  <c r="Z280" i="3" s="1"/>
  <c r="N280" i="3"/>
  <c r="L280" i="3"/>
  <c r="B280" i="3"/>
  <c r="X279" i="3"/>
  <c r="T279" i="3"/>
  <c r="Z279" i="3" s="1"/>
  <c r="P279" i="3"/>
  <c r="H279" i="3"/>
  <c r="D279" i="3"/>
  <c r="L279" i="3" s="1"/>
  <c r="B279" i="3"/>
  <c r="X278" i="3"/>
  <c r="Z278" i="3" s="1"/>
  <c r="N278" i="3"/>
  <c r="L278" i="3"/>
  <c r="B278" i="3"/>
  <c r="X277" i="3"/>
  <c r="Z277" i="3" s="1"/>
  <c r="N277" i="3"/>
  <c r="L277" i="3"/>
  <c r="B277" i="3"/>
  <c r="Z276" i="3"/>
  <c r="X276" i="3"/>
  <c r="N276" i="3"/>
  <c r="L276" i="3"/>
  <c r="B276" i="3"/>
  <c r="T275" i="3"/>
  <c r="Z275" i="3" s="1"/>
  <c r="P275" i="3"/>
  <c r="X275" i="3" s="1"/>
  <c r="L275" i="3"/>
  <c r="H275" i="3"/>
  <c r="D275" i="3"/>
  <c r="B275" i="3"/>
  <c r="Z274" i="3"/>
  <c r="X274" i="3"/>
  <c r="L274" i="3"/>
  <c r="N274" i="3" s="1"/>
  <c r="B274" i="3"/>
  <c r="Z273" i="3"/>
  <c r="T273" i="3"/>
  <c r="P273" i="3"/>
  <c r="X273" i="3" s="1"/>
  <c r="H273" i="3"/>
  <c r="D273" i="3"/>
  <c r="L273" i="3" s="1"/>
  <c r="B273" i="3"/>
  <c r="X272" i="3"/>
  <c r="Z272" i="3" s="1"/>
  <c r="N272" i="3"/>
  <c r="L272" i="3"/>
  <c r="B272" i="3"/>
  <c r="X271" i="3"/>
  <c r="Z271" i="3" s="1"/>
  <c r="N271" i="3"/>
  <c r="L271" i="3"/>
  <c r="B271" i="3"/>
  <c r="T270" i="3"/>
  <c r="P270" i="3"/>
  <c r="X270" i="3" s="1"/>
  <c r="Z270" i="3" s="1"/>
  <c r="L270" i="3"/>
  <c r="H270" i="3"/>
  <c r="N270" i="3" s="1"/>
  <c r="D270" i="3"/>
  <c r="B270" i="3"/>
  <c r="X269" i="3"/>
  <c r="Z269" i="3" s="1"/>
  <c r="N269" i="3"/>
  <c r="L269" i="3"/>
  <c r="B269" i="3"/>
  <c r="Z268" i="3"/>
  <c r="X268" i="3"/>
  <c r="N268" i="3"/>
  <c r="L268" i="3"/>
  <c r="B268" i="3"/>
  <c r="Z267" i="3"/>
  <c r="X267" i="3"/>
  <c r="L267" i="3"/>
  <c r="N267" i="3" s="1"/>
  <c r="B267" i="3"/>
  <c r="X266" i="3"/>
  <c r="Z266" i="3" s="1"/>
  <c r="N266" i="3"/>
  <c r="L266" i="3"/>
  <c r="B266" i="3"/>
  <c r="X265" i="3"/>
  <c r="Z265" i="3" s="1"/>
  <c r="N265" i="3"/>
  <c r="L265" i="3"/>
  <c r="B265" i="3"/>
  <c r="Z264" i="3"/>
  <c r="X264" i="3"/>
  <c r="N264" i="3"/>
  <c r="L264" i="3"/>
  <c r="B264" i="3"/>
  <c r="Z263" i="3"/>
  <c r="X263" i="3"/>
  <c r="L263" i="3"/>
  <c r="N263" i="3" s="1"/>
  <c r="B263" i="3"/>
  <c r="Z262" i="3"/>
  <c r="X262" i="3"/>
  <c r="N262" i="3"/>
  <c r="L262" i="3"/>
  <c r="B262" i="3"/>
  <c r="X261" i="3"/>
  <c r="Z261" i="3" s="1"/>
  <c r="N261" i="3"/>
  <c r="L261" i="3"/>
  <c r="B261" i="3"/>
  <c r="T260" i="3"/>
  <c r="P260" i="3"/>
  <c r="X260" i="3" s="1"/>
  <c r="Z260" i="3" s="1"/>
  <c r="L260" i="3"/>
  <c r="H260" i="3"/>
  <c r="N260" i="3" s="1"/>
  <c r="D260" i="3"/>
  <c r="B260" i="3"/>
  <c r="X259" i="3"/>
  <c r="Z259" i="3" s="1"/>
  <c r="L259" i="3"/>
  <c r="N259" i="3" s="1"/>
  <c r="B259" i="3"/>
  <c r="X258" i="3"/>
  <c r="Z258" i="3" s="1"/>
  <c r="L258" i="3"/>
  <c r="N258" i="3" s="1"/>
  <c r="B258" i="3"/>
  <c r="T257" i="3"/>
  <c r="P257" i="3"/>
  <c r="X257" i="3" s="1"/>
  <c r="Z257" i="3" s="1"/>
  <c r="H257" i="3"/>
  <c r="D257" i="3"/>
  <c r="B257" i="3"/>
  <c r="X256" i="3"/>
  <c r="Z256" i="3" s="1"/>
  <c r="N256" i="3"/>
  <c r="L256" i="3"/>
  <c r="B256" i="3"/>
  <c r="X255" i="3"/>
  <c r="Z255" i="3" s="1"/>
  <c r="N255" i="3"/>
  <c r="L255" i="3"/>
  <c r="B255" i="3"/>
  <c r="X254" i="3"/>
  <c r="Z254" i="3" s="1"/>
  <c r="L254" i="3"/>
  <c r="N254" i="3" s="1"/>
  <c r="B254" i="3"/>
  <c r="X253" i="3"/>
  <c r="Z253" i="3" s="1"/>
  <c r="L253" i="3"/>
  <c r="N253" i="3" s="1"/>
  <c r="B253" i="3"/>
  <c r="X252" i="3"/>
  <c r="Z252" i="3" s="1"/>
  <c r="N252" i="3"/>
  <c r="L252" i="3"/>
  <c r="B252" i="3"/>
  <c r="X251" i="3"/>
  <c r="T251" i="3"/>
  <c r="Z251" i="3" s="1"/>
  <c r="P251" i="3"/>
  <c r="H251" i="3"/>
  <c r="N251" i="3" s="1"/>
  <c r="D251" i="3"/>
  <c r="L251" i="3" s="1"/>
  <c r="B251" i="3"/>
  <c r="X250" i="3"/>
  <c r="Z250" i="3" s="1"/>
  <c r="N250" i="3"/>
  <c r="L250" i="3"/>
  <c r="B250" i="3"/>
  <c r="X249" i="3"/>
  <c r="Z249" i="3" s="1"/>
  <c r="N249" i="3"/>
  <c r="L249" i="3"/>
  <c r="B249" i="3"/>
  <c r="Z248" i="3"/>
  <c r="X248" i="3"/>
  <c r="N248" i="3"/>
  <c r="L248" i="3"/>
  <c r="B248" i="3"/>
  <c r="Z247" i="3"/>
  <c r="T247" i="3"/>
  <c r="P247" i="3"/>
  <c r="X247" i="3" s="1"/>
  <c r="L247" i="3"/>
  <c r="H247" i="3"/>
  <c r="D247" i="3"/>
  <c r="B247" i="3"/>
  <c r="Z246" i="3"/>
  <c r="X246" i="3"/>
  <c r="L246" i="3"/>
  <c r="N246" i="3" s="1"/>
  <c r="B246" i="3"/>
  <c r="Z245" i="3"/>
  <c r="X245" i="3"/>
  <c r="L245" i="3"/>
  <c r="N245" i="3" s="1"/>
  <c r="B245" i="3"/>
  <c r="Z244" i="3"/>
  <c r="X244" i="3"/>
  <c r="N244" i="3"/>
  <c r="L244" i="3"/>
  <c r="B244" i="3"/>
  <c r="X243" i="3"/>
  <c r="Z243" i="3" s="1"/>
  <c r="L243" i="3"/>
  <c r="N243" i="3" s="1"/>
  <c r="B243" i="3"/>
  <c r="T242" i="3"/>
  <c r="P242" i="3"/>
  <c r="X242" i="3" s="1"/>
  <c r="Z242" i="3" s="1"/>
  <c r="H242" i="3"/>
  <c r="D242" i="3"/>
  <c r="B242" i="3"/>
  <c r="X241" i="3"/>
  <c r="Z241" i="3" s="1"/>
  <c r="L241" i="3"/>
  <c r="N241" i="3" s="1"/>
  <c r="B241" i="3"/>
  <c r="X240" i="3"/>
  <c r="Z240" i="3" s="1"/>
  <c r="T240" i="3"/>
  <c r="P240" i="3"/>
  <c r="H240" i="3"/>
  <c r="D240" i="3"/>
  <c r="L240" i="3" s="1"/>
  <c r="N240" i="3" s="1"/>
  <c r="B240" i="3"/>
  <c r="Z239" i="3"/>
  <c r="X239" i="3"/>
  <c r="L239" i="3"/>
  <c r="N239" i="3" s="1"/>
  <c r="B239" i="3"/>
  <c r="T238" i="3"/>
  <c r="X238" i="3" s="1"/>
  <c r="P238" i="3"/>
  <c r="H238" i="3"/>
  <c r="D238" i="3"/>
  <c r="L238" i="3" s="1"/>
  <c r="N238" i="3" s="1"/>
  <c r="B238" i="3"/>
  <c r="Z237" i="3"/>
  <c r="X237" i="3"/>
  <c r="L237" i="3"/>
  <c r="N237" i="3" s="1"/>
  <c r="B237" i="3"/>
  <c r="T236" i="3"/>
  <c r="P236" i="3"/>
  <c r="H236" i="3"/>
  <c r="D236" i="3"/>
  <c r="L236" i="3" s="1"/>
  <c r="N236" i="3" s="1"/>
  <c r="B236" i="3"/>
  <c r="X235" i="3"/>
  <c r="Z235" i="3" s="1"/>
  <c r="N235" i="3"/>
  <c r="L235" i="3"/>
  <c r="B235" i="3"/>
  <c r="T234" i="3"/>
  <c r="P234" i="3"/>
  <c r="X234" i="3" s="1"/>
  <c r="Z234" i="3" s="1"/>
  <c r="L234" i="3"/>
  <c r="N234" i="3" s="1"/>
  <c r="H234" i="3"/>
  <c r="D234" i="3"/>
  <c r="B234" i="3"/>
  <c r="X233" i="3"/>
  <c r="Z233" i="3" s="1"/>
  <c r="N233" i="3"/>
  <c r="L233" i="3"/>
  <c r="B233" i="3"/>
  <c r="Z232" i="3"/>
  <c r="X232" i="3"/>
  <c r="T232" i="3"/>
  <c r="P232" i="3"/>
  <c r="H232" i="3"/>
  <c r="D232" i="3"/>
  <c r="B232" i="3"/>
  <c r="Z231" i="3"/>
  <c r="X231" i="3"/>
  <c r="L231" i="3"/>
  <c r="N231" i="3" s="1"/>
  <c r="B231" i="3"/>
  <c r="T230" i="3"/>
  <c r="Z230" i="3" s="1"/>
  <c r="P230" i="3"/>
  <c r="X230" i="3" s="1"/>
  <c r="H230" i="3"/>
  <c r="N230" i="3" s="1"/>
  <c r="D230" i="3"/>
  <c r="L230" i="3" s="1"/>
  <c r="B230" i="3"/>
  <c r="X229" i="3"/>
  <c r="Z229" i="3" s="1"/>
  <c r="L229" i="3"/>
  <c r="N229" i="3" s="1"/>
  <c r="B229" i="3"/>
  <c r="X228" i="3"/>
  <c r="Z228" i="3" s="1"/>
  <c r="N228" i="3"/>
  <c r="L228" i="3"/>
  <c r="B228" i="3"/>
  <c r="X227" i="3"/>
  <c r="T227" i="3"/>
  <c r="Z227" i="3" s="1"/>
  <c r="P227" i="3"/>
  <c r="H227" i="3"/>
  <c r="D227" i="3"/>
  <c r="L227" i="3" s="1"/>
  <c r="B227" i="3"/>
  <c r="X226" i="3"/>
  <c r="Z226" i="3" s="1"/>
  <c r="N226" i="3"/>
  <c r="L226" i="3"/>
  <c r="B226" i="3"/>
  <c r="X225" i="3"/>
  <c r="Z225" i="3" s="1"/>
  <c r="N225" i="3"/>
  <c r="L225" i="3"/>
  <c r="B225" i="3"/>
  <c r="Z224" i="3"/>
  <c r="X224" i="3"/>
  <c r="T224" i="3"/>
  <c r="P224" i="3"/>
  <c r="H224" i="3"/>
  <c r="D224" i="3"/>
  <c r="B224" i="3"/>
  <c r="Z223" i="3"/>
  <c r="X223" i="3"/>
  <c r="L223" i="3"/>
  <c r="N223" i="3" s="1"/>
  <c r="B223" i="3"/>
  <c r="T222" i="3"/>
  <c r="P222" i="3"/>
  <c r="X222" i="3" s="1"/>
  <c r="H222" i="3"/>
  <c r="N222" i="3" s="1"/>
  <c r="D222" i="3"/>
  <c r="L222" i="3" s="1"/>
  <c r="B222" i="3"/>
  <c r="X221" i="3"/>
  <c r="Z221" i="3" s="1"/>
  <c r="L221" i="3"/>
  <c r="N221" i="3" s="1"/>
  <c r="B221" i="3"/>
  <c r="X220" i="3"/>
  <c r="Z220" i="3" s="1"/>
  <c r="T220" i="3"/>
  <c r="P220" i="3"/>
  <c r="H220" i="3"/>
  <c r="D220" i="3"/>
  <c r="L220" i="3" s="1"/>
  <c r="N220" i="3" s="1"/>
  <c r="B220" i="3"/>
  <c r="Z219" i="3"/>
  <c r="X219" i="3"/>
  <c r="N219" i="3"/>
  <c r="L219" i="3"/>
  <c r="B219" i="3"/>
  <c r="T218" i="3"/>
  <c r="P218" i="3"/>
  <c r="N218" i="3"/>
  <c r="L218" i="3"/>
  <c r="H218" i="3"/>
  <c r="D218" i="3"/>
  <c r="B218" i="3"/>
  <c r="Z217" i="3"/>
  <c r="X217" i="3"/>
  <c r="L217" i="3"/>
  <c r="N217" i="3" s="1"/>
  <c r="B217" i="3"/>
  <c r="Z216" i="3"/>
  <c r="X216" i="3"/>
  <c r="L216" i="3"/>
  <c r="N216" i="3" s="1"/>
  <c r="B216" i="3"/>
  <c r="T215" i="3"/>
  <c r="P215" i="3"/>
  <c r="X215" i="3" s="1"/>
  <c r="Z215" i="3" s="1"/>
  <c r="N215" i="3"/>
  <c r="H215" i="3"/>
  <c r="D215" i="3"/>
  <c r="L215" i="3" s="1"/>
  <c r="B215" i="3"/>
  <c r="X214" i="3"/>
  <c r="Z214" i="3" s="1"/>
  <c r="L214" i="3"/>
  <c r="N214" i="3" s="1"/>
  <c r="B214" i="3"/>
  <c r="X213" i="3"/>
  <c r="Z213" i="3" s="1"/>
  <c r="L213" i="3"/>
  <c r="N213" i="3" s="1"/>
  <c r="B213" i="3"/>
  <c r="X212" i="3"/>
  <c r="Z212" i="3" s="1"/>
  <c r="L212" i="3"/>
  <c r="N212" i="3" s="1"/>
  <c r="B212" i="3"/>
  <c r="X211" i="3"/>
  <c r="T211" i="3"/>
  <c r="Z211" i="3" s="1"/>
  <c r="P211" i="3"/>
  <c r="L211" i="3"/>
  <c r="H211" i="3"/>
  <c r="D211" i="3"/>
  <c r="B211" i="3"/>
  <c r="X210" i="3"/>
  <c r="Z210" i="3" s="1"/>
  <c r="L210" i="3"/>
  <c r="N210" i="3" s="1"/>
  <c r="B210" i="3"/>
  <c r="X209" i="3"/>
  <c r="T209" i="3"/>
  <c r="Z209" i="3" s="1"/>
  <c r="P209" i="3"/>
  <c r="H209" i="3"/>
  <c r="D209" i="3"/>
  <c r="L209" i="3" s="1"/>
  <c r="N209" i="3" s="1"/>
  <c r="B209" i="3"/>
  <c r="Z208" i="3"/>
  <c r="X208" i="3"/>
  <c r="L208" i="3"/>
  <c r="N208" i="3" s="1"/>
  <c r="B208" i="3"/>
  <c r="Z207" i="3"/>
  <c r="T207" i="3"/>
  <c r="P207" i="3"/>
  <c r="X207" i="3" s="1"/>
  <c r="N207" i="3"/>
  <c r="H207" i="3"/>
  <c r="D207" i="3"/>
  <c r="L207" i="3" s="1"/>
  <c r="B207" i="3"/>
  <c r="X206" i="3"/>
  <c r="Z206" i="3" s="1"/>
  <c r="L206" i="3"/>
  <c r="N206" i="3" s="1"/>
  <c r="B206" i="3"/>
  <c r="T205" i="3"/>
  <c r="P205" i="3"/>
  <c r="X205" i="3" s="1"/>
  <c r="L205" i="3"/>
  <c r="H205" i="3"/>
  <c r="N205" i="3" s="1"/>
  <c r="D205" i="3"/>
  <c r="B205" i="3"/>
  <c r="Z204" i="3"/>
  <c r="X204" i="3"/>
  <c r="N204" i="3"/>
  <c r="L204" i="3"/>
  <c r="B204" i="3"/>
  <c r="Z203" i="3"/>
  <c r="X203" i="3"/>
  <c r="N203" i="3"/>
  <c r="L203" i="3"/>
  <c r="B203" i="3"/>
  <c r="X202" i="3"/>
  <c r="Z202" i="3" s="1"/>
  <c r="L202" i="3"/>
  <c r="N202" i="3" s="1"/>
  <c r="B202" i="3"/>
  <c r="X201" i="3"/>
  <c r="Z201" i="3" s="1"/>
  <c r="N201" i="3"/>
  <c r="L201" i="3"/>
  <c r="B201" i="3"/>
  <c r="Z200" i="3"/>
  <c r="X200" i="3"/>
  <c r="N200" i="3"/>
  <c r="L200" i="3"/>
  <c r="B200" i="3"/>
  <c r="Z199" i="3"/>
  <c r="X199" i="3"/>
  <c r="N199" i="3"/>
  <c r="L199" i="3"/>
  <c r="B199" i="3"/>
  <c r="X198" i="3"/>
  <c r="Z198" i="3" s="1"/>
  <c r="L198" i="3"/>
  <c r="N198" i="3" s="1"/>
  <c r="B198" i="3"/>
  <c r="X197" i="3"/>
  <c r="T197" i="3"/>
  <c r="Z197" i="3" s="1"/>
  <c r="P197" i="3"/>
  <c r="H197" i="3"/>
  <c r="D197" i="3"/>
  <c r="L197" i="3" s="1"/>
  <c r="N197" i="3" s="1"/>
  <c r="B197" i="3"/>
  <c r="Z196" i="3"/>
  <c r="X196" i="3"/>
  <c r="L196" i="3"/>
  <c r="N196" i="3" s="1"/>
  <c r="B196" i="3"/>
  <c r="Z195" i="3"/>
  <c r="X195" i="3"/>
  <c r="N195" i="3"/>
  <c r="L195" i="3"/>
  <c r="B195" i="3"/>
  <c r="X194" i="3"/>
  <c r="Z194" i="3" s="1"/>
  <c r="N194" i="3"/>
  <c r="L194" i="3"/>
  <c r="B194" i="3"/>
  <c r="Z193" i="3"/>
  <c r="X193" i="3"/>
  <c r="N193" i="3"/>
  <c r="L193" i="3"/>
  <c r="B193" i="3"/>
  <c r="Z192" i="3"/>
  <c r="X192" i="3"/>
  <c r="N192" i="3"/>
  <c r="L192" i="3"/>
  <c r="B192" i="3"/>
  <c r="Z191" i="3"/>
  <c r="X191" i="3"/>
  <c r="N191" i="3"/>
  <c r="L191" i="3"/>
  <c r="B191" i="3"/>
  <c r="X190" i="3"/>
  <c r="Z190" i="3" s="1"/>
  <c r="N190" i="3"/>
  <c r="L190" i="3"/>
  <c r="B190" i="3"/>
  <c r="X189" i="3"/>
  <c r="Z189" i="3" s="1"/>
  <c r="N189" i="3"/>
  <c r="L189" i="3"/>
  <c r="B189" i="3"/>
  <c r="X188" i="3"/>
  <c r="Z188" i="3" s="1"/>
  <c r="N188" i="3"/>
  <c r="L188" i="3"/>
  <c r="B188" i="3"/>
  <c r="Z187" i="3"/>
  <c r="X187" i="3"/>
  <c r="N187" i="3"/>
  <c r="L187" i="3"/>
  <c r="B187" i="3"/>
  <c r="X186" i="3"/>
  <c r="Z186" i="3" s="1"/>
  <c r="T186" i="3"/>
  <c r="P186" i="3"/>
  <c r="L186" i="3"/>
  <c r="N186" i="3" s="1"/>
  <c r="H186" i="3"/>
  <c r="D186" i="3"/>
  <c r="B186" i="3"/>
  <c r="T185" i="3"/>
  <c r="P185" i="3"/>
  <c r="X185" i="3" s="1"/>
  <c r="Z185" i="3" s="1"/>
  <c r="L185" i="3"/>
  <c r="H185" i="3"/>
  <c r="N185" i="3" s="1"/>
  <c r="D185" i="3"/>
  <c r="Z181" i="3"/>
  <c r="X181" i="3"/>
  <c r="L181" i="3"/>
  <c r="N181" i="3" s="1"/>
  <c r="B181" i="3"/>
  <c r="Z180" i="3"/>
  <c r="X180" i="3"/>
  <c r="N180" i="3"/>
  <c r="L180" i="3"/>
  <c r="B180" i="3"/>
  <c r="Z179" i="3"/>
  <c r="X179" i="3"/>
  <c r="L179" i="3"/>
  <c r="N179" i="3" s="1"/>
  <c r="B179" i="3"/>
  <c r="Z178" i="3"/>
  <c r="X178" i="3"/>
  <c r="L178" i="3"/>
  <c r="N178" i="3" s="1"/>
  <c r="B178" i="3"/>
  <c r="X177" i="3"/>
  <c r="Z177" i="3" s="1"/>
  <c r="L177" i="3"/>
  <c r="N177" i="3" s="1"/>
  <c r="B177" i="3"/>
  <c r="Z176" i="3"/>
  <c r="X176" i="3"/>
  <c r="N176" i="3"/>
  <c r="L176" i="3"/>
  <c r="B176" i="3"/>
  <c r="Z175" i="3"/>
  <c r="X175" i="3"/>
  <c r="L175" i="3"/>
  <c r="N175" i="3" s="1"/>
  <c r="B175" i="3"/>
  <c r="Z174" i="3"/>
  <c r="X174" i="3"/>
  <c r="L174" i="3"/>
  <c r="N174" i="3" s="1"/>
  <c r="B174" i="3"/>
  <c r="X173" i="3"/>
  <c r="Z173" i="3" s="1"/>
  <c r="L173" i="3"/>
  <c r="N173" i="3" s="1"/>
  <c r="B173" i="3"/>
  <c r="Z172" i="3"/>
  <c r="X172" i="3"/>
  <c r="N172" i="3"/>
  <c r="L172" i="3"/>
  <c r="B172" i="3"/>
  <c r="Z171" i="3"/>
  <c r="X171" i="3"/>
  <c r="L171" i="3"/>
  <c r="N171" i="3" s="1"/>
  <c r="B171" i="3"/>
  <c r="Z170" i="3"/>
  <c r="X170" i="3"/>
  <c r="L170" i="3"/>
  <c r="N170" i="3" s="1"/>
  <c r="B170" i="3"/>
  <c r="X169" i="3"/>
  <c r="Z169" i="3" s="1"/>
  <c r="L169" i="3"/>
  <c r="N169" i="3" s="1"/>
  <c r="B169" i="3"/>
  <c r="Z168" i="3"/>
  <c r="X168" i="3"/>
  <c r="N168" i="3"/>
  <c r="L168" i="3"/>
  <c r="B168" i="3"/>
  <c r="Z167" i="3"/>
  <c r="X167" i="3"/>
  <c r="L167" i="3"/>
  <c r="N167" i="3" s="1"/>
  <c r="B167" i="3"/>
  <c r="Z166" i="3"/>
  <c r="X166" i="3"/>
  <c r="N166" i="3"/>
  <c r="L166" i="3"/>
  <c r="B166" i="3"/>
  <c r="X165" i="3"/>
  <c r="Z165" i="3" s="1"/>
  <c r="L165" i="3"/>
  <c r="N165" i="3" s="1"/>
  <c r="B165" i="3"/>
  <c r="Z164" i="3"/>
  <c r="X164" i="3"/>
  <c r="N164" i="3"/>
  <c r="L164" i="3"/>
  <c r="B164" i="3"/>
  <c r="Z163" i="3"/>
  <c r="X163" i="3"/>
  <c r="N163" i="3"/>
  <c r="L163" i="3"/>
  <c r="B163" i="3"/>
  <c r="Z162" i="3"/>
  <c r="X162" i="3"/>
  <c r="L162" i="3"/>
  <c r="N162" i="3" s="1"/>
  <c r="B162" i="3"/>
  <c r="X161" i="3"/>
  <c r="Z161" i="3" s="1"/>
  <c r="N161" i="3"/>
  <c r="L161" i="3"/>
  <c r="B161" i="3"/>
  <c r="Z160" i="3"/>
  <c r="X160" i="3"/>
  <c r="N160" i="3"/>
  <c r="L160" i="3"/>
  <c r="B160" i="3"/>
  <c r="Z159" i="3"/>
  <c r="X159" i="3"/>
  <c r="L159" i="3"/>
  <c r="N159" i="3" s="1"/>
  <c r="B159" i="3"/>
  <c r="Z158" i="3"/>
  <c r="X158" i="3"/>
  <c r="L158" i="3"/>
  <c r="N158" i="3" s="1"/>
  <c r="B158" i="3"/>
  <c r="X157" i="3"/>
  <c r="Z157" i="3" s="1"/>
  <c r="L157" i="3"/>
  <c r="N157" i="3" s="1"/>
  <c r="B157" i="3"/>
  <c r="Z156" i="3"/>
  <c r="X156" i="3"/>
  <c r="N156" i="3"/>
  <c r="L156" i="3"/>
  <c r="B156" i="3"/>
  <c r="Z155" i="3"/>
  <c r="X155" i="3"/>
  <c r="L155" i="3"/>
  <c r="N155" i="3" s="1"/>
  <c r="B155" i="3"/>
  <c r="Z154" i="3"/>
  <c r="X154" i="3"/>
  <c r="L154" i="3"/>
  <c r="N154" i="3" s="1"/>
  <c r="B154" i="3"/>
  <c r="X153" i="3"/>
  <c r="Z153" i="3" s="1"/>
  <c r="L153" i="3"/>
  <c r="N153" i="3" s="1"/>
  <c r="B153" i="3"/>
  <c r="Z152" i="3"/>
  <c r="X152" i="3"/>
  <c r="N152" i="3"/>
  <c r="L152" i="3"/>
  <c r="B152" i="3"/>
  <c r="Z151" i="3"/>
  <c r="X151" i="3"/>
  <c r="L151" i="3"/>
  <c r="N151" i="3" s="1"/>
  <c r="B151" i="3"/>
  <c r="Z150" i="3"/>
  <c r="X150" i="3"/>
  <c r="L150" i="3"/>
  <c r="N150" i="3" s="1"/>
  <c r="B150" i="3"/>
  <c r="X149" i="3"/>
  <c r="Z149" i="3" s="1"/>
  <c r="L149" i="3"/>
  <c r="N149" i="3" s="1"/>
  <c r="B149" i="3"/>
  <c r="Z148" i="3"/>
  <c r="X148" i="3"/>
  <c r="N148" i="3"/>
  <c r="L148" i="3"/>
  <c r="B148" i="3"/>
  <c r="Z147" i="3"/>
  <c r="X147" i="3"/>
  <c r="L147" i="3"/>
  <c r="N147" i="3" s="1"/>
  <c r="B147" i="3"/>
  <c r="Z146" i="3"/>
  <c r="X146" i="3"/>
  <c r="L146" i="3"/>
  <c r="N146" i="3" s="1"/>
  <c r="B146" i="3"/>
  <c r="X145" i="3"/>
  <c r="Z145" i="3" s="1"/>
  <c r="L145" i="3"/>
  <c r="N145" i="3" s="1"/>
  <c r="B145" i="3"/>
  <c r="Z144" i="3"/>
  <c r="X144" i="3"/>
  <c r="N144" i="3"/>
  <c r="L144" i="3"/>
  <c r="B144" i="3"/>
  <c r="Z143" i="3"/>
  <c r="X143" i="3"/>
  <c r="L143" i="3"/>
  <c r="N143" i="3" s="1"/>
  <c r="B143" i="3"/>
  <c r="Z142" i="3"/>
  <c r="X142" i="3"/>
  <c r="L142" i="3"/>
  <c r="N142" i="3" s="1"/>
  <c r="B142" i="3"/>
  <c r="X141" i="3"/>
  <c r="Z141" i="3" s="1"/>
  <c r="L141" i="3"/>
  <c r="N141" i="3" s="1"/>
  <c r="B141" i="3"/>
  <c r="Z140" i="3"/>
  <c r="X140" i="3"/>
  <c r="N140" i="3"/>
  <c r="L140" i="3"/>
  <c r="B140" i="3"/>
  <c r="Z139" i="3"/>
  <c r="X139" i="3"/>
  <c r="L139" i="3"/>
  <c r="N139" i="3" s="1"/>
  <c r="B139" i="3"/>
  <c r="Z138" i="3"/>
  <c r="X138" i="3"/>
  <c r="L138" i="3"/>
  <c r="N138" i="3" s="1"/>
  <c r="B138" i="3"/>
  <c r="X137" i="3"/>
  <c r="Z137" i="3" s="1"/>
  <c r="L137" i="3"/>
  <c r="N137" i="3" s="1"/>
  <c r="B137" i="3"/>
  <c r="Z136" i="3"/>
  <c r="X136" i="3"/>
  <c r="N136" i="3"/>
  <c r="L136" i="3"/>
  <c r="B136" i="3"/>
  <c r="Z135" i="3"/>
  <c r="X135" i="3"/>
  <c r="L135" i="3"/>
  <c r="N135" i="3" s="1"/>
  <c r="B135" i="3"/>
  <c r="Z134" i="3"/>
  <c r="X134" i="3"/>
  <c r="L134" i="3"/>
  <c r="N134" i="3" s="1"/>
  <c r="B134" i="3"/>
  <c r="X133" i="3"/>
  <c r="Z133" i="3" s="1"/>
  <c r="N133" i="3"/>
  <c r="L133" i="3"/>
  <c r="B133" i="3"/>
  <c r="Z132" i="3"/>
  <c r="X132" i="3"/>
  <c r="N132" i="3"/>
  <c r="L132" i="3"/>
  <c r="B132" i="3"/>
  <c r="Z131" i="3"/>
  <c r="X131" i="3"/>
  <c r="L131" i="3"/>
  <c r="N131" i="3" s="1"/>
  <c r="B131" i="3"/>
  <c r="Z130" i="3"/>
  <c r="X130" i="3"/>
  <c r="L130" i="3"/>
  <c r="N130" i="3" s="1"/>
  <c r="B130" i="3"/>
  <c r="X129" i="3"/>
  <c r="Z129" i="3" s="1"/>
  <c r="L129" i="3"/>
  <c r="N129" i="3" s="1"/>
  <c r="B129" i="3"/>
  <c r="Z128" i="3"/>
  <c r="X128" i="3"/>
  <c r="N128" i="3"/>
  <c r="L128" i="3"/>
  <c r="B128" i="3"/>
  <c r="T127" i="3"/>
  <c r="Z127" i="3" s="1"/>
  <c r="P127" i="3"/>
  <c r="X127" i="3" s="1"/>
  <c r="H127" i="3"/>
  <c r="D127" i="3"/>
  <c r="T125" i="3"/>
  <c r="P125" i="3"/>
  <c r="X125" i="3" s="1"/>
  <c r="L125" i="3"/>
  <c r="H125" i="3"/>
  <c r="N125" i="3" s="1"/>
  <c r="D125" i="3"/>
  <c r="B125" i="3"/>
  <c r="T124" i="3"/>
  <c r="P124" i="3"/>
  <c r="X124" i="3" s="1"/>
  <c r="Z124" i="3" s="1"/>
  <c r="H124" i="3"/>
  <c r="L124" i="3" s="1"/>
  <c r="D124" i="3"/>
  <c r="B124" i="3"/>
  <c r="T123" i="3"/>
  <c r="Z123" i="3" s="1"/>
  <c r="P123" i="3"/>
  <c r="X123" i="3" s="1"/>
  <c r="L123" i="3"/>
  <c r="H123" i="3"/>
  <c r="N123" i="3" s="1"/>
  <c r="D123" i="3"/>
  <c r="B123" i="3"/>
  <c r="T122" i="3"/>
  <c r="P122" i="3"/>
  <c r="X122" i="3" s="1"/>
  <c r="Z122" i="3" s="1"/>
  <c r="H122" i="3"/>
  <c r="D122" i="3"/>
  <c r="B122" i="3"/>
  <c r="T121" i="3"/>
  <c r="Z121" i="3" s="1"/>
  <c r="P121" i="3"/>
  <c r="X121" i="3" s="1"/>
  <c r="L121" i="3"/>
  <c r="H121" i="3"/>
  <c r="N121" i="3" s="1"/>
  <c r="D121" i="3"/>
  <c r="B121" i="3"/>
  <c r="T120" i="3"/>
  <c r="P120" i="3"/>
  <c r="X120" i="3" s="1"/>
  <c r="Z120" i="3" s="1"/>
  <c r="H120" i="3"/>
  <c r="L120" i="3" s="1"/>
  <c r="D120" i="3"/>
  <c r="B120" i="3"/>
  <c r="T119" i="3"/>
  <c r="P119" i="3"/>
  <c r="X119" i="3" s="1"/>
  <c r="L119" i="3"/>
  <c r="H119" i="3"/>
  <c r="N119" i="3" s="1"/>
  <c r="D119" i="3"/>
  <c r="B119" i="3"/>
  <c r="T118" i="3"/>
  <c r="P118" i="3"/>
  <c r="X118" i="3" s="1"/>
  <c r="Z118" i="3" s="1"/>
  <c r="H118" i="3"/>
  <c r="D118" i="3"/>
  <c r="B118" i="3"/>
  <c r="T117" i="3"/>
  <c r="Z117" i="3" s="1"/>
  <c r="P117" i="3"/>
  <c r="X117" i="3" s="1"/>
  <c r="L117" i="3"/>
  <c r="H117" i="3"/>
  <c r="N117" i="3" s="1"/>
  <c r="D117" i="3"/>
  <c r="B117" i="3"/>
  <c r="T116" i="3"/>
  <c r="P116" i="3"/>
  <c r="X116" i="3" s="1"/>
  <c r="Z116" i="3" s="1"/>
  <c r="H116" i="3"/>
  <c r="D116" i="3"/>
  <c r="B116" i="3"/>
  <c r="T115" i="3"/>
  <c r="P115" i="3"/>
  <c r="X115" i="3" s="1"/>
  <c r="L115" i="3"/>
  <c r="H115" i="3"/>
  <c r="N115" i="3" s="1"/>
  <c r="D115" i="3"/>
  <c r="B115" i="3"/>
  <c r="T114" i="3"/>
  <c r="P114" i="3"/>
  <c r="X114" i="3" s="1"/>
  <c r="Z114" i="3" s="1"/>
  <c r="H114" i="3"/>
  <c r="D114" i="3"/>
  <c r="B114" i="3"/>
  <c r="T113" i="3"/>
  <c r="P113" i="3"/>
  <c r="X113" i="3" s="1"/>
  <c r="L113" i="3"/>
  <c r="H113" i="3"/>
  <c r="N113" i="3" s="1"/>
  <c r="D113" i="3"/>
  <c r="B113" i="3"/>
  <c r="T112" i="3"/>
  <c r="P112" i="3"/>
  <c r="X112" i="3" s="1"/>
  <c r="Z112" i="3" s="1"/>
  <c r="H112" i="3"/>
  <c r="L112" i="3" s="1"/>
  <c r="D112" i="3"/>
  <c r="B112" i="3"/>
  <c r="T111" i="3"/>
  <c r="Z111" i="3" s="1"/>
  <c r="P111" i="3"/>
  <c r="X111" i="3" s="1"/>
  <c r="L111" i="3"/>
  <c r="H111" i="3"/>
  <c r="N111" i="3" s="1"/>
  <c r="D111" i="3"/>
  <c r="B111" i="3"/>
  <c r="T110" i="3"/>
  <c r="P110" i="3"/>
  <c r="X110" i="3" s="1"/>
  <c r="Z110" i="3" s="1"/>
  <c r="H110" i="3"/>
  <c r="N110" i="3" s="1"/>
  <c r="D110" i="3"/>
  <c r="B110" i="3"/>
  <c r="T109" i="3"/>
  <c r="Z109" i="3" s="1"/>
  <c r="P109" i="3"/>
  <c r="X109" i="3" s="1"/>
  <c r="L109" i="3"/>
  <c r="H109" i="3"/>
  <c r="N109" i="3" s="1"/>
  <c r="D109" i="3"/>
  <c r="B109" i="3"/>
  <c r="T108" i="3"/>
  <c r="P108" i="3"/>
  <c r="X108" i="3" s="1"/>
  <c r="Z108" i="3" s="1"/>
  <c r="H108" i="3"/>
  <c r="L108" i="3" s="1"/>
  <c r="D108" i="3"/>
  <c r="B108" i="3"/>
  <c r="T107" i="3"/>
  <c r="P107" i="3"/>
  <c r="X107" i="3" s="1"/>
  <c r="L107" i="3"/>
  <c r="H107" i="3"/>
  <c r="N107" i="3" s="1"/>
  <c r="D107" i="3"/>
  <c r="B107" i="3"/>
  <c r="T106" i="3"/>
  <c r="P106" i="3"/>
  <c r="X106" i="3" s="1"/>
  <c r="Z106" i="3" s="1"/>
  <c r="H106" i="3"/>
  <c r="D106" i="3"/>
  <c r="B106" i="3"/>
  <c r="T105" i="3"/>
  <c r="Z105" i="3" s="1"/>
  <c r="P105" i="3"/>
  <c r="X105" i="3" s="1"/>
  <c r="L105" i="3"/>
  <c r="H105" i="3"/>
  <c r="N105" i="3" s="1"/>
  <c r="D105" i="3"/>
  <c r="B105" i="3"/>
  <c r="T104" i="3"/>
  <c r="P104" i="3"/>
  <c r="X104" i="3" s="1"/>
  <c r="Z104" i="3" s="1"/>
  <c r="H104" i="3"/>
  <c r="D104" i="3"/>
  <c r="B104" i="3"/>
  <c r="T103" i="3"/>
  <c r="Z103" i="3" s="1"/>
  <c r="P103" i="3"/>
  <c r="X103" i="3" s="1"/>
  <c r="L103" i="3"/>
  <c r="H103" i="3"/>
  <c r="N103" i="3" s="1"/>
  <c r="D103" i="3"/>
  <c r="B103" i="3"/>
  <c r="T102" i="3"/>
  <c r="P102" i="3"/>
  <c r="X102" i="3" s="1"/>
  <c r="Z102" i="3" s="1"/>
  <c r="H102" i="3"/>
  <c r="D102" i="3"/>
  <c r="B102" i="3"/>
  <c r="T101" i="3"/>
  <c r="P101" i="3"/>
  <c r="X101" i="3" s="1"/>
  <c r="L101" i="3"/>
  <c r="H101" i="3"/>
  <c r="N101" i="3" s="1"/>
  <c r="D101" i="3"/>
  <c r="B101" i="3"/>
  <c r="T100" i="3"/>
  <c r="P100" i="3"/>
  <c r="X100" i="3" s="1"/>
  <c r="Z100" i="3" s="1"/>
  <c r="H100" i="3"/>
  <c r="L100" i="3" s="1"/>
  <c r="D100" i="3"/>
  <c r="B100" i="3"/>
  <c r="T99" i="3"/>
  <c r="P99" i="3"/>
  <c r="X99" i="3" s="1"/>
  <c r="L99" i="3"/>
  <c r="H99" i="3"/>
  <c r="N99" i="3" s="1"/>
  <c r="D99" i="3"/>
  <c r="B99" i="3"/>
  <c r="T98" i="3"/>
  <c r="P98" i="3"/>
  <c r="X98" i="3" s="1"/>
  <c r="Z98" i="3" s="1"/>
  <c r="H98" i="3"/>
  <c r="D98" i="3"/>
  <c r="B98" i="3"/>
  <c r="T97" i="3"/>
  <c r="Z97" i="3" s="1"/>
  <c r="P97" i="3"/>
  <c r="X97" i="3" s="1"/>
  <c r="L97" i="3"/>
  <c r="H97" i="3"/>
  <c r="N97" i="3" s="1"/>
  <c r="D97" i="3"/>
  <c r="B97" i="3"/>
  <c r="T96" i="3"/>
  <c r="P96" i="3"/>
  <c r="X96" i="3" s="1"/>
  <c r="Z96" i="3" s="1"/>
  <c r="H96" i="3"/>
  <c r="L96" i="3" s="1"/>
  <c r="D96" i="3"/>
  <c r="B96" i="3"/>
  <c r="T95" i="3"/>
  <c r="P95" i="3"/>
  <c r="X95" i="3" s="1"/>
  <c r="L95" i="3"/>
  <c r="H95" i="3"/>
  <c r="N95" i="3" s="1"/>
  <c r="D95" i="3"/>
  <c r="B95" i="3"/>
  <c r="T94" i="3"/>
  <c r="X94" i="3" s="1"/>
  <c r="Z94" i="3" s="1"/>
  <c r="P94" i="3"/>
  <c r="H94" i="3"/>
  <c r="D94" i="3"/>
  <c r="B94" i="3"/>
  <c r="T93" i="3"/>
  <c r="Z93" i="3" s="1"/>
  <c r="P93" i="3"/>
  <c r="X93" i="3" s="1"/>
  <c r="L93" i="3"/>
  <c r="N93" i="3" s="1"/>
  <c r="H93" i="3"/>
  <c r="D93" i="3"/>
  <c r="B93" i="3"/>
  <c r="T92" i="3"/>
  <c r="P92" i="3"/>
  <c r="X92" i="3" s="1"/>
  <c r="Z92" i="3" s="1"/>
  <c r="H92" i="3"/>
  <c r="L92" i="3" s="1"/>
  <c r="D92" i="3"/>
  <c r="B92" i="3"/>
  <c r="T91" i="3"/>
  <c r="P91" i="3"/>
  <c r="X91" i="3" s="1"/>
  <c r="L91" i="3"/>
  <c r="H91" i="3"/>
  <c r="N91" i="3" s="1"/>
  <c r="D91" i="3"/>
  <c r="B91" i="3"/>
  <c r="T90" i="3"/>
  <c r="P90" i="3"/>
  <c r="X90" i="3" s="1"/>
  <c r="Z90" i="3" s="1"/>
  <c r="L90" i="3"/>
  <c r="H90" i="3"/>
  <c r="N90" i="3" s="1"/>
  <c r="D90" i="3"/>
  <c r="B90" i="3"/>
  <c r="T89" i="3"/>
  <c r="P89" i="3"/>
  <c r="X89" i="3" s="1"/>
  <c r="L89" i="3"/>
  <c r="N89" i="3" s="1"/>
  <c r="H89" i="3"/>
  <c r="D89" i="3"/>
  <c r="B89" i="3"/>
  <c r="T88" i="3"/>
  <c r="P88" i="3"/>
  <c r="X88" i="3" s="1"/>
  <c r="Z88" i="3" s="1"/>
  <c r="H88" i="3"/>
  <c r="D88" i="3"/>
  <c r="B88" i="3"/>
  <c r="T87" i="3"/>
  <c r="P87" i="3"/>
  <c r="X87" i="3" s="1"/>
  <c r="L87" i="3"/>
  <c r="H87" i="3"/>
  <c r="N87" i="3" s="1"/>
  <c r="D87" i="3"/>
  <c r="B87" i="3"/>
  <c r="T86" i="3"/>
  <c r="X86" i="3" s="1"/>
  <c r="Z86" i="3" s="1"/>
  <c r="P86" i="3"/>
  <c r="L86" i="3"/>
  <c r="H86" i="3"/>
  <c r="N86" i="3" s="1"/>
  <c r="D86" i="3"/>
  <c r="B86" i="3"/>
  <c r="T85" i="3"/>
  <c r="P85" i="3"/>
  <c r="X85" i="3" s="1"/>
  <c r="L85" i="3"/>
  <c r="H85" i="3"/>
  <c r="N85" i="3" s="1"/>
  <c r="D85" i="3"/>
  <c r="B85" i="3"/>
  <c r="T84" i="3"/>
  <c r="P84" i="3"/>
  <c r="X84" i="3" s="1"/>
  <c r="Z84" i="3" s="1"/>
  <c r="H84" i="3"/>
  <c r="D84" i="3"/>
  <c r="B84" i="3"/>
  <c r="T83" i="3"/>
  <c r="P83" i="3"/>
  <c r="X83" i="3" s="1"/>
  <c r="L83" i="3"/>
  <c r="H83" i="3"/>
  <c r="N83" i="3" s="1"/>
  <c r="D83" i="3"/>
  <c r="B83" i="3"/>
  <c r="T82" i="3"/>
  <c r="X82" i="3" s="1"/>
  <c r="Z82" i="3" s="1"/>
  <c r="P82" i="3"/>
  <c r="L82" i="3"/>
  <c r="H82" i="3"/>
  <c r="N82" i="3" s="1"/>
  <c r="D82" i="3"/>
  <c r="B82" i="3"/>
  <c r="T81" i="3"/>
  <c r="P81" i="3"/>
  <c r="X81" i="3" s="1"/>
  <c r="L81" i="3"/>
  <c r="N81" i="3" s="1"/>
  <c r="H81" i="3"/>
  <c r="D81" i="3"/>
  <c r="B81" i="3"/>
  <c r="T80" i="3"/>
  <c r="P80" i="3"/>
  <c r="X80" i="3" s="1"/>
  <c r="Z80" i="3" s="1"/>
  <c r="H80" i="3"/>
  <c r="D80" i="3"/>
  <c r="B80" i="3"/>
  <c r="T79" i="3"/>
  <c r="Z79" i="3" s="1"/>
  <c r="P79" i="3"/>
  <c r="X79" i="3" s="1"/>
  <c r="L79" i="3"/>
  <c r="H79" i="3"/>
  <c r="N79" i="3" s="1"/>
  <c r="D79" i="3"/>
  <c r="B79" i="3"/>
  <c r="T78" i="3"/>
  <c r="X78" i="3" s="1"/>
  <c r="Z78" i="3" s="1"/>
  <c r="P78" i="3"/>
  <c r="L78" i="3"/>
  <c r="H78" i="3"/>
  <c r="N78" i="3" s="1"/>
  <c r="D78" i="3"/>
  <c r="B78" i="3"/>
  <c r="T77" i="3"/>
  <c r="Z77" i="3" s="1"/>
  <c r="P77" i="3"/>
  <c r="X77" i="3" s="1"/>
  <c r="L77" i="3"/>
  <c r="N77" i="3" s="1"/>
  <c r="H77" i="3"/>
  <c r="D77" i="3"/>
  <c r="B77" i="3"/>
  <c r="T76" i="3"/>
  <c r="P76" i="3"/>
  <c r="X76" i="3" s="1"/>
  <c r="Z76" i="3" s="1"/>
  <c r="H76" i="3"/>
  <c r="D76" i="3"/>
  <c r="B76" i="3"/>
  <c r="T75" i="3"/>
  <c r="Z75" i="3" s="1"/>
  <c r="P75" i="3"/>
  <c r="X75" i="3" s="1"/>
  <c r="L75" i="3"/>
  <c r="H75" i="3"/>
  <c r="N75" i="3" s="1"/>
  <c r="D75" i="3"/>
  <c r="B75" i="3"/>
  <c r="T74" i="3"/>
  <c r="X74" i="3" s="1"/>
  <c r="Z74" i="3" s="1"/>
  <c r="P74" i="3"/>
  <c r="L74" i="3"/>
  <c r="H74" i="3"/>
  <c r="N74" i="3" s="1"/>
  <c r="D74" i="3"/>
  <c r="B74" i="3"/>
  <c r="T73" i="3"/>
  <c r="P73" i="3"/>
  <c r="X73" i="3" s="1"/>
  <c r="L73" i="3"/>
  <c r="N73" i="3" s="1"/>
  <c r="H73" i="3"/>
  <c r="D73" i="3"/>
  <c r="B73" i="3"/>
  <c r="T72" i="3"/>
  <c r="P72" i="3"/>
  <c r="X72" i="3" s="1"/>
  <c r="Z72" i="3" s="1"/>
  <c r="H72" i="3"/>
  <c r="D72" i="3"/>
  <c r="B72" i="3"/>
  <c r="T71" i="3"/>
  <c r="Z71" i="3" s="1"/>
  <c r="P71" i="3"/>
  <c r="X71" i="3" s="1"/>
  <c r="L71" i="3"/>
  <c r="H71" i="3"/>
  <c r="N71" i="3" s="1"/>
  <c r="D71" i="3"/>
  <c r="B71" i="3"/>
  <c r="T70" i="3"/>
  <c r="X70" i="3" s="1"/>
  <c r="Z70" i="3" s="1"/>
  <c r="P70" i="3"/>
  <c r="L70" i="3"/>
  <c r="H70" i="3"/>
  <c r="N70" i="3" s="1"/>
  <c r="D70" i="3"/>
  <c r="B70" i="3"/>
  <c r="T69" i="3"/>
  <c r="Z69" i="3" s="1"/>
  <c r="P69" i="3"/>
  <c r="X69" i="3" s="1"/>
  <c r="N69" i="3"/>
  <c r="L69" i="3"/>
  <c r="H69" i="3"/>
  <c r="D69" i="3"/>
  <c r="B69" i="3"/>
  <c r="T68" i="3"/>
  <c r="P68" i="3"/>
  <c r="X68" i="3" s="1"/>
  <c r="Z68" i="3" s="1"/>
  <c r="H68" i="3"/>
  <c r="D68" i="3"/>
  <c r="B68" i="3"/>
  <c r="T67" i="3"/>
  <c r="Z67" i="3" s="1"/>
  <c r="P67" i="3"/>
  <c r="X67" i="3" s="1"/>
  <c r="L67" i="3"/>
  <c r="H67" i="3"/>
  <c r="N67" i="3" s="1"/>
  <c r="D67" i="3"/>
  <c r="B67" i="3"/>
  <c r="T66" i="3"/>
  <c r="X66" i="3" s="1"/>
  <c r="Z66" i="3" s="1"/>
  <c r="P66" i="3"/>
  <c r="L66" i="3"/>
  <c r="H66" i="3"/>
  <c r="N66" i="3" s="1"/>
  <c r="D66" i="3"/>
  <c r="B66" i="3"/>
  <c r="T65" i="3"/>
  <c r="Z65" i="3" s="1"/>
  <c r="P65" i="3"/>
  <c r="X65" i="3" s="1"/>
  <c r="L65" i="3"/>
  <c r="N65" i="3" s="1"/>
  <c r="H65" i="3"/>
  <c r="D65" i="3"/>
  <c r="B65" i="3"/>
  <c r="T64" i="3"/>
  <c r="P64" i="3"/>
  <c r="X64" i="3" s="1"/>
  <c r="Z64" i="3" s="1"/>
  <c r="H64" i="3"/>
  <c r="D64" i="3"/>
  <c r="B64" i="3"/>
  <c r="T63" i="3"/>
  <c r="Z63" i="3" s="1"/>
  <c r="P63" i="3"/>
  <c r="X63" i="3" s="1"/>
  <c r="L63" i="3"/>
  <c r="H63" i="3"/>
  <c r="N63" i="3" s="1"/>
  <c r="D63" i="3"/>
  <c r="B63" i="3"/>
  <c r="T62" i="3"/>
  <c r="X62" i="3" s="1"/>
  <c r="Z62" i="3" s="1"/>
  <c r="P62" i="3"/>
  <c r="L62" i="3"/>
  <c r="H62" i="3"/>
  <c r="N62" i="3" s="1"/>
  <c r="D62" i="3"/>
  <c r="B62" i="3"/>
  <c r="T61" i="3"/>
  <c r="Z61" i="3" s="1"/>
  <c r="P61" i="3"/>
  <c r="X61" i="3" s="1"/>
  <c r="L61" i="3"/>
  <c r="N61" i="3" s="1"/>
  <c r="H61" i="3"/>
  <c r="D61" i="3"/>
  <c r="B61" i="3"/>
  <c r="T60" i="3"/>
  <c r="P60" i="3"/>
  <c r="X60" i="3" s="1"/>
  <c r="Z60" i="3" s="1"/>
  <c r="H60" i="3"/>
  <c r="D60" i="3"/>
  <c r="B60" i="3"/>
  <c r="T59" i="3"/>
  <c r="P59" i="3"/>
  <c r="X59" i="3" s="1"/>
  <c r="L59" i="3"/>
  <c r="H59" i="3"/>
  <c r="N59" i="3" s="1"/>
  <c r="D59" i="3"/>
  <c r="B59" i="3"/>
  <c r="T58" i="3"/>
  <c r="X58" i="3" s="1"/>
  <c r="Z58" i="3" s="1"/>
  <c r="P58" i="3"/>
  <c r="L58" i="3"/>
  <c r="H58" i="3"/>
  <c r="N58" i="3" s="1"/>
  <c r="D58" i="3"/>
  <c r="B58" i="3"/>
  <c r="T57" i="3"/>
  <c r="P57" i="3"/>
  <c r="X57" i="3" s="1"/>
  <c r="L57" i="3"/>
  <c r="N57" i="3" s="1"/>
  <c r="H57" i="3"/>
  <c r="D57" i="3"/>
  <c r="B57" i="3"/>
  <c r="T56" i="3"/>
  <c r="P56" i="3"/>
  <c r="X56" i="3" s="1"/>
  <c r="Z56" i="3" s="1"/>
  <c r="H56" i="3"/>
  <c r="L56" i="3" s="1"/>
  <c r="D56" i="3"/>
  <c r="B56" i="3"/>
  <c r="T55" i="3"/>
  <c r="P55" i="3"/>
  <c r="X55" i="3" s="1"/>
  <c r="L55" i="3"/>
  <c r="H55" i="3"/>
  <c r="N55" i="3" s="1"/>
  <c r="D55" i="3"/>
  <c r="B55" i="3"/>
  <c r="T54" i="3"/>
  <c r="X54" i="3" s="1"/>
  <c r="Z54" i="3" s="1"/>
  <c r="P54" i="3"/>
  <c r="L54" i="3"/>
  <c r="H54" i="3"/>
  <c r="N54" i="3" s="1"/>
  <c r="D54" i="3"/>
  <c r="B54" i="3"/>
  <c r="T53" i="3"/>
  <c r="P53" i="3"/>
  <c r="X53" i="3" s="1"/>
  <c r="L53" i="3"/>
  <c r="N53" i="3" s="1"/>
  <c r="H53" i="3"/>
  <c r="D53" i="3"/>
  <c r="B53" i="3"/>
  <c r="T52" i="3"/>
  <c r="P52" i="3"/>
  <c r="X52" i="3" s="1"/>
  <c r="Z52" i="3" s="1"/>
  <c r="H52" i="3"/>
  <c r="L52" i="3" s="1"/>
  <c r="D52" i="3"/>
  <c r="B52" i="3"/>
  <c r="T51" i="3"/>
  <c r="Z51" i="3" s="1"/>
  <c r="P51" i="3"/>
  <c r="X51" i="3" s="1"/>
  <c r="L51" i="3"/>
  <c r="H51" i="3"/>
  <c r="N51" i="3" s="1"/>
  <c r="D51" i="3"/>
  <c r="B51" i="3"/>
  <c r="T50" i="3"/>
  <c r="X50" i="3" s="1"/>
  <c r="Z50" i="3" s="1"/>
  <c r="P50" i="3"/>
  <c r="L50" i="3"/>
  <c r="H50" i="3"/>
  <c r="N50" i="3" s="1"/>
  <c r="D50" i="3"/>
  <c r="B50" i="3"/>
  <c r="T49" i="3"/>
  <c r="Z49" i="3" s="1"/>
  <c r="P49" i="3"/>
  <c r="X49" i="3" s="1"/>
  <c r="N49" i="3"/>
  <c r="L49" i="3"/>
  <c r="H49" i="3"/>
  <c r="D49" i="3"/>
  <c r="B49" i="3"/>
  <c r="T48" i="3"/>
  <c r="P48" i="3"/>
  <c r="X48" i="3" s="1"/>
  <c r="Z48" i="3" s="1"/>
  <c r="H48" i="3"/>
  <c r="L48" i="3" s="1"/>
  <c r="D48" i="3"/>
  <c r="B48" i="3"/>
  <c r="T47" i="3"/>
  <c r="Z47" i="3" s="1"/>
  <c r="P47" i="3"/>
  <c r="X47" i="3" s="1"/>
  <c r="L47" i="3"/>
  <c r="H47" i="3"/>
  <c r="N47" i="3" s="1"/>
  <c r="D47" i="3"/>
  <c r="B47" i="3"/>
  <c r="T46" i="3"/>
  <c r="X46" i="3" s="1"/>
  <c r="Z46" i="3" s="1"/>
  <c r="P46" i="3"/>
  <c r="L46" i="3"/>
  <c r="H46" i="3"/>
  <c r="N46" i="3" s="1"/>
  <c r="D46" i="3"/>
  <c r="B46" i="3"/>
  <c r="T45" i="3"/>
  <c r="Z45" i="3" s="1"/>
  <c r="P45" i="3"/>
  <c r="X45" i="3" s="1"/>
  <c r="L45" i="3"/>
  <c r="N45" i="3" s="1"/>
  <c r="H45" i="3"/>
  <c r="D45" i="3"/>
  <c r="B45" i="3"/>
  <c r="T44" i="3"/>
  <c r="P44" i="3"/>
  <c r="X44" i="3" s="1"/>
  <c r="Z44" i="3" s="1"/>
  <c r="H44" i="3"/>
  <c r="D44" i="3"/>
  <c r="B44" i="3"/>
  <c r="T43" i="3"/>
  <c r="P43" i="3"/>
  <c r="X43" i="3" s="1"/>
  <c r="L43" i="3"/>
  <c r="H43" i="3"/>
  <c r="N43" i="3" s="1"/>
  <c r="D43" i="3"/>
  <c r="B43" i="3"/>
  <c r="T42" i="3"/>
  <c r="X42" i="3" s="1"/>
  <c r="Z42" i="3" s="1"/>
  <c r="P42" i="3"/>
  <c r="L42" i="3"/>
  <c r="H42" i="3"/>
  <c r="N42" i="3" s="1"/>
  <c r="D42" i="3"/>
  <c r="B42" i="3"/>
  <c r="T41" i="3"/>
  <c r="P41" i="3"/>
  <c r="X41" i="3" s="1"/>
  <c r="L41" i="3"/>
  <c r="N41" i="3" s="1"/>
  <c r="H41" i="3"/>
  <c r="D41" i="3"/>
  <c r="B41" i="3"/>
  <c r="T40" i="3"/>
  <c r="P40" i="3"/>
  <c r="X40" i="3" s="1"/>
  <c r="Z40" i="3" s="1"/>
  <c r="H40" i="3"/>
  <c r="D40" i="3"/>
  <c r="B40" i="3"/>
  <c r="T39" i="3"/>
  <c r="Z39" i="3" s="1"/>
  <c r="P39" i="3"/>
  <c r="X39" i="3" s="1"/>
  <c r="L39" i="3"/>
  <c r="H39" i="3"/>
  <c r="N39" i="3" s="1"/>
  <c r="D39" i="3"/>
  <c r="B39" i="3"/>
  <c r="T38" i="3"/>
  <c r="X38" i="3" s="1"/>
  <c r="Z38" i="3" s="1"/>
  <c r="P38" i="3"/>
  <c r="L38" i="3"/>
  <c r="H38" i="3"/>
  <c r="N38" i="3" s="1"/>
  <c r="D38" i="3"/>
  <c r="B38" i="3"/>
  <c r="T37" i="3"/>
  <c r="Z37" i="3" s="1"/>
  <c r="P37" i="3"/>
  <c r="X37" i="3" s="1"/>
  <c r="L37" i="3"/>
  <c r="N37" i="3" s="1"/>
  <c r="H37" i="3"/>
  <c r="D37" i="3"/>
  <c r="B37" i="3"/>
  <c r="T36" i="3"/>
  <c r="P36" i="3"/>
  <c r="X36" i="3" s="1"/>
  <c r="Z36" i="3" s="1"/>
  <c r="H36" i="3"/>
  <c r="D36" i="3"/>
  <c r="B36" i="3"/>
  <c r="T35" i="3"/>
  <c r="P35" i="3"/>
  <c r="X35" i="3" s="1"/>
  <c r="L35" i="3"/>
  <c r="H35" i="3"/>
  <c r="N35" i="3" s="1"/>
  <c r="D35" i="3"/>
  <c r="B35" i="3"/>
  <c r="T34" i="3"/>
  <c r="X34" i="3" s="1"/>
  <c r="Z34" i="3" s="1"/>
  <c r="P34" i="3"/>
  <c r="L34" i="3"/>
  <c r="H34" i="3"/>
  <c r="N34" i="3" s="1"/>
  <c r="D34" i="3"/>
  <c r="B34" i="3"/>
  <c r="T33" i="3"/>
  <c r="P33" i="3"/>
  <c r="X33" i="3" s="1"/>
  <c r="L33" i="3"/>
  <c r="N33" i="3" s="1"/>
  <c r="H33" i="3"/>
  <c r="D33" i="3"/>
  <c r="B33" i="3"/>
  <c r="T32" i="3"/>
  <c r="P32" i="3"/>
  <c r="X32" i="3" s="1"/>
  <c r="Z32" i="3" s="1"/>
  <c r="H32" i="3"/>
  <c r="D32" i="3"/>
  <c r="B32" i="3"/>
  <c r="T31" i="3"/>
  <c r="P31" i="3"/>
  <c r="X31" i="3" s="1"/>
  <c r="L31" i="3"/>
  <c r="H31" i="3"/>
  <c r="N31" i="3" s="1"/>
  <c r="D31" i="3"/>
  <c r="B31" i="3"/>
  <c r="T30" i="3"/>
  <c r="X30" i="3" s="1"/>
  <c r="Z30" i="3" s="1"/>
  <c r="P30" i="3"/>
  <c r="L30" i="3"/>
  <c r="H30" i="3"/>
  <c r="N30" i="3" s="1"/>
  <c r="D30" i="3"/>
  <c r="B30" i="3"/>
  <c r="T29" i="3"/>
  <c r="P29" i="3"/>
  <c r="X29" i="3" s="1"/>
  <c r="L29" i="3"/>
  <c r="N29" i="3" s="1"/>
  <c r="H29" i="3"/>
  <c r="D29" i="3"/>
  <c r="B29" i="3"/>
  <c r="T28" i="3"/>
  <c r="P28" i="3"/>
  <c r="X28" i="3" s="1"/>
  <c r="Z28" i="3" s="1"/>
  <c r="H28" i="3"/>
  <c r="D28" i="3"/>
  <c r="B28" i="3"/>
  <c r="T27" i="3"/>
  <c r="P27" i="3"/>
  <c r="X27" i="3" s="1"/>
  <c r="L27" i="3"/>
  <c r="H27" i="3"/>
  <c r="N27" i="3" s="1"/>
  <c r="D27" i="3"/>
  <c r="B27" i="3"/>
  <c r="T26" i="3"/>
  <c r="X26" i="3" s="1"/>
  <c r="Z26" i="3" s="1"/>
  <c r="P26" i="3"/>
  <c r="L26" i="3"/>
  <c r="H26" i="3"/>
  <c r="N26" i="3" s="1"/>
  <c r="D26" i="3"/>
  <c r="B26" i="3"/>
  <c r="T25" i="3"/>
  <c r="P25" i="3"/>
  <c r="X25" i="3" s="1"/>
  <c r="L25" i="3"/>
  <c r="N25" i="3" s="1"/>
  <c r="H25" i="3"/>
  <c r="D25" i="3"/>
  <c r="B25" i="3"/>
  <c r="T24" i="3"/>
  <c r="P24" i="3"/>
  <c r="X24" i="3" s="1"/>
  <c r="Z24" i="3" s="1"/>
  <c r="H24" i="3"/>
  <c r="D24" i="3"/>
  <c r="B24" i="3"/>
  <c r="T23" i="3"/>
  <c r="Z23" i="3" s="1"/>
  <c r="P23" i="3"/>
  <c r="X23" i="3" s="1"/>
  <c r="L23" i="3"/>
  <c r="H23" i="3"/>
  <c r="N23" i="3" s="1"/>
  <c r="D23" i="3"/>
  <c r="B23" i="3"/>
  <c r="T22" i="3"/>
  <c r="X22" i="3" s="1"/>
  <c r="Z22" i="3" s="1"/>
  <c r="P22" i="3"/>
  <c r="L22" i="3"/>
  <c r="H22" i="3"/>
  <c r="N22" i="3" s="1"/>
  <c r="D22" i="3"/>
  <c r="B22" i="3"/>
  <c r="T21" i="3"/>
  <c r="Z21" i="3" s="1"/>
  <c r="P21" i="3"/>
  <c r="X21" i="3" s="1"/>
  <c r="L21" i="3"/>
  <c r="N21" i="3" s="1"/>
  <c r="H21" i="3"/>
  <c r="D21" i="3"/>
  <c r="B21" i="3"/>
  <c r="T20" i="3"/>
  <c r="P20" i="3"/>
  <c r="X20" i="3" s="1"/>
  <c r="Z20" i="3" s="1"/>
  <c r="H20" i="3"/>
  <c r="D20" i="3"/>
  <c r="B20" i="3"/>
  <c r="T19" i="3"/>
  <c r="P19" i="3"/>
  <c r="X19" i="3" s="1"/>
  <c r="L19" i="3"/>
  <c r="H19" i="3"/>
  <c r="N19" i="3" s="1"/>
  <c r="D19" i="3"/>
  <c r="B19" i="3"/>
  <c r="T18" i="3"/>
  <c r="X18" i="3" s="1"/>
  <c r="Z18" i="3" s="1"/>
  <c r="P18" i="3"/>
  <c r="L18" i="3"/>
  <c r="H18" i="3"/>
  <c r="N18" i="3" s="1"/>
  <c r="D18" i="3"/>
  <c r="B18" i="3"/>
  <c r="T17" i="3"/>
  <c r="P17" i="3"/>
  <c r="X17" i="3" s="1"/>
  <c r="L17" i="3"/>
  <c r="N17" i="3" s="1"/>
  <c r="H17" i="3"/>
  <c r="D17" i="3"/>
  <c r="B17" i="3"/>
  <c r="T16" i="3"/>
  <c r="P16" i="3"/>
  <c r="X16" i="3" s="1"/>
  <c r="H16" i="3"/>
  <c r="L16" i="3" s="1"/>
  <c r="D16" i="3"/>
  <c r="B16" i="3"/>
  <c r="T15" i="3"/>
  <c r="Z15" i="3" s="1"/>
  <c r="P15" i="3"/>
  <c r="X15" i="3" s="1"/>
  <c r="L15" i="3"/>
  <c r="H15" i="3"/>
  <c r="N15" i="3" s="1"/>
  <c r="D15" i="3"/>
  <c r="B15" i="3"/>
  <c r="T14" i="3"/>
  <c r="T12" i="3" s="1"/>
  <c r="P14" i="3"/>
  <c r="L14" i="3"/>
  <c r="H14" i="3"/>
  <c r="N14" i="3" s="1"/>
  <c r="D14" i="3"/>
  <c r="B14" i="3"/>
  <c r="T13" i="3"/>
  <c r="Z13" i="3" s="1"/>
  <c r="P13" i="3"/>
  <c r="P12" i="3" s="1"/>
  <c r="N13" i="3"/>
  <c r="L13" i="3"/>
  <c r="H13" i="3"/>
  <c r="D13" i="3"/>
  <c r="D12" i="3" s="1"/>
  <c r="B13" i="3"/>
  <c r="H12" i="3"/>
  <c r="J233" i="3" s="1"/>
  <c r="D4" i="3"/>
  <c r="B39" i="112"/>
  <c r="H24" i="112"/>
  <c r="H22" i="112"/>
  <c r="H13" i="112"/>
  <c r="D5" i="112"/>
  <c r="P20" i="111"/>
  <c r="P16" i="111"/>
  <c r="D12" i="111"/>
  <c r="P24" i="110"/>
  <c r="P22" i="110"/>
  <c r="T20" i="110"/>
  <c r="T16" i="110"/>
  <c r="T13" i="110"/>
  <c r="B38" i="112"/>
  <c r="D34" i="112"/>
  <c r="D33" i="112"/>
  <c r="D29" i="112"/>
  <c r="D25" i="112"/>
  <c r="H21" i="112"/>
  <c r="D13" i="112"/>
  <c r="D4" i="112"/>
  <c r="H34" i="111"/>
  <c r="H33" i="111"/>
  <c r="H29" i="111"/>
  <c r="H25" i="111"/>
  <c r="P15" i="111"/>
  <c r="D6" i="111"/>
  <c r="P21" i="110"/>
  <c r="T15" i="110"/>
  <c r="P13" i="110"/>
  <c r="H12" i="110"/>
  <c r="B25" i="112"/>
  <c r="D24" i="112"/>
  <c r="D22" i="112"/>
  <c r="H20" i="112"/>
  <c r="H16" i="112"/>
  <c r="B13" i="112"/>
  <c r="B39" i="111"/>
  <c r="H24" i="111"/>
  <c r="H22" i="111"/>
  <c r="H13" i="111"/>
  <c r="D5" i="111"/>
  <c r="P20" i="110"/>
  <c r="P16" i="110"/>
  <c r="D12" i="110"/>
  <c r="B22" i="112"/>
  <c r="D21" i="112"/>
  <c r="H15" i="112"/>
  <c r="B38" i="111"/>
  <c r="D34" i="111"/>
  <c r="D33" i="111"/>
  <c r="D29" i="111"/>
  <c r="D25" i="111"/>
  <c r="H21" i="111"/>
  <c r="D13" i="111"/>
  <c r="D4" i="111"/>
  <c r="H34" i="110"/>
  <c r="H33" i="110"/>
  <c r="H29" i="110"/>
  <c r="H25" i="110"/>
  <c r="P15" i="110"/>
  <c r="D6" i="110"/>
  <c r="B21" i="112"/>
  <c r="D20" i="112"/>
  <c r="D16" i="112"/>
  <c r="B25" i="111"/>
  <c r="D24" i="111"/>
  <c r="D22" i="111"/>
  <c r="H20" i="111"/>
  <c r="H16" i="111"/>
  <c r="B13" i="111"/>
  <c r="B39" i="110"/>
  <c r="H24" i="110"/>
  <c r="H22" i="110"/>
  <c r="H13" i="110"/>
  <c r="D5" i="110"/>
  <c r="T34" i="112"/>
  <c r="T33" i="112"/>
  <c r="T29" i="112"/>
  <c r="T25" i="112"/>
  <c r="B16" i="112"/>
  <c r="D15" i="112"/>
  <c r="T12" i="112"/>
  <c r="B22" i="111"/>
  <c r="D21" i="111"/>
  <c r="H15" i="111"/>
  <c r="B38" i="110"/>
  <c r="D34" i="110"/>
  <c r="D33" i="110"/>
  <c r="D29" i="110"/>
  <c r="D25" i="110"/>
  <c r="H21" i="110"/>
  <c r="D13" i="110"/>
  <c r="D4" i="110"/>
  <c r="T24" i="112"/>
  <c r="T22" i="112"/>
  <c r="P12" i="112"/>
  <c r="B21" i="111"/>
  <c r="D20" i="111"/>
  <c r="D16" i="111"/>
  <c r="B25" i="110"/>
  <c r="D24" i="110"/>
  <c r="D22" i="110"/>
  <c r="H20" i="110"/>
  <c r="H16" i="110"/>
  <c r="B13" i="110"/>
  <c r="P34" i="112"/>
  <c r="P33" i="112"/>
  <c r="P29" i="112"/>
  <c r="P25" i="112"/>
  <c r="T21" i="112"/>
  <c r="T34" i="111"/>
  <c r="T33" i="111"/>
  <c r="T29" i="111"/>
  <c r="T25" i="111"/>
  <c r="B16" i="111"/>
  <c r="D15" i="111"/>
  <c r="T12" i="111"/>
  <c r="B22" i="110"/>
  <c r="D21" i="110"/>
  <c r="H15" i="110"/>
  <c r="P24" i="112"/>
  <c r="P22" i="112"/>
  <c r="T20" i="112"/>
  <c r="T16" i="112"/>
  <c r="T13" i="112"/>
  <c r="T24" i="111"/>
  <c r="T22" i="111"/>
  <c r="P12" i="111"/>
  <c r="B21" i="110"/>
  <c r="D20" i="110"/>
  <c r="D16" i="110"/>
  <c r="P21" i="112"/>
  <c r="T15" i="112"/>
  <c r="P13" i="112"/>
  <c r="H12" i="112"/>
  <c r="P34" i="111"/>
  <c r="P33" i="111"/>
  <c r="P29" i="111"/>
  <c r="P25" i="111"/>
  <c r="T21" i="111"/>
  <c r="T34" i="110"/>
  <c r="T33" i="110"/>
  <c r="T29" i="110"/>
  <c r="T25" i="110"/>
  <c r="B16" i="110"/>
  <c r="D15" i="110"/>
  <c r="T12" i="110"/>
  <c r="P20" i="112"/>
  <c r="P16" i="112"/>
  <c r="D12" i="112"/>
  <c r="P24" i="111"/>
  <c r="P22" i="111"/>
  <c r="T20" i="111"/>
  <c r="T16" i="111"/>
  <c r="T13" i="111"/>
  <c r="H34" i="112"/>
  <c r="H33" i="112"/>
  <c r="H29" i="112"/>
  <c r="H25" i="112"/>
  <c r="P25" i="110"/>
  <c r="T24" i="110"/>
  <c r="P34" i="110"/>
  <c r="P15" i="112"/>
  <c r="P21" i="111"/>
  <c r="T22" i="110"/>
  <c r="P33" i="110"/>
  <c r="D6" i="112"/>
  <c r="P12" i="110"/>
  <c r="T21" i="110"/>
  <c r="T15" i="111"/>
  <c r="H12" i="111"/>
  <c r="P13" i="111"/>
  <c r="P29" i="110"/>
  <c r="B21" i="53"/>
  <c r="D20" i="53"/>
  <c r="D16" i="53"/>
  <c r="B22" i="52"/>
  <c r="D21" i="52"/>
  <c r="H15" i="52"/>
  <c r="P20" i="50"/>
  <c r="P16" i="50"/>
  <c r="D12" i="50"/>
  <c r="P21" i="49"/>
  <c r="T15" i="49"/>
  <c r="P13" i="49"/>
  <c r="H12" i="49"/>
  <c r="T34" i="53"/>
  <c r="T33" i="53"/>
  <c r="T29" i="53"/>
  <c r="T25" i="53"/>
  <c r="B16" i="53"/>
  <c r="D15" i="53"/>
  <c r="T12" i="53"/>
  <c r="B21" i="52"/>
  <c r="D20" i="52"/>
  <c r="D16" i="52"/>
  <c r="T24" i="53"/>
  <c r="T22" i="53"/>
  <c r="P12" i="53"/>
  <c r="T34" i="52"/>
  <c r="T33" i="52"/>
  <c r="T29" i="52"/>
  <c r="T25" i="52"/>
  <c r="B16" i="52"/>
  <c r="D15" i="52"/>
  <c r="T12" i="52"/>
  <c r="B39" i="50"/>
  <c r="H24" i="50"/>
  <c r="H22" i="50"/>
  <c r="H13" i="50"/>
  <c r="D4" i="50"/>
  <c r="H34" i="49"/>
  <c r="H33" i="49"/>
  <c r="H29" i="49"/>
  <c r="H25" i="49"/>
  <c r="P15" i="49"/>
  <c r="D5" i="49"/>
  <c r="P34" i="53"/>
  <c r="P33" i="53"/>
  <c r="P29" i="53"/>
  <c r="P25" i="53"/>
  <c r="T21" i="53"/>
  <c r="T24" i="52"/>
  <c r="T22" i="52"/>
  <c r="P12" i="52"/>
  <c r="B38" i="50"/>
  <c r="D34" i="50"/>
  <c r="D33" i="50"/>
  <c r="D29" i="50"/>
  <c r="D25" i="50"/>
  <c r="H21" i="50"/>
  <c r="D13" i="50"/>
  <c r="B39" i="49"/>
  <c r="H24" i="49"/>
  <c r="H22" i="49"/>
  <c r="H13" i="49"/>
  <c r="D4" i="49"/>
  <c r="P24" i="53"/>
  <c r="P22" i="53"/>
  <c r="T20" i="53"/>
  <c r="T16" i="53"/>
  <c r="T13" i="53"/>
  <c r="P34" i="52"/>
  <c r="P33" i="52"/>
  <c r="P29" i="52"/>
  <c r="P25" i="52"/>
  <c r="T21" i="52"/>
  <c r="B25" i="50"/>
  <c r="D24" i="50"/>
  <c r="D22" i="50"/>
  <c r="H20" i="50"/>
  <c r="H16" i="50"/>
  <c r="B13" i="50"/>
  <c r="B38" i="49"/>
  <c r="D34" i="49"/>
  <c r="D33" i="49"/>
  <c r="D29" i="49"/>
  <c r="D25" i="49"/>
  <c r="H21" i="49"/>
  <c r="D13" i="49"/>
  <c r="P21" i="53"/>
  <c r="T15" i="53"/>
  <c r="P13" i="53"/>
  <c r="H12" i="53"/>
  <c r="P24" i="52"/>
  <c r="P22" i="52"/>
  <c r="T20" i="52"/>
  <c r="T16" i="52"/>
  <c r="T13" i="52"/>
  <c r="B22" i="50"/>
  <c r="D21" i="50"/>
  <c r="H15" i="50"/>
  <c r="B25" i="49"/>
  <c r="D24" i="49"/>
  <c r="D22" i="49"/>
  <c r="H20" i="49"/>
  <c r="H16" i="49"/>
  <c r="B13" i="49"/>
  <c r="P20" i="53"/>
  <c r="P16" i="53"/>
  <c r="D12" i="53"/>
  <c r="P21" i="52"/>
  <c r="T15" i="52"/>
  <c r="P13" i="52"/>
  <c r="H12" i="52"/>
  <c r="B21" i="50"/>
  <c r="D20" i="50"/>
  <c r="D16" i="50"/>
  <c r="B22" i="49"/>
  <c r="D21" i="49"/>
  <c r="H15" i="49"/>
  <c r="B39" i="53"/>
  <c r="H24" i="53"/>
  <c r="H22" i="53"/>
  <c r="H13" i="53"/>
  <c r="D4" i="53"/>
  <c r="H34" i="52"/>
  <c r="H33" i="52"/>
  <c r="H29" i="52"/>
  <c r="H25" i="52"/>
  <c r="P15" i="52"/>
  <c r="D5" i="52"/>
  <c r="T24" i="50"/>
  <c r="T22" i="50"/>
  <c r="P12" i="50"/>
  <c r="T34" i="49"/>
  <c r="T33" i="49"/>
  <c r="T29" i="49"/>
  <c r="T25" i="49"/>
  <c r="B16" i="49"/>
  <c r="D15" i="49"/>
  <c r="T12" i="49"/>
  <c r="B38" i="53"/>
  <c r="D34" i="53"/>
  <c r="D33" i="53"/>
  <c r="D29" i="53"/>
  <c r="D25" i="53"/>
  <c r="H21" i="53"/>
  <c r="D13" i="53"/>
  <c r="B39" i="52"/>
  <c r="H24" i="52"/>
  <c r="H22" i="52"/>
  <c r="H13" i="52"/>
  <c r="D4" i="52"/>
  <c r="P34" i="50"/>
  <c r="P33" i="50"/>
  <c r="P29" i="50"/>
  <c r="P25" i="50"/>
  <c r="T21" i="50"/>
  <c r="T24" i="49"/>
  <c r="T22" i="49"/>
  <c r="P12" i="49"/>
  <c r="B22" i="53"/>
  <c r="D21" i="53"/>
  <c r="H15" i="53"/>
  <c r="B25" i="52"/>
  <c r="D24" i="52"/>
  <c r="D22" i="52"/>
  <c r="H20" i="52"/>
  <c r="H16" i="52"/>
  <c r="B13" i="52"/>
  <c r="P21" i="50"/>
  <c r="T15" i="50"/>
  <c r="P13" i="50"/>
  <c r="H12" i="50"/>
  <c r="P24" i="49"/>
  <c r="P22" i="49"/>
  <c r="T20" i="49"/>
  <c r="T16" i="49"/>
  <c r="T13" i="49"/>
  <c r="D22" i="53"/>
  <c r="B13" i="53"/>
  <c r="D29" i="52"/>
  <c r="P24" i="50"/>
  <c r="T34" i="47"/>
  <c r="T33" i="47"/>
  <c r="T29" i="47"/>
  <c r="T25" i="47"/>
  <c r="B16" i="47"/>
  <c r="D15" i="47"/>
  <c r="T12" i="47"/>
  <c r="B21" i="46"/>
  <c r="D20" i="46"/>
  <c r="D16" i="46"/>
  <c r="B21" i="44"/>
  <c r="D20" i="44"/>
  <c r="D16" i="44"/>
  <c r="B22" i="43"/>
  <c r="D21" i="43"/>
  <c r="H15" i="43"/>
  <c r="D5" i="53"/>
  <c r="D5" i="50"/>
  <c r="D12" i="49"/>
  <c r="T24" i="47"/>
  <c r="T22" i="47"/>
  <c r="P12" i="47"/>
  <c r="T34" i="46"/>
  <c r="T33" i="46"/>
  <c r="T29" i="46"/>
  <c r="T25" i="46"/>
  <c r="B16" i="46"/>
  <c r="D15" i="46"/>
  <c r="T12" i="46"/>
  <c r="T34" i="44"/>
  <c r="T33" i="44"/>
  <c r="T29" i="44"/>
  <c r="T25" i="44"/>
  <c r="B16" i="44"/>
  <c r="D15" i="44"/>
  <c r="T12" i="44"/>
  <c r="B21" i="43"/>
  <c r="D20" i="43"/>
  <c r="D16" i="43"/>
  <c r="B38" i="52"/>
  <c r="T29" i="50"/>
  <c r="P34" i="47"/>
  <c r="P33" i="47"/>
  <c r="P29" i="47"/>
  <c r="P25" i="47"/>
  <c r="T21" i="47"/>
  <c r="T24" i="46"/>
  <c r="T22" i="46"/>
  <c r="P12" i="46"/>
  <c r="T24" i="44"/>
  <c r="T22" i="44"/>
  <c r="P12" i="44"/>
  <c r="T34" i="43"/>
  <c r="T33" i="43"/>
  <c r="T29" i="43"/>
  <c r="T25" i="43"/>
  <c r="B16" i="43"/>
  <c r="D15" i="43"/>
  <c r="T12" i="43"/>
  <c r="H29" i="53"/>
  <c r="P16" i="52"/>
  <c r="P22" i="50"/>
  <c r="T16" i="50"/>
  <c r="P29" i="49"/>
  <c r="P24" i="47"/>
  <c r="P22" i="47"/>
  <c r="T20" i="47"/>
  <c r="T16" i="47"/>
  <c r="T13" i="47"/>
  <c r="P34" i="46"/>
  <c r="P33" i="46"/>
  <c r="P29" i="46"/>
  <c r="P25" i="46"/>
  <c r="T21" i="46"/>
  <c r="P34" i="44"/>
  <c r="P33" i="44"/>
  <c r="P29" i="44"/>
  <c r="P25" i="44"/>
  <c r="T21" i="44"/>
  <c r="T24" i="43"/>
  <c r="T22" i="43"/>
  <c r="P12" i="43"/>
  <c r="H20" i="53"/>
  <c r="D25" i="52"/>
  <c r="H29" i="50"/>
  <c r="P16" i="49"/>
  <c r="P21" i="47"/>
  <c r="T15" i="47"/>
  <c r="P13" i="47"/>
  <c r="H12" i="47"/>
  <c r="P24" i="46"/>
  <c r="P22" i="46"/>
  <c r="T20" i="46"/>
  <c r="T16" i="46"/>
  <c r="T13" i="46"/>
  <c r="P24" i="44"/>
  <c r="P22" i="44"/>
  <c r="T20" i="44"/>
  <c r="T16" i="44"/>
  <c r="T13" i="44"/>
  <c r="P34" i="43"/>
  <c r="P33" i="43"/>
  <c r="P29" i="43"/>
  <c r="P25" i="43"/>
  <c r="T21" i="43"/>
  <c r="T34" i="50"/>
  <c r="B16" i="50"/>
  <c r="D16" i="49"/>
  <c r="P20" i="47"/>
  <c r="P16" i="47"/>
  <c r="D12" i="47"/>
  <c r="P21" i="46"/>
  <c r="T15" i="46"/>
  <c r="P13" i="46"/>
  <c r="H12" i="46"/>
  <c r="P21" i="44"/>
  <c r="T15" i="44"/>
  <c r="P13" i="44"/>
  <c r="H12" i="44"/>
  <c r="P24" i="43"/>
  <c r="P22" i="43"/>
  <c r="T20" i="43"/>
  <c r="T16" i="43"/>
  <c r="T13" i="43"/>
  <c r="D34" i="52"/>
  <c r="P34" i="49"/>
  <c r="T21" i="49"/>
  <c r="H34" i="47"/>
  <c r="H33" i="47"/>
  <c r="H29" i="47"/>
  <c r="H25" i="47"/>
  <c r="P15" i="47"/>
  <c r="D5" i="47"/>
  <c r="P20" i="46"/>
  <c r="P16" i="46"/>
  <c r="D12" i="46"/>
  <c r="P20" i="44"/>
  <c r="P16" i="44"/>
  <c r="D12" i="44"/>
  <c r="P21" i="43"/>
  <c r="T15" i="43"/>
  <c r="P13" i="43"/>
  <c r="H12" i="43"/>
  <c r="H25" i="53"/>
  <c r="H34" i="50"/>
  <c r="P15" i="50"/>
  <c r="B39" i="47"/>
  <c r="H24" i="47"/>
  <c r="H22" i="47"/>
  <c r="H13" i="47"/>
  <c r="D4" i="47"/>
  <c r="H34" i="46"/>
  <c r="H33" i="46"/>
  <c r="H29" i="46"/>
  <c r="H25" i="46"/>
  <c r="P15" i="46"/>
  <c r="D5" i="46"/>
  <c r="B25" i="53"/>
  <c r="H16" i="53"/>
  <c r="D33" i="52"/>
  <c r="D13" i="52"/>
  <c r="T33" i="50"/>
  <c r="T25" i="50"/>
  <c r="D15" i="50"/>
  <c r="B21" i="49"/>
  <c r="B38" i="47"/>
  <c r="D34" i="47"/>
  <c r="D33" i="47"/>
  <c r="D29" i="47"/>
  <c r="D25" i="47"/>
  <c r="H21" i="47"/>
  <c r="D13" i="47"/>
  <c r="B39" i="46"/>
  <c r="H24" i="46"/>
  <c r="H22" i="46"/>
  <c r="H13" i="46"/>
  <c r="D4" i="46"/>
  <c r="B39" i="44"/>
  <c r="H24" i="44"/>
  <c r="H22" i="44"/>
  <c r="H13" i="44"/>
  <c r="D4" i="44"/>
  <c r="H34" i="43"/>
  <c r="H33" i="43"/>
  <c r="H29" i="43"/>
  <c r="H25" i="43"/>
  <c r="P15" i="43"/>
  <c r="D5" i="43"/>
  <c r="H34" i="53"/>
  <c r="P15" i="53"/>
  <c r="D12" i="52"/>
  <c r="T20" i="50"/>
  <c r="T13" i="50"/>
  <c r="P33" i="49"/>
  <c r="P25" i="49"/>
  <c r="B25" i="47"/>
  <c r="D24" i="47"/>
  <c r="D22" i="47"/>
  <c r="H20" i="47"/>
  <c r="H16" i="47"/>
  <c r="B13" i="47"/>
  <c r="B38" i="46"/>
  <c r="D34" i="46"/>
  <c r="D33" i="46"/>
  <c r="D29" i="46"/>
  <c r="D25" i="46"/>
  <c r="H21" i="46"/>
  <c r="D13" i="46"/>
  <c r="B38" i="44"/>
  <c r="D34" i="44"/>
  <c r="D33" i="44"/>
  <c r="D29" i="44"/>
  <c r="D25" i="44"/>
  <c r="H21" i="44"/>
  <c r="D13" i="44"/>
  <c r="B39" i="43"/>
  <c r="H24" i="43"/>
  <c r="H22" i="43"/>
  <c r="H13" i="43"/>
  <c r="D4" i="43"/>
  <c r="H33" i="53"/>
  <c r="P20" i="52"/>
  <c r="T12" i="50"/>
  <c r="D20" i="49"/>
  <c r="B21" i="47"/>
  <c r="D20" i="47"/>
  <c r="D16" i="47"/>
  <c r="B22" i="46"/>
  <c r="D21" i="46"/>
  <c r="H15" i="46"/>
  <c r="B22" i="44"/>
  <c r="D21" i="44"/>
  <c r="H15" i="44"/>
  <c r="B25" i="43"/>
  <c r="D24" i="43"/>
  <c r="D22" i="43"/>
  <c r="H20" i="43"/>
  <c r="H16" i="43"/>
  <c r="B13" i="43"/>
  <c r="D21" i="47"/>
  <c r="D5" i="44"/>
  <c r="P24" i="41"/>
  <c r="P22" i="41"/>
  <c r="T20" i="41"/>
  <c r="T16" i="41"/>
  <c r="T13" i="41"/>
  <c r="P34" i="40"/>
  <c r="P33" i="40"/>
  <c r="P29" i="40"/>
  <c r="P25" i="40"/>
  <c r="T21" i="40"/>
  <c r="B21" i="38"/>
  <c r="D20" i="38"/>
  <c r="D16" i="38"/>
  <c r="B22" i="37"/>
  <c r="D21" i="37"/>
  <c r="H15" i="37"/>
  <c r="B25" i="46"/>
  <c r="B38" i="43"/>
  <c r="P21" i="41"/>
  <c r="T15" i="41"/>
  <c r="P13" i="41"/>
  <c r="H12" i="41"/>
  <c r="P24" i="40"/>
  <c r="P22" i="40"/>
  <c r="T20" i="40"/>
  <c r="T16" i="40"/>
  <c r="T13" i="40"/>
  <c r="T34" i="38"/>
  <c r="T33" i="38"/>
  <c r="T29" i="38"/>
  <c r="T25" i="38"/>
  <c r="B16" i="38"/>
  <c r="D15" i="38"/>
  <c r="T12" i="38"/>
  <c r="B21" i="37"/>
  <c r="D20" i="37"/>
  <c r="D16" i="37"/>
  <c r="P20" i="49"/>
  <c r="D24" i="46"/>
  <c r="H29" i="44"/>
  <c r="P16" i="43"/>
  <c r="P20" i="41"/>
  <c r="P16" i="41"/>
  <c r="D12" i="41"/>
  <c r="P21" i="40"/>
  <c r="T15" i="40"/>
  <c r="P13" i="40"/>
  <c r="H12" i="40"/>
  <c r="T24" i="38"/>
  <c r="T22" i="38"/>
  <c r="P12" i="38"/>
  <c r="T34" i="37"/>
  <c r="T33" i="37"/>
  <c r="T29" i="37"/>
  <c r="T25" i="37"/>
  <c r="B16" i="37"/>
  <c r="D15" i="37"/>
  <c r="T12" i="37"/>
  <c r="D22" i="46"/>
  <c r="H20" i="44"/>
  <c r="D25" i="43"/>
  <c r="H34" i="41"/>
  <c r="H33" i="41"/>
  <c r="H29" i="41"/>
  <c r="H25" i="41"/>
  <c r="P15" i="41"/>
  <c r="D5" i="41"/>
  <c r="P20" i="40"/>
  <c r="P16" i="40"/>
  <c r="D12" i="40"/>
  <c r="P34" i="38"/>
  <c r="P33" i="38"/>
  <c r="P29" i="38"/>
  <c r="P25" i="38"/>
  <c r="T21" i="38"/>
  <c r="T24" i="37"/>
  <c r="T22" i="37"/>
  <c r="P12" i="37"/>
  <c r="H15" i="47"/>
  <c r="B39" i="41"/>
  <c r="H24" i="41"/>
  <c r="H22" i="41"/>
  <c r="H13" i="41"/>
  <c r="D4" i="41"/>
  <c r="H34" i="40"/>
  <c r="H33" i="40"/>
  <c r="H29" i="40"/>
  <c r="H25" i="40"/>
  <c r="P15" i="40"/>
  <c r="D5" i="40"/>
  <c r="P24" i="38"/>
  <c r="P22" i="38"/>
  <c r="T20" i="38"/>
  <c r="T16" i="38"/>
  <c r="T13" i="38"/>
  <c r="P34" i="37"/>
  <c r="P33" i="37"/>
  <c r="P29" i="37"/>
  <c r="P25" i="37"/>
  <c r="T21" i="37"/>
  <c r="H20" i="46"/>
  <c r="D34" i="43"/>
  <c r="B38" i="41"/>
  <c r="D34" i="41"/>
  <c r="D33" i="41"/>
  <c r="D29" i="41"/>
  <c r="D25" i="41"/>
  <c r="H21" i="41"/>
  <c r="D13" i="41"/>
  <c r="B39" i="40"/>
  <c r="H24" i="40"/>
  <c r="H22" i="40"/>
  <c r="H13" i="40"/>
  <c r="D4" i="40"/>
  <c r="H25" i="44"/>
  <c r="B25" i="41"/>
  <c r="D24" i="41"/>
  <c r="D22" i="41"/>
  <c r="H20" i="41"/>
  <c r="H16" i="41"/>
  <c r="B13" i="41"/>
  <c r="B38" i="40"/>
  <c r="D34" i="40"/>
  <c r="D33" i="40"/>
  <c r="D29" i="40"/>
  <c r="D25" i="40"/>
  <c r="H21" i="40"/>
  <c r="D13" i="40"/>
  <c r="P20" i="38"/>
  <c r="P16" i="38"/>
  <c r="D12" i="38"/>
  <c r="P21" i="37"/>
  <c r="T15" i="37"/>
  <c r="P13" i="37"/>
  <c r="H12" i="37"/>
  <c r="H16" i="46"/>
  <c r="B25" i="44"/>
  <c r="H16" i="44"/>
  <c r="D33" i="43"/>
  <c r="D13" i="43"/>
  <c r="D24" i="53"/>
  <c r="H33" i="50"/>
  <c r="H34" i="44"/>
  <c r="P15" i="44"/>
  <c r="D12" i="43"/>
  <c r="B21" i="41"/>
  <c r="D20" i="41"/>
  <c r="D16" i="41"/>
  <c r="B22" i="40"/>
  <c r="D21" i="40"/>
  <c r="H15" i="40"/>
  <c r="B39" i="38"/>
  <c r="H24" i="38"/>
  <c r="H22" i="38"/>
  <c r="H13" i="38"/>
  <c r="D4" i="38"/>
  <c r="H34" i="37"/>
  <c r="H33" i="37"/>
  <c r="H29" i="37"/>
  <c r="H25" i="37"/>
  <c r="P15" i="37"/>
  <c r="D5" i="37"/>
  <c r="H25" i="50"/>
  <c r="B13" i="46"/>
  <c r="D24" i="44"/>
  <c r="H21" i="43"/>
  <c r="T34" i="41"/>
  <c r="T33" i="41"/>
  <c r="T29" i="41"/>
  <c r="T25" i="41"/>
  <c r="B16" i="41"/>
  <c r="D15" i="41"/>
  <c r="T12" i="41"/>
  <c r="B21" i="40"/>
  <c r="D20" i="40"/>
  <c r="D16" i="40"/>
  <c r="B38" i="38"/>
  <c r="D34" i="38"/>
  <c r="D33" i="38"/>
  <c r="D29" i="38"/>
  <c r="D25" i="38"/>
  <c r="H21" i="38"/>
  <c r="D13" i="38"/>
  <c r="B39" i="37"/>
  <c r="H24" i="37"/>
  <c r="H22" i="37"/>
  <c r="H13" i="37"/>
  <c r="D4" i="37"/>
  <c r="H21" i="52"/>
  <c r="B22" i="47"/>
  <c r="D22" i="44"/>
  <c r="B13" i="44"/>
  <c r="D29" i="43"/>
  <c r="P34" i="41"/>
  <c r="P33" i="41"/>
  <c r="P29" i="41"/>
  <c r="P25" i="41"/>
  <c r="T21" i="41"/>
  <c r="T24" i="40"/>
  <c r="T22" i="40"/>
  <c r="P12" i="40"/>
  <c r="B22" i="38"/>
  <c r="D21" i="38"/>
  <c r="H15" i="38"/>
  <c r="B25" i="37"/>
  <c r="D24" i="37"/>
  <c r="D22" i="37"/>
  <c r="H20" i="37"/>
  <c r="H16" i="37"/>
  <c r="B13" i="37"/>
  <c r="T34" i="40"/>
  <c r="B16" i="40"/>
  <c r="P13" i="38"/>
  <c r="T20" i="37"/>
  <c r="T13" i="37"/>
  <c r="P24" i="35"/>
  <c r="P22" i="35"/>
  <c r="T20" i="35"/>
  <c r="T16" i="35"/>
  <c r="T13" i="35"/>
  <c r="P34" i="34"/>
  <c r="P33" i="34"/>
  <c r="P29" i="34"/>
  <c r="P25" i="34"/>
  <c r="T21" i="34"/>
  <c r="P20" i="43"/>
  <c r="D24" i="40"/>
  <c r="H33" i="38"/>
  <c r="H25" i="38"/>
  <c r="P20" i="37"/>
  <c r="P21" i="35"/>
  <c r="T15" i="35"/>
  <c r="P13" i="35"/>
  <c r="H12" i="35"/>
  <c r="P24" i="34"/>
  <c r="P22" i="34"/>
  <c r="T20" i="34"/>
  <c r="T16" i="34"/>
  <c r="T13" i="34"/>
  <c r="P21" i="32"/>
  <c r="T15" i="32"/>
  <c r="P13" i="32"/>
  <c r="H12" i="32"/>
  <c r="P24" i="31"/>
  <c r="P22" i="31"/>
  <c r="T20" i="31"/>
  <c r="T16" i="31"/>
  <c r="T13" i="31"/>
  <c r="T33" i="40"/>
  <c r="D15" i="40"/>
  <c r="B25" i="38"/>
  <c r="H20" i="38"/>
  <c r="B13" i="38"/>
  <c r="D33" i="37"/>
  <c r="D25" i="37"/>
  <c r="D13" i="37"/>
  <c r="P20" i="35"/>
  <c r="P16" i="35"/>
  <c r="D12" i="35"/>
  <c r="P21" i="34"/>
  <c r="T15" i="34"/>
  <c r="P13" i="34"/>
  <c r="H12" i="34"/>
  <c r="P20" i="32"/>
  <c r="P16" i="32"/>
  <c r="D12" i="32"/>
  <c r="P21" i="31"/>
  <c r="T15" i="31"/>
  <c r="P13" i="31"/>
  <c r="H12" i="31"/>
  <c r="D22" i="40"/>
  <c r="B13" i="40"/>
  <c r="H12" i="38"/>
  <c r="P24" i="37"/>
  <c r="H34" i="35"/>
  <c r="H33" i="35"/>
  <c r="H29" i="35"/>
  <c r="H25" i="35"/>
  <c r="P15" i="35"/>
  <c r="D5" i="35"/>
  <c r="P20" i="34"/>
  <c r="P16" i="34"/>
  <c r="D12" i="34"/>
  <c r="H34" i="32"/>
  <c r="H33" i="32"/>
  <c r="H29" i="32"/>
  <c r="H25" i="32"/>
  <c r="P15" i="32"/>
  <c r="D5" i="32"/>
  <c r="P20" i="31"/>
  <c r="P16" i="31"/>
  <c r="D12" i="31"/>
  <c r="T24" i="41"/>
  <c r="T12" i="40"/>
  <c r="D5" i="38"/>
  <c r="D12" i="37"/>
  <c r="B39" i="35"/>
  <c r="H24" i="35"/>
  <c r="H22" i="35"/>
  <c r="H13" i="35"/>
  <c r="D4" i="35"/>
  <c r="H34" i="34"/>
  <c r="H33" i="34"/>
  <c r="H29" i="34"/>
  <c r="H25" i="34"/>
  <c r="P15" i="34"/>
  <c r="D5" i="34"/>
  <c r="B39" i="32"/>
  <c r="H24" i="32"/>
  <c r="H22" i="32"/>
  <c r="H13" i="32"/>
  <c r="D4" i="32"/>
  <c r="H34" i="31"/>
  <c r="H33" i="31"/>
  <c r="H29" i="31"/>
  <c r="H25" i="31"/>
  <c r="P15" i="31"/>
  <c r="D5" i="31"/>
  <c r="H15" i="41"/>
  <c r="D24" i="38"/>
  <c r="B38" i="37"/>
  <c r="B38" i="35"/>
  <c r="D34" i="35"/>
  <c r="D33" i="35"/>
  <c r="D29" i="35"/>
  <c r="D25" i="35"/>
  <c r="H21" i="35"/>
  <c r="D13" i="35"/>
  <c r="B39" i="34"/>
  <c r="H24" i="34"/>
  <c r="H22" i="34"/>
  <c r="H13" i="34"/>
  <c r="D4" i="34"/>
  <c r="B38" i="32"/>
  <c r="D34" i="32"/>
  <c r="D33" i="32"/>
  <c r="D29" i="32"/>
  <c r="D25" i="32"/>
  <c r="H21" i="32"/>
  <c r="D13" i="32"/>
  <c r="B39" i="31"/>
  <c r="H24" i="31"/>
  <c r="H22" i="31"/>
  <c r="H13" i="31"/>
  <c r="D4" i="31"/>
  <c r="T22" i="41"/>
  <c r="T29" i="40"/>
  <c r="P22" i="37"/>
  <c r="T16" i="37"/>
  <c r="B25" i="35"/>
  <c r="D24" i="35"/>
  <c r="D22" i="35"/>
  <c r="H20" i="35"/>
  <c r="H16" i="35"/>
  <c r="B13" i="35"/>
  <c r="B38" i="34"/>
  <c r="D34" i="34"/>
  <c r="D33" i="34"/>
  <c r="D29" i="34"/>
  <c r="D25" i="34"/>
  <c r="H21" i="34"/>
  <c r="D13" i="34"/>
  <c r="B25" i="32"/>
  <c r="D24" i="32"/>
  <c r="D22" i="32"/>
  <c r="H20" i="32"/>
  <c r="H16" i="32"/>
  <c r="B13" i="32"/>
  <c r="B38" i="31"/>
  <c r="D34" i="31"/>
  <c r="D33" i="31"/>
  <c r="D29" i="31"/>
  <c r="D25" i="31"/>
  <c r="H21" i="31"/>
  <c r="D13" i="31"/>
  <c r="B22" i="41"/>
  <c r="H20" i="40"/>
  <c r="H29" i="38"/>
  <c r="P16" i="37"/>
  <c r="P12" i="41"/>
  <c r="D22" i="38"/>
  <c r="H16" i="38"/>
  <c r="D29" i="37"/>
  <c r="B21" i="35"/>
  <c r="D20" i="35"/>
  <c r="D16" i="35"/>
  <c r="B22" i="34"/>
  <c r="D21" i="34"/>
  <c r="H15" i="34"/>
  <c r="B21" i="32"/>
  <c r="D20" i="32"/>
  <c r="D16" i="32"/>
  <c r="B22" i="31"/>
  <c r="D21" i="31"/>
  <c r="H15" i="31"/>
  <c r="H33" i="44"/>
  <c r="D21" i="41"/>
  <c r="P21" i="38"/>
  <c r="T15" i="38"/>
  <c r="T34" i="35"/>
  <c r="T33" i="35"/>
  <c r="T29" i="35"/>
  <c r="T25" i="35"/>
  <c r="B16" i="35"/>
  <c r="D15" i="35"/>
  <c r="T12" i="35"/>
  <c r="B21" i="34"/>
  <c r="D20" i="34"/>
  <c r="D16" i="34"/>
  <c r="T34" i="32"/>
  <c r="T33" i="32"/>
  <c r="T29" i="32"/>
  <c r="T25" i="32"/>
  <c r="B16" i="32"/>
  <c r="D15" i="32"/>
  <c r="T12" i="32"/>
  <c r="B21" i="31"/>
  <c r="D20" i="31"/>
  <c r="D16" i="31"/>
  <c r="B25" i="40"/>
  <c r="H16" i="40"/>
  <c r="D34" i="37"/>
  <c r="H21" i="37"/>
  <c r="P34" i="35"/>
  <c r="P33" i="35"/>
  <c r="P29" i="35"/>
  <c r="P25" i="35"/>
  <c r="T21" i="35"/>
  <c r="T24" i="34"/>
  <c r="T22" i="34"/>
  <c r="P12" i="34"/>
  <c r="P34" i="32"/>
  <c r="P33" i="32"/>
  <c r="P29" i="32"/>
  <c r="P25" i="32"/>
  <c r="T21" i="32"/>
  <c r="T24" i="31"/>
  <c r="T22" i="31"/>
  <c r="P12" i="31"/>
  <c r="T25" i="40"/>
  <c r="B22" i="35"/>
  <c r="H20" i="34"/>
  <c r="P24" i="32"/>
  <c r="P34" i="29"/>
  <c r="P33" i="29"/>
  <c r="P29" i="29"/>
  <c r="P25" i="29"/>
  <c r="T21" i="29"/>
  <c r="T24" i="28"/>
  <c r="T22" i="28"/>
  <c r="P12" i="28"/>
  <c r="P20" i="26"/>
  <c r="P12" i="35"/>
  <c r="D24" i="31"/>
  <c r="P24" i="29"/>
  <c r="P22" i="29"/>
  <c r="T20" i="29"/>
  <c r="T16" i="29"/>
  <c r="T13" i="29"/>
  <c r="P34" i="28"/>
  <c r="P33" i="28"/>
  <c r="P29" i="28"/>
  <c r="P25" i="28"/>
  <c r="T21" i="28"/>
  <c r="H34" i="38"/>
  <c r="D21" i="35"/>
  <c r="T22" i="32"/>
  <c r="T29" i="31"/>
  <c r="P21" i="29"/>
  <c r="T15" i="29"/>
  <c r="P13" i="29"/>
  <c r="H12" i="29"/>
  <c r="P24" i="28"/>
  <c r="P22" i="28"/>
  <c r="T20" i="28"/>
  <c r="T16" i="28"/>
  <c r="T13" i="28"/>
  <c r="B39" i="26"/>
  <c r="T25" i="34"/>
  <c r="P22" i="32"/>
  <c r="T16" i="32"/>
  <c r="P29" i="31"/>
  <c r="P20" i="29"/>
  <c r="P16" i="29"/>
  <c r="D12" i="29"/>
  <c r="P21" i="28"/>
  <c r="T15" i="28"/>
  <c r="P13" i="28"/>
  <c r="H12" i="28"/>
  <c r="B38" i="26"/>
  <c r="D34" i="26"/>
  <c r="D33" i="26"/>
  <c r="D29" i="26"/>
  <c r="D25" i="26"/>
  <c r="H21" i="26"/>
  <c r="D13" i="26"/>
  <c r="B39" i="25"/>
  <c r="B25" i="34"/>
  <c r="H16" i="34"/>
  <c r="B22" i="32"/>
  <c r="D22" i="31"/>
  <c r="H16" i="31"/>
  <c r="H34" i="29"/>
  <c r="H33" i="29"/>
  <c r="H29" i="29"/>
  <c r="H25" i="29"/>
  <c r="P15" i="29"/>
  <c r="D5" i="29"/>
  <c r="P20" i="28"/>
  <c r="P16" i="28"/>
  <c r="D12" i="28"/>
  <c r="P15" i="38"/>
  <c r="T34" i="34"/>
  <c r="B16" i="34"/>
  <c r="T34" i="31"/>
  <c r="B16" i="31"/>
  <c r="B39" i="29"/>
  <c r="H24" i="29"/>
  <c r="H22" i="29"/>
  <c r="H13" i="29"/>
  <c r="D4" i="29"/>
  <c r="H34" i="28"/>
  <c r="H33" i="28"/>
  <c r="H29" i="28"/>
  <c r="H25" i="28"/>
  <c r="P15" i="28"/>
  <c r="D5" i="28"/>
  <c r="B22" i="26"/>
  <c r="D21" i="26"/>
  <c r="H15" i="26"/>
  <c r="D24" i="34"/>
  <c r="P34" i="31"/>
  <c r="T21" i="31"/>
  <c r="B38" i="29"/>
  <c r="D34" i="29"/>
  <c r="D33" i="29"/>
  <c r="D29" i="29"/>
  <c r="D25" i="29"/>
  <c r="H21" i="29"/>
  <c r="D13" i="29"/>
  <c r="B39" i="28"/>
  <c r="H24" i="28"/>
  <c r="H22" i="28"/>
  <c r="H13" i="28"/>
  <c r="D4" i="28"/>
  <c r="B21" i="26"/>
  <c r="D20" i="26"/>
  <c r="D16" i="26"/>
  <c r="T33" i="34"/>
  <c r="D15" i="34"/>
  <c r="D21" i="32"/>
  <c r="H15" i="32"/>
  <c r="D22" i="34"/>
  <c r="B13" i="34"/>
  <c r="T33" i="31"/>
  <c r="T25" i="31"/>
  <c r="D15" i="31"/>
  <c r="B22" i="29"/>
  <c r="D21" i="29"/>
  <c r="H15" i="29"/>
  <c r="B25" i="28"/>
  <c r="D24" i="28"/>
  <c r="D22" i="28"/>
  <c r="H20" i="28"/>
  <c r="H16" i="28"/>
  <c r="B13" i="28"/>
  <c r="T24" i="26"/>
  <c r="T22" i="26"/>
  <c r="P12" i="26"/>
  <c r="T34" i="25"/>
  <c r="T33" i="25"/>
  <c r="T29" i="25"/>
  <c r="T25" i="25"/>
  <c r="T24" i="35"/>
  <c r="T12" i="34"/>
  <c r="T20" i="32"/>
  <c r="T13" i="32"/>
  <c r="P33" i="31"/>
  <c r="P25" i="31"/>
  <c r="B21" i="29"/>
  <c r="D20" i="29"/>
  <c r="D16" i="29"/>
  <c r="B22" i="28"/>
  <c r="D21" i="28"/>
  <c r="H15" i="28"/>
  <c r="P34" i="26"/>
  <c r="P33" i="26"/>
  <c r="P29" i="26"/>
  <c r="P25" i="26"/>
  <c r="T21" i="26"/>
  <c r="T24" i="25"/>
  <c r="T22" i="35"/>
  <c r="T29" i="34"/>
  <c r="T24" i="32"/>
  <c r="P12" i="32"/>
  <c r="T12" i="31"/>
  <c r="T24" i="29"/>
  <c r="T22" i="29"/>
  <c r="P12" i="29"/>
  <c r="T34" i="28"/>
  <c r="T33" i="28"/>
  <c r="T29" i="28"/>
  <c r="T25" i="28"/>
  <c r="B16" i="28"/>
  <c r="D15" i="28"/>
  <c r="T12" i="28"/>
  <c r="H15" i="35"/>
  <c r="B38" i="28"/>
  <c r="H34" i="26"/>
  <c r="B13" i="26"/>
  <c r="D25" i="25"/>
  <c r="B21" i="25"/>
  <c r="D20" i="25"/>
  <c r="D16" i="25"/>
  <c r="B21" i="23"/>
  <c r="D20" i="23"/>
  <c r="D16" i="23"/>
  <c r="B22" i="22"/>
  <c r="D21" i="22"/>
  <c r="H15" i="22"/>
  <c r="H34" i="20"/>
  <c r="H33" i="20"/>
  <c r="H29" i="20"/>
  <c r="H25" i="20"/>
  <c r="P15" i="20"/>
  <c r="D5" i="20"/>
  <c r="P20" i="19"/>
  <c r="P16" i="19"/>
  <c r="D12" i="19"/>
  <c r="T29" i="29"/>
  <c r="H24" i="26"/>
  <c r="T15" i="26"/>
  <c r="T12" i="26"/>
  <c r="P29" i="25"/>
  <c r="B25" i="25"/>
  <c r="B16" i="25"/>
  <c r="D15" i="25"/>
  <c r="T12" i="25"/>
  <c r="T34" i="23"/>
  <c r="T33" i="23"/>
  <c r="T29" i="23"/>
  <c r="T25" i="23"/>
  <c r="B16" i="23"/>
  <c r="D15" i="23"/>
  <c r="T12" i="23"/>
  <c r="B21" i="22"/>
  <c r="D20" i="22"/>
  <c r="D16" i="22"/>
  <c r="B39" i="20"/>
  <c r="H24" i="20"/>
  <c r="H22" i="20"/>
  <c r="H13" i="20"/>
  <c r="D4" i="20"/>
  <c r="H34" i="19"/>
  <c r="H33" i="19"/>
  <c r="H29" i="19"/>
  <c r="H25" i="19"/>
  <c r="P15" i="19"/>
  <c r="D5" i="19"/>
  <c r="H20" i="29"/>
  <c r="D25" i="28"/>
  <c r="D24" i="26"/>
  <c r="T22" i="25"/>
  <c r="P12" i="25"/>
  <c r="T24" i="23"/>
  <c r="T22" i="23"/>
  <c r="P12" i="23"/>
  <c r="T34" i="22"/>
  <c r="T33" i="22"/>
  <c r="T29" i="22"/>
  <c r="T25" i="22"/>
  <c r="B16" i="22"/>
  <c r="D15" i="22"/>
  <c r="T12" i="22"/>
  <c r="B38" i="20"/>
  <c r="D34" i="20"/>
  <c r="D33" i="20"/>
  <c r="D29" i="20"/>
  <c r="D25" i="20"/>
  <c r="H21" i="20"/>
  <c r="D13" i="20"/>
  <c r="B39" i="19"/>
  <c r="H24" i="19"/>
  <c r="H22" i="19"/>
  <c r="H13" i="19"/>
  <c r="D4" i="19"/>
  <c r="D16" i="28"/>
  <c r="T33" i="26"/>
  <c r="T29" i="26"/>
  <c r="T25" i="26"/>
  <c r="P15" i="26"/>
  <c r="H12" i="26"/>
  <c r="H33" i="25"/>
  <c r="T21" i="25"/>
  <c r="P34" i="23"/>
  <c r="P33" i="23"/>
  <c r="P29" i="23"/>
  <c r="P25" i="23"/>
  <c r="T21" i="23"/>
  <c r="T24" i="22"/>
  <c r="T22" i="22"/>
  <c r="P12" i="22"/>
  <c r="B25" i="20"/>
  <c r="D24" i="20"/>
  <c r="D22" i="20"/>
  <c r="H20" i="20"/>
  <c r="H16" i="20"/>
  <c r="B13" i="20"/>
  <c r="B38" i="19"/>
  <c r="D34" i="19"/>
  <c r="D33" i="19"/>
  <c r="D29" i="19"/>
  <c r="D25" i="19"/>
  <c r="H21" i="19"/>
  <c r="D13" i="19"/>
  <c r="D34" i="28"/>
  <c r="P22" i="26"/>
  <c r="T20" i="26"/>
  <c r="D12" i="26"/>
  <c r="P34" i="25"/>
  <c r="D33" i="25"/>
  <c r="P22" i="25"/>
  <c r="T20" i="25"/>
  <c r="T16" i="25"/>
  <c r="T13" i="25"/>
  <c r="P24" i="23"/>
  <c r="P22" i="23"/>
  <c r="T20" i="23"/>
  <c r="T16" i="23"/>
  <c r="T13" i="23"/>
  <c r="P34" i="22"/>
  <c r="P33" i="22"/>
  <c r="P29" i="22"/>
  <c r="P25" i="22"/>
  <c r="T21" i="22"/>
  <c r="B22" i="20"/>
  <c r="D21" i="20"/>
  <c r="H15" i="20"/>
  <c r="B25" i="19"/>
  <c r="D24" i="19"/>
  <c r="D22" i="19"/>
  <c r="H20" i="19"/>
  <c r="H16" i="19"/>
  <c r="B13" i="19"/>
  <c r="T25" i="29"/>
  <c r="T16" i="26"/>
  <c r="D5" i="26"/>
  <c r="H29" i="25"/>
  <c r="P24" i="25"/>
  <c r="P21" i="25"/>
  <c r="T15" i="25"/>
  <c r="P13" i="25"/>
  <c r="H12" i="25"/>
  <c r="P21" i="23"/>
  <c r="T15" i="23"/>
  <c r="P13" i="23"/>
  <c r="H12" i="23"/>
  <c r="P24" i="22"/>
  <c r="P22" i="22"/>
  <c r="T20" i="22"/>
  <c r="T16" i="22"/>
  <c r="T13" i="22"/>
  <c r="B21" i="20"/>
  <c r="D20" i="20"/>
  <c r="D16" i="20"/>
  <c r="B22" i="19"/>
  <c r="D21" i="19"/>
  <c r="H15" i="19"/>
  <c r="B25" i="29"/>
  <c r="H16" i="29"/>
  <c r="D33" i="28"/>
  <c r="D13" i="28"/>
  <c r="H33" i="26"/>
  <c r="H29" i="26"/>
  <c r="H25" i="26"/>
  <c r="D15" i="26"/>
  <c r="D4" i="26"/>
  <c r="D29" i="25"/>
  <c r="P25" i="25"/>
  <c r="P20" i="25"/>
  <c r="P16" i="25"/>
  <c r="D12" i="25"/>
  <c r="P20" i="23"/>
  <c r="P16" i="23"/>
  <c r="D12" i="23"/>
  <c r="P21" i="22"/>
  <c r="T15" i="22"/>
  <c r="P13" i="22"/>
  <c r="H12" i="22"/>
  <c r="T34" i="20"/>
  <c r="T33" i="20"/>
  <c r="T29" i="20"/>
  <c r="T25" i="20"/>
  <c r="B16" i="20"/>
  <c r="D15" i="20"/>
  <c r="T12" i="20"/>
  <c r="B21" i="19"/>
  <c r="D20" i="19"/>
  <c r="D16" i="19"/>
  <c r="T34" i="29"/>
  <c r="B16" i="29"/>
  <c r="H22" i="26"/>
  <c r="P16" i="26"/>
  <c r="T13" i="26"/>
  <c r="B38" i="25"/>
  <c r="P15" i="25"/>
  <c r="D5" i="25"/>
  <c r="H34" i="23"/>
  <c r="H33" i="23"/>
  <c r="H29" i="23"/>
  <c r="H25" i="23"/>
  <c r="P15" i="23"/>
  <c r="D5" i="23"/>
  <c r="P20" i="22"/>
  <c r="P16" i="22"/>
  <c r="D12" i="22"/>
  <c r="D24" i="29"/>
  <c r="H21" i="28"/>
  <c r="B25" i="26"/>
  <c r="D22" i="26"/>
  <c r="H20" i="26"/>
  <c r="P13" i="26"/>
  <c r="H34" i="25"/>
  <c r="H22" i="25"/>
  <c r="H13" i="25"/>
  <c r="D4" i="25"/>
  <c r="B39" i="23"/>
  <c r="H24" i="23"/>
  <c r="H22" i="23"/>
  <c r="H13" i="23"/>
  <c r="D4" i="23"/>
  <c r="H34" i="22"/>
  <c r="H33" i="22"/>
  <c r="H29" i="22"/>
  <c r="H25" i="22"/>
  <c r="P15" i="22"/>
  <c r="D5" i="22"/>
  <c r="P34" i="20"/>
  <c r="P33" i="20"/>
  <c r="P29" i="20"/>
  <c r="P25" i="20"/>
  <c r="T21" i="20"/>
  <c r="T24" i="19"/>
  <c r="T22" i="19"/>
  <c r="P12" i="19"/>
  <c r="B25" i="31"/>
  <c r="T33" i="29"/>
  <c r="D15" i="29"/>
  <c r="B21" i="28"/>
  <c r="T34" i="26"/>
  <c r="D34" i="25"/>
  <c r="H24" i="25"/>
  <c r="H21" i="25"/>
  <c r="D13" i="25"/>
  <c r="B38" i="23"/>
  <c r="D34" i="23"/>
  <c r="D33" i="23"/>
  <c r="D29" i="23"/>
  <c r="D25" i="23"/>
  <c r="H21" i="23"/>
  <c r="D13" i="23"/>
  <c r="B39" i="22"/>
  <c r="H24" i="22"/>
  <c r="H22" i="22"/>
  <c r="H13" i="22"/>
  <c r="D4" i="22"/>
  <c r="P24" i="20"/>
  <c r="P22" i="20"/>
  <c r="T20" i="20"/>
  <c r="T16" i="20"/>
  <c r="T13" i="20"/>
  <c r="P34" i="19"/>
  <c r="P33" i="19"/>
  <c r="P29" i="19"/>
  <c r="P25" i="19"/>
  <c r="T21" i="19"/>
  <c r="B13" i="31"/>
  <c r="T12" i="29"/>
  <c r="D20" i="28"/>
  <c r="P21" i="26"/>
  <c r="B16" i="26"/>
  <c r="H13" i="26"/>
  <c r="P33" i="25"/>
  <c r="D24" i="25"/>
  <c r="B22" i="25"/>
  <c r="D21" i="25"/>
  <c r="H15" i="25"/>
  <c r="B22" i="23"/>
  <c r="D21" i="23"/>
  <c r="H15" i="23"/>
  <c r="B25" i="22"/>
  <c r="D24" i="22"/>
  <c r="D22" i="22"/>
  <c r="H20" i="22"/>
  <c r="H16" i="22"/>
  <c r="B13" i="22"/>
  <c r="P20" i="20"/>
  <c r="P16" i="20"/>
  <c r="D12" i="20"/>
  <c r="P21" i="19"/>
  <c r="T15" i="19"/>
  <c r="P13" i="19"/>
  <c r="H12" i="19"/>
  <c r="B13" i="29"/>
  <c r="H20" i="23"/>
  <c r="D25" i="22"/>
  <c r="P24" i="19"/>
  <c r="T34" i="17"/>
  <c r="T33" i="17"/>
  <c r="T29" i="17"/>
  <c r="T25" i="17"/>
  <c r="B16" i="17"/>
  <c r="D15" i="17"/>
  <c r="T12" i="17"/>
  <c r="B21" i="16"/>
  <c r="D20" i="16"/>
  <c r="D16" i="16"/>
  <c r="B38" i="14"/>
  <c r="D34" i="14"/>
  <c r="D33" i="14"/>
  <c r="D29" i="14"/>
  <c r="D25" i="14"/>
  <c r="H21" i="14"/>
  <c r="D13" i="14"/>
  <c r="B39" i="13"/>
  <c r="H24" i="13"/>
  <c r="H22" i="13"/>
  <c r="H13" i="13"/>
  <c r="D4" i="13"/>
  <c r="D29" i="28"/>
  <c r="D22" i="25"/>
  <c r="T33" i="19"/>
  <c r="D15" i="19"/>
  <c r="T24" i="17"/>
  <c r="T22" i="17"/>
  <c r="P12" i="17"/>
  <c r="T34" i="16"/>
  <c r="T33" i="16"/>
  <c r="T29" i="16"/>
  <c r="T25" i="16"/>
  <c r="B16" i="16"/>
  <c r="D15" i="16"/>
  <c r="T12" i="16"/>
  <c r="B25" i="14"/>
  <c r="D24" i="14"/>
  <c r="D22" i="14"/>
  <c r="H20" i="14"/>
  <c r="H16" i="14"/>
  <c r="B13" i="14"/>
  <c r="B38" i="13"/>
  <c r="D34" i="13"/>
  <c r="D33" i="13"/>
  <c r="D29" i="13"/>
  <c r="D25" i="13"/>
  <c r="H21" i="13"/>
  <c r="D13" i="13"/>
  <c r="P24" i="26"/>
  <c r="H16" i="23"/>
  <c r="P22" i="19"/>
  <c r="T13" i="19"/>
  <c r="P34" i="17"/>
  <c r="P33" i="17"/>
  <c r="P29" i="17"/>
  <c r="P25" i="17"/>
  <c r="T21" i="17"/>
  <c r="T24" i="16"/>
  <c r="T22" i="16"/>
  <c r="P12" i="16"/>
  <c r="B22" i="14"/>
  <c r="D21" i="14"/>
  <c r="H15" i="14"/>
  <c r="B25" i="13"/>
  <c r="D24" i="13"/>
  <c r="D22" i="13"/>
  <c r="H20" i="13"/>
  <c r="H16" i="13"/>
  <c r="B13" i="13"/>
  <c r="H20" i="25"/>
  <c r="H21" i="22"/>
  <c r="T24" i="20"/>
  <c r="T12" i="19"/>
  <c r="P24" i="17"/>
  <c r="P22" i="17"/>
  <c r="T20" i="17"/>
  <c r="T16" i="17"/>
  <c r="T13" i="17"/>
  <c r="P34" i="16"/>
  <c r="P33" i="16"/>
  <c r="P29" i="16"/>
  <c r="P25" i="16"/>
  <c r="T21" i="16"/>
  <c r="B13" i="23"/>
  <c r="T15" i="20"/>
  <c r="H16" i="26"/>
  <c r="H16" i="25"/>
  <c r="B38" i="22"/>
  <c r="T22" i="20"/>
  <c r="T29" i="19"/>
  <c r="P20" i="17"/>
  <c r="P16" i="17"/>
  <c r="D12" i="17"/>
  <c r="P21" i="16"/>
  <c r="T15" i="16"/>
  <c r="P13" i="16"/>
  <c r="H12" i="16"/>
  <c r="T24" i="14"/>
  <c r="T22" i="14"/>
  <c r="P12" i="14"/>
  <c r="T34" i="13"/>
  <c r="T33" i="13"/>
  <c r="T29" i="13"/>
  <c r="T25" i="13"/>
  <c r="B16" i="13"/>
  <c r="D15" i="13"/>
  <c r="T12" i="13"/>
  <c r="H20" i="31"/>
  <c r="P13" i="20"/>
  <c r="T20" i="19"/>
  <c r="H34" i="17"/>
  <c r="H33" i="17"/>
  <c r="H29" i="17"/>
  <c r="H25" i="17"/>
  <c r="P15" i="17"/>
  <c r="D5" i="17"/>
  <c r="P20" i="16"/>
  <c r="P16" i="16"/>
  <c r="D12" i="16"/>
  <c r="P34" i="14"/>
  <c r="P33" i="14"/>
  <c r="P29" i="14"/>
  <c r="P25" i="14"/>
  <c r="T21" i="14"/>
  <c r="T24" i="13"/>
  <c r="T22" i="13"/>
  <c r="P12" i="13"/>
  <c r="B13" i="25"/>
  <c r="D34" i="22"/>
  <c r="P12" i="20"/>
  <c r="B39" i="17"/>
  <c r="H24" i="17"/>
  <c r="H22" i="17"/>
  <c r="H13" i="17"/>
  <c r="D4" i="17"/>
  <c r="H34" i="16"/>
  <c r="H33" i="16"/>
  <c r="H29" i="16"/>
  <c r="H25" i="16"/>
  <c r="P15" i="16"/>
  <c r="D5" i="16"/>
  <c r="P24" i="14"/>
  <c r="P22" i="14"/>
  <c r="T20" i="14"/>
  <c r="T16" i="14"/>
  <c r="T13" i="14"/>
  <c r="P34" i="13"/>
  <c r="P33" i="13"/>
  <c r="P29" i="13"/>
  <c r="P25" i="13"/>
  <c r="T21" i="13"/>
  <c r="B25" i="23"/>
  <c r="D33" i="22"/>
  <c r="D13" i="22"/>
  <c r="P21" i="20"/>
  <c r="H12" i="20"/>
  <c r="B38" i="17"/>
  <c r="D34" i="17"/>
  <c r="D33" i="17"/>
  <c r="D29" i="17"/>
  <c r="D25" i="17"/>
  <c r="H21" i="17"/>
  <c r="D13" i="17"/>
  <c r="B39" i="16"/>
  <c r="H24" i="16"/>
  <c r="H22" i="16"/>
  <c r="H13" i="16"/>
  <c r="D4" i="16"/>
  <c r="P21" i="14"/>
  <c r="T15" i="14"/>
  <c r="P13" i="14"/>
  <c r="H12" i="14"/>
  <c r="P24" i="13"/>
  <c r="P22" i="13"/>
  <c r="T20" i="13"/>
  <c r="T16" i="13"/>
  <c r="T13" i="13"/>
  <c r="D24" i="23"/>
  <c r="T25" i="19"/>
  <c r="B25" i="17"/>
  <c r="D24" i="17"/>
  <c r="D22" i="17"/>
  <c r="H20" i="17"/>
  <c r="H16" i="17"/>
  <c r="B13" i="17"/>
  <c r="B38" i="16"/>
  <c r="D34" i="16"/>
  <c r="D33" i="16"/>
  <c r="D29" i="16"/>
  <c r="D25" i="16"/>
  <c r="H21" i="16"/>
  <c r="D13" i="16"/>
  <c r="P20" i="14"/>
  <c r="P16" i="14"/>
  <c r="D12" i="14"/>
  <c r="P21" i="13"/>
  <c r="T15" i="13"/>
  <c r="P13" i="13"/>
  <c r="H12" i="13"/>
  <c r="D22" i="29"/>
  <c r="H25" i="25"/>
  <c r="T34" i="19"/>
  <c r="B16" i="19"/>
  <c r="B21" i="17"/>
  <c r="D20" i="17"/>
  <c r="D16" i="17"/>
  <c r="B22" i="16"/>
  <c r="D21" i="16"/>
  <c r="H15" i="16"/>
  <c r="D29" i="22"/>
  <c r="P22" i="16"/>
  <c r="T13" i="16"/>
  <c r="H24" i="14"/>
  <c r="H25" i="13"/>
  <c r="D5" i="13"/>
  <c r="P24" i="11"/>
  <c r="P22" i="11"/>
  <c r="T20" i="11"/>
  <c r="T16" i="11"/>
  <c r="T13" i="11"/>
  <c r="P34" i="10"/>
  <c r="P33" i="10"/>
  <c r="P29" i="10"/>
  <c r="P25" i="10"/>
  <c r="T21" i="10"/>
  <c r="T34" i="8"/>
  <c r="T33" i="8"/>
  <c r="T29" i="8"/>
  <c r="T25" i="8"/>
  <c r="B16" i="8"/>
  <c r="D15" i="8"/>
  <c r="T12" i="8"/>
  <c r="B21" i="7"/>
  <c r="D20" i="7"/>
  <c r="D16" i="7"/>
  <c r="P20" i="5"/>
  <c r="P16" i="5"/>
  <c r="D12" i="5"/>
  <c r="P21" i="4"/>
  <c r="T15" i="4"/>
  <c r="P13" i="4"/>
  <c r="H12" i="4"/>
  <c r="D22" i="16"/>
  <c r="B13" i="16"/>
  <c r="D20" i="14"/>
  <c r="D21" i="13"/>
  <c r="P21" i="11"/>
  <c r="T15" i="11"/>
  <c r="P13" i="11"/>
  <c r="H12" i="11"/>
  <c r="P24" i="10"/>
  <c r="P22" i="10"/>
  <c r="T20" i="10"/>
  <c r="T16" i="10"/>
  <c r="T13" i="10"/>
  <c r="T24" i="8"/>
  <c r="T22" i="8"/>
  <c r="P12" i="8"/>
  <c r="T34" i="7"/>
  <c r="T33" i="7"/>
  <c r="T29" i="7"/>
  <c r="T25" i="7"/>
  <c r="B16" i="7"/>
  <c r="D15" i="7"/>
  <c r="T12" i="7"/>
  <c r="H34" i="5"/>
  <c r="H33" i="5"/>
  <c r="H29" i="5"/>
  <c r="H25" i="5"/>
  <c r="P15" i="5"/>
  <c r="D5" i="5"/>
  <c r="P20" i="4"/>
  <c r="P16" i="4"/>
  <c r="D12" i="4"/>
  <c r="T15" i="17"/>
  <c r="T33" i="14"/>
  <c r="D15" i="14"/>
  <c r="B21" i="13"/>
  <c r="D16" i="13"/>
  <c r="P20" i="11"/>
  <c r="P16" i="11"/>
  <c r="D12" i="11"/>
  <c r="P21" i="10"/>
  <c r="T15" i="10"/>
  <c r="P13" i="10"/>
  <c r="H12" i="10"/>
  <c r="P34" i="8"/>
  <c r="P33" i="8"/>
  <c r="P29" i="8"/>
  <c r="P25" i="8"/>
  <c r="T21" i="8"/>
  <c r="T24" i="7"/>
  <c r="T22" i="7"/>
  <c r="P12" i="7"/>
  <c r="B39" i="5"/>
  <c r="H24" i="5"/>
  <c r="H22" i="5"/>
  <c r="H13" i="5"/>
  <c r="D4" i="5"/>
  <c r="H34" i="4"/>
  <c r="H33" i="4"/>
  <c r="H29" i="4"/>
  <c r="H25" i="4"/>
  <c r="P15" i="4"/>
  <c r="D5" i="4"/>
  <c r="H15" i="17"/>
  <c r="H33" i="14"/>
  <c r="P20" i="13"/>
  <c r="H34" i="11"/>
  <c r="H33" i="11"/>
  <c r="H29" i="11"/>
  <c r="H25" i="11"/>
  <c r="P15" i="11"/>
  <c r="D5" i="11"/>
  <c r="P20" i="10"/>
  <c r="P16" i="10"/>
  <c r="D12" i="10"/>
  <c r="P24" i="8"/>
  <c r="P22" i="8"/>
  <c r="T20" i="8"/>
  <c r="T16" i="8"/>
  <c r="T13" i="8"/>
  <c r="P34" i="7"/>
  <c r="P33" i="7"/>
  <c r="P29" i="7"/>
  <c r="P25" i="7"/>
  <c r="T21" i="7"/>
  <c r="B38" i="5"/>
  <c r="D34" i="5"/>
  <c r="D33" i="5"/>
  <c r="D29" i="5"/>
  <c r="D25" i="5"/>
  <c r="H21" i="5"/>
  <c r="D13" i="5"/>
  <c r="B39" i="4"/>
  <c r="H24" i="4"/>
  <c r="H22" i="4"/>
  <c r="H13" i="4"/>
  <c r="D4" i="4"/>
  <c r="P13" i="17"/>
  <c r="T20" i="16"/>
  <c r="B39" i="14"/>
  <c r="H22" i="14"/>
  <c r="H13" i="14"/>
  <c r="H34" i="13"/>
  <c r="H29" i="13"/>
  <c r="P15" i="13"/>
  <c r="B39" i="11"/>
  <c r="H24" i="11"/>
  <c r="H22" i="11"/>
  <c r="H13" i="11"/>
  <c r="D4" i="11"/>
  <c r="H34" i="10"/>
  <c r="H33" i="10"/>
  <c r="H29" i="10"/>
  <c r="H25" i="10"/>
  <c r="P15" i="10"/>
  <c r="D5" i="10"/>
  <c r="P21" i="8"/>
  <c r="T15" i="8"/>
  <c r="P13" i="8"/>
  <c r="H12" i="8"/>
  <c r="P24" i="7"/>
  <c r="P22" i="7"/>
  <c r="T20" i="7"/>
  <c r="T16" i="7"/>
  <c r="T13" i="7"/>
  <c r="B25" i="5"/>
  <c r="D24" i="5"/>
  <c r="D22" i="5"/>
  <c r="H20" i="5"/>
  <c r="H16" i="5"/>
  <c r="B13" i="5"/>
  <c r="B38" i="4"/>
  <c r="D34" i="4"/>
  <c r="D33" i="4"/>
  <c r="D29" i="4"/>
  <c r="D25" i="4"/>
  <c r="H21" i="4"/>
  <c r="D13" i="4"/>
  <c r="B22" i="17"/>
  <c r="H20" i="16"/>
  <c r="H15" i="13"/>
  <c r="B38" i="11"/>
  <c r="D34" i="11"/>
  <c r="D33" i="11"/>
  <c r="D29" i="11"/>
  <c r="D25" i="11"/>
  <c r="H21" i="11"/>
  <c r="D13" i="11"/>
  <c r="B39" i="10"/>
  <c r="H24" i="10"/>
  <c r="H22" i="10"/>
  <c r="H13" i="10"/>
  <c r="D4" i="10"/>
  <c r="P20" i="8"/>
  <c r="P16" i="8"/>
  <c r="D12" i="8"/>
  <c r="P21" i="7"/>
  <c r="T15" i="7"/>
  <c r="P13" i="7"/>
  <c r="H12" i="7"/>
  <c r="B22" i="5"/>
  <c r="D21" i="5"/>
  <c r="H15" i="5"/>
  <c r="B25" i="4"/>
  <c r="D24" i="4"/>
  <c r="D22" i="4"/>
  <c r="H20" i="4"/>
  <c r="H16" i="4"/>
  <c r="B13" i="4"/>
  <c r="P21" i="17"/>
  <c r="H12" i="17"/>
  <c r="T25" i="14"/>
  <c r="T12" i="14"/>
  <c r="D20" i="13"/>
  <c r="B25" i="11"/>
  <c r="D24" i="11"/>
  <c r="D22" i="11"/>
  <c r="H20" i="11"/>
  <c r="H16" i="11"/>
  <c r="B13" i="11"/>
  <c r="B38" i="10"/>
  <c r="D34" i="10"/>
  <c r="D33" i="10"/>
  <c r="D29" i="10"/>
  <c r="D25" i="10"/>
  <c r="H21" i="10"/>
  <c r="D13" i="10"/>
  <c r="H34" i="8"/>
  <c r="H33" i="8"/>
  <c r="H29" i="8"/>
  <c r="H25" i="8"/>
  <c r="P15" i="8"/>
  <c r="D5" i="8"/>
  <c r="P20" i="7"/>
  <c r="P16" i="7"/>
  <c r="D12" i="7"/>
  <c r="B21" i="5"/>
  <c r="D20" i="5"/>
  <c r="D16" i="5"/>
  <c r="B22" i="4"/>
  <c r="D21" i="4"/>
  <c r="H15" i="4"/>
  <c r="D21" i="17"/>
  <c r="H25" i="14"/>
  <c r="D5" i="14"/>
  <c r="B22" i="11"/>
  <c r="D21" i="11"/>
  <c r="H15" i="11"/>
  <c r="B25" i="10"/>
  <c r="D24" i="10"/>
  <c r="D22" i="10"/>
  <c r="H20" i="10"/>
  <c r="H16" i="10"/>
  <c r="B13" i="10"/>
  <c r="T16" i="16"/>
  <c r="D4" i="14"/>
  <c r="H33" i="13"/>
  <c r="B21" i="11"/>
  <c r="D20" i="11"/>
  <c r="D16" i="11"/>
  <c r="B22" i="10"/>
  <c r="D21" i="10"/>
  <c r="H15" i="10"/>
  <c r="B38" i="8"/>
  <c r="D34" i="8"/>
  <c r="D33" i="8"/>
  <c r="D29" i="8"/>
  <c r="D25" i="8"/>
  <c r="H21" i="8"/>
  <c r="D13" i="8"/>
  <c r="B39" i="7"/>
  <c r="H24" i="7"/>
  <c r="H22" i="7"/>
  <c r="H13" i="7"/>
  <c r="D4" i="7"/>
  <c r="T24" i="5"/>
  <c r="T22" i="5"/>
  <c r="P12" i="5"/>
  <c r="T34" i="4"/>
  <c r="T33" i="4"/>
  <c r="T29" i="4"/>
  <c r="T25" i="4"/>
  <c r="B16" i="4"/>
  <c r="D15" i="4"/>
  <c r="T12" i="4"/>
  <c r="T16" i="19"/>
  <c r="B25" i="16"/>
  <c r="H16" i="16"/>
  <c r="B21" i="14"/>
  <c r="D16" i="14"/>
  <c r="B22" i="13"/>
  <c r="T34" i="11"/>
  <c r="T33" i="11"/>
  <c r="T29" i="11"/>
  <c r="T25" i="11"/>
  <c r="B16" i="11"/>
  <c r="D15" i="11"/>
  <c r="T12" i="11"/>
  <c r="B21" i="10"/>
  <c r="D20" i="10"/>
  <c r="D16" i="10"/>
  <c r="B25" i="8"/>
  <c r="D24" i="8"/>
  <c r="D22" i="8"/>
  <c r="H20" i="8"/>
  <c r="H16" i="8"/>
  <c r="B13" i="8"/>
  <c r="B38" i="7"/>
  <c r="D34" i="7"/>
  <c r="D33" i="7"/>
  <c r="D29" i="7"/>
  <c r="D25" i="7"/>
  <c r="H21" i="7"/>
  <c r="D13" i="7"/>
  <c r="P34" i="5"/>
  <c r="P33" i="5"/>
  <c r="P29" i="5"/>
  <c r="P25" i="5"/>
  <c r="T21" i="5"/>
  <c r="T24" i="4"/>
  <c r="T22" i="4"/>
  <c r="P12" i="4"/>
  <c r="D22" i="23"/>
  <c r="D24" i="16"/>
  <c r="H34" i="14"/>
  <c r="H29" i="14"/>
  <c r="P15" i="14"/>
  <c r="P16" i="13"/>
  <c r="D12" i="13"/>
  <c r="P34" i="11"/>
  <c r="P33" i="11"/>
  <c r="P29" i="11"/>
  <c r="P25" i="11"/>
  <c r="T21" i="11"/>
  <c r="T24" i="10"/>
  <c r="T22" i="10"/>
  <c r="P12" i="10"/>
  <c r="B21" i="8"/>
  <c r="D20" i="8"/>
  <c r="D16" i="8"/>
  <c r="B22" i="7"/>
  <c r="D21" i="7"/>
  <c r="H15" i="7"/>
  <c r="P21" i="5"/>
  <c r="T15" i="5"/>
  <c r="P13" i="5"/>
  <c r="H12" i="5"/>
  <c r="P24" i="4"/>
  <c r="P22" i="4"/>
  <c r="T20" i="4"/>
  <c r="T16" i="4"/>
  <c r="T13" i="4"/>
  <c r="P12" i="11"/>
  <c r="H15" i="8"/>
  <c r="H22" i="8"/>
  <c r="H13" i="8"/>
  <c r="H29" i="7"/>
  <c r="T29" i="5"/>
  <c r="T34" i="10"/>
  <c r="B16" i="10"/>
  <c r="B22" i="8"/>
  <c r="H20" i="7"/>
  <c r="T20" i="5"/>
  <c r="P25" i="4"/>
  <c r="T33" i="10"/>
  <c r="D15" i="10"/>
  <c r="D4" i="8"/>
  <c r="D16" i="4"/>
  <c r="T34" i="14"/>
  <c r="T24" i="11"/>
  <c r="T12" i="10"/>
  <c r="D21" i="8"/>
  <c r="P34" i="4"/>
  <c r="B13" i="7"/>
  <c r="T29" i="14"/>
  <c r="T22" i="11"/>
  <c r="T29" i="10"/>
  <c r="H25" i="7"/>
  <c r="T25" i="5"/>
  <c r="D22" i="7"/>
  <c r="P22" i="5"/>
  <c r="B25" i="7"/>
  <c r="H16" i="7"/>
  <c r="T16" i="5"/>
  <c r="P33" i="4"/>
  <c r="T25" i="10"/>
  <c r="B39" i="8"/>
  <c r="H34" i="7"/>
  <c r="P15" i="7"/>
  <c r="T34" i="5"/>
  <c r="B16" i="5"/>
  <c r="P24" i="16"/>
  <c r="B16" i="14"/>
  <c r="D24" i="7"/>
  <c r="P24" i="5"/>
  <c r="T21" i="4"/>
  <c r="T13" i="5"/>
  <c r="H33" i="7"/>
  <c r="T33" i="5"/>
  <c r="D15" i="5"/>
  <c r="B21" i="4"/>
  <c r="P29" i="4"/>
  <c r="H24" i="8"/>
  <c r="D5" i="7"/>
  <c r="T12" i="5"/>
  <c r="D20" i="4"/>
  <c r="L20" i="4" l="1"/>
  <c r="Z12" i="5"/>
  <c r="V36" i="5"/>
  <c r="V34" i="5"/>
  <c r="V33" i="5"/>
  <c r="V31" i="5"/>
  <c r="V29" i="5"/>
  <c r="V27" i="5"/>
  <c r="V25" i="5"/>
  <c r="V21" i="5"/>
  <c r="V20" i="5"/>
  <c r="V18" i="5"/>
  <c r="V16" i="5"/>
  <c r="T18" i="5"/>
  <c r="V24" i="5"/>
  <c r="V15" i="5"/>
  <c r="V22" i="5"/>
  <c r="N24" i="8"/>
  <c r="X29" i="4"/>
  <c r="L15" i="5"/>
  <c r="Z33" i="5"/>
  <c r="N33" i="7"/>
  <c r="Z13" i="5"/>
  <c r="Z21" i="4"/>
  <c r="X24" i="5"/>
  <c r="L24" i="7"/>
  <c r="X24" i="16"/>
  <c r="Z34" i="5"/>
  <c r="X15" i="7"/>
  <c r="N34" i="7"/>
  <c r="Z25" i="10"/>
  <c r="X33" i="4"/>
  <c r="Z16" i="5"/>
  <c r="N16" i="7"/>
  <c r="X22" i="5"/>
  <c r="L22" i="7"/>
  <c r="Z25" i="5"/>
  <c r="N25" i="7"/>
  <c r="Z29" i="10"/>
  <c r="Z22" i="11"/>
  <c r="Z29" i="14"/>
  <c r="X34" i="4"/>
  <c r="L21" i="8"/>
  <c r="V20" i="10"/>
  <c r="V18" i="10"/>
  <c r="V16" i="10"/>
  <c r="T18" i="10"/>
  <c r="V15" i="10"/>
  <c r="Z12" i="10"/>
  <c r="V36" i="10"/>
  <c r="V34" i="10"/>
  <c r="V33" i="10"/>
  <c r="V31" i="10"/>
  <c r="V29" i="10"/>
  <c r="V27" i="10"/>
  <c r="V25" i="10"/>
  <c r="V21" i="10"/>
  <c r="V24" i="10"/>
  <c r="V22" i="10"/>
  <c r="Z24" i="11"/>
  <c r="Z34" i="14"/>
  <c r="L16" i="4"/>
  <c r="L15" i="10"/>
  <c r="Z33" i="10"/>
  <c r="X25" i="4"/>
  <c r="Z20" i="5"/>
  <c r="N20" i="7"/>
  <c r="Z34" i="10"/>
  <c r="Z29" i="5"/>
  <c r="N29" i="7"/>
  <c r="N13" i="8"/>
  <c r="N22" i="8"/>
  <c r="N15" i="8"/>
  <c r="R21" i="11"/>
  <c r="R20" i="11"/>
  <c r="R18" i="11"/>
  <c r="R16" i="11"/>
  <c r="P18" i="11"/>
  <c r="R15" i="11"/>
  <c r="X12" i="11"/>
  <c r="R24" i="11"/>
  <c r="R22" i="11"/>
  <c r="R31" i="11"/>
  <c r="R29" i="11"/>
  <c r="R27" i="11"/>
  <c r="R25" i="11"/>
  <c r="R34" i="11"/>
  <c r="R36" i="11"/>
  <c r="R33" i="11"/>
  <c r="Z13" i="4"/>
  <c r="Z16" i="4"/>
  <c r="Z20" i="4"/>
  <c r="X22" i="4"/>
  <c r="X24" i="4"/>
  <c r="J36" i="5"/>
  <c r="J34" i="5"/>
  <c r="J33" i="5"/>
  <c r="J31" i="5"/>
  <c r="J29" i="5"/>
  <c r="J27" i="5"/>
  <c r="J25" i="5"/>
  <c r="J24" i="5"/>
  <c r="J22" i="5"/>
  <c r="J21" i="5"/>
  <c r="J20" i="5"/>
  <c r="J18" i="5"/>
  <c r="J16" i="5"/>
  <c r="H18" i="5"/>
  <c r="J15" i="5"/>
  <c r="N12" i="5"/>
  <c r="X13" i="5"/>
  <c r="Z15" i="5"/>
  <c r="X21" i="5"/>
  <c r="N15" i="7"/>
  <c r="L21" i="7"/>
  <c r="L16" i="8"/>
  <c r="L20" i="8"/>
  <c r="R24" i="10"/>
  <c r="R22" i="10"/>
  <c r="R21" i="10"/>
  <c r="R20" i="10"/>
  <c r="R18" i="10"/>
  <c r="R16" i="10"/>
  <c r="P18" i="10"/>
  <c r="R15" i="10"/>
  <c r="X12" i="10"/>
  <c r="R36" i="10"/>
  <c r="R34" i="10"/>
  <c r="R33" i="10"/>
  <c r="R31" i="10"/>
  <c r="R29" i="10"/>
  <c r="R27" i="10"/>
  <c r="R25" i="10"/>
  <c r="Z22" i="10"/>
  <c r="Z24" i="10"/>
  <c r="Z21" i="11"/>
  <c r="X25" i="11"/>
  <c r="X29" i="11"/>
  <c r="X33" i="11"/>
  <c r="X34" i="11"/>
  <c r="F36" i="13"/>
  <c r="F34" i="13"/>
  <c r="F33" i="13"/>
  <c r="F31" i="13"/>
  <c r="F29" i="13"/>
  <c r="F27" i="13"/>
  <c r="F25" i="13"/>
  <c r="F24" i="13"/>
  <c r="F22" i="13"/>
  <c r="F21" i="13"/>
  <c r="L12" i="13"/>
  <c r="F16" i="13"/>
  <c r="F20" i="13"/>
  <c r="F15" i="13"/>
  <c r="F18" i="13"/>
  <c r="D18" i="13"/>
  <c r="X16" i="13"/>
  <c r="X15" i="14"/>
  <c r="N29" i="14"/>
  <c r="N34" i="14"/>
  <c r="L24" i="16"/>
  <c r="L22" i="23"/>
  <c r="R20" i="4"/>
  <c r="R18" i="4"/>
  <c r="R16" i="4"/>
  <c r="P18" i="4"/>
  <c r="R15" i="4"/>
  <c r="R36" i="4"/>
  <c r="R34" i="4"/>
  <c r="R33" i="4"/>
  <c r="R31" i="4"/>
  <c r="R29" i="4"/>
  <c r="R27" i="4"/>
  <c r="R25" i="4"/>
  <c r="R21" i="4"/>
  <c r="R24" i="4"/>
  <c r="R22" i="4"/>
  <c r="X12" i="4"/>
  <c r="Z22" i="4"/>
  <c r="Z24" i="4"/>
  <c r="Z21" i="5"/>
  <c r="X25" i="5"/>
  <c r="X29" i="5"/>
  <c r="X33" i="5"/>
  <c r="X34" i="5"/>
  <c r="L13" i="7"/>
  <c r="N21" i="7"/>
  <c r="L25" i="7"/>
  <c r="L29" i="7"/>
  <c r="L33" i="7"/>
  <c r="L34" i="7"/>
  <c r="N16" i="8"/>
  <c r="N20" i="8"/>
  <c r="L22" i="8"/>
  <c r="L24" i="8"/>
  <c r="L16" i="10"/>
  <c r="L20" i="10"/>
  <c r="T18" i="11"/>
  <c r="V15" i="11"/>
  <c r="Z12" i="11"/>
  <c r="V36" i="11"/>
  <c r="V34" i="11"/>
  <c r="V33" i="11"/>
  <c r="V31" i="11"/>
  <c r="V29" i="11"/>
  <c r="V27" i="11"/>
  <c r="V25" i="11"/>
  <c r="V24" i="11"/>
  <c r="V22" i="11"/>
  <c r="V20" i="11"/>
  <c r="V18" i="11"/>
  <c r="V16" i="11"/>
  <c r="V21" i="11"/>
  <c r="L15" i="11"/>
  <c r="Z25" i="11"/>
  <c r="Z29" i="11"/>
  <c r="Z33" i="11"/>
  <c r="Z34" i="11"/>
  <c r="L16" i="14"/>
  <c r="N16" i="16"/>
  <c r="Z16" i="19"/>
  <c r="Z12" i="4"/>
  <c r="V24" i="4"/>
  <c r="V22" i="4"/>
  <c r="V21" i="4"/>
  <c r="T18" i="4"/>
  <c r="V15" i="4"/>
  <c r="V18" i="4"/>
  <c r="V36" i="4"/>
  <c r="V25" i="4"/>
  <c r="V16" i="4"/>
  <c r="V34" i="4"/>
  <c r="V33" i="4"/>
  <c r="V20" i="4"/>
  <c r="V31" i="4"/>
  <c r="V29" i="4"/>
  <c r="V27" i="4"/>
  <c r="L15" i="4"/>
  <c r="Z25" i="4"/>
  <c r="Z29" i="4"/>
  <c r="Z33" i="4"/>
  <c r="Z34" i="4"/>
  <c r="P18" i="5"/>
  <c r="R15" i="5"/>
  <c r="X12" i="5"/>
  <c r="R36" i="5"/>
  <c r="R34" i="5"/>
  <c r="R33" i="5"/>
  <c r="R31" i="5"/>
  <c r="R29" i="5"/>
  <c r="R27" i="5"/>
  <c r="R25" i="5"/>
  <c r="R24" i="5"/>
  <c r="R22" i="5"/>
  <c r="R20" i="5"/>
  <c r="R18" i="5"/>
  <c r="R16" i="5"/>
  <c r="R21" i="5"/>
  <c r="Z22" i="5"/>
  <c r="Z24" i="5"/>
  <c r="N13" i="7"/>
  <c r="N22" i="7"/>
  <c r="N24" i="7"/>
  <c r="L13" i="8"/>
  <c r="N21" i="8"/>
  <c r="L25" i="8"/>
  <c r="L29" i="8"/>
  <c r="L33" i="8"/>
  <c r="L34" i="8"/>
  <c r="N15" i="10"/>
  <c r="L21" i="10"/>
  <c r="L16" i="11"/>
  <c r="L20" i="11"/>
  <c r="N33" i="13"/>
  <c r="Z16" i="16"/>
  <c r="N16" i="10"/>
  <c r="N20" i="10"/>
  <c r="L22" i="10"/>
  <c r="L24" i="10"/>
  <c r="N15" i="11"/>
  <c r="L21" i="11"/>
  <c r="N25" i="14"/>
  <c r="L21" i="17"/>
  <c r="N15" i="4"/>
  <c r="L21" i="4"/>
  <c r="L16" i="5"/>
  <c r="L20" i="5"/>
  <c r="D18" i="7"/>
  <c r="F15" i="7"/>
  <c r="L12" i="7"/>
  <c r="F36" i="7"/>
  <c r="F34" i="7"/>
  <c r="F33" i="7"/>
  <c r="F31" i="7"/>
  <c r="F29" i="7"/>
  <c r="F27" i="7"/>
  <c r="F25" i="7"/>
  <c r="F24" i="7"/>
  <c r="F22" i="7"/>
  <c r="F20" i="7"/>
  <c r="F18" i="7"/>
  <c r="F16" i="7"/>
  <c r="F21" i="7"/>
  <c r="X16" i="7"/>
  <c r="X20" i="7"/>
  <c r="X15" i="8"/>
  <c r="N25" i="8"/>
  <c r="N29" i="8"/>
  <c r="N33" i="8"/>
  <c r="N34" i="8"/>
  <c r="L13" i="10"/>
  <c r="N21" i="10"/>
  <c r="L25" i="10"/>
  <c r="L29" i="10"/>
  <c r="L33" i="10"/>
  <c r="L34" i="10"/>
  <c r="N16" i="11"/>
  <c r="N20" i="11"/>
  <c r="L22" i="11"/>
  <c r="L24" i="11"/>
  <c r="L20" i="13"/>
  <c r="Z12" i="14"/>
  <c r="V21" i="14"/>
  <c r="V20" i="14"/>
  <c r="V18" i="14"/>
  <c r="V16" i="14"/>
  <c r="T18" i="14"/>
  <c r="V15" i="14"/>
  <c r="V33" i="14"/>
  <c r="V27" i="14"/>
  <c r="V22" i="14"/>
  <c r="V36" i="14"/>
  <c r="V31" i="14"/>
  <c r="V25" i="14"/>
  <c r="V34" i="14"/>
  <c r="V29" i="14"/>
  <c r="V24" i="14"/>
  <c r="Z25" i="14"/>
  <c r="N12" i="17"/>
  <c r="J36" i="17"/>
  <c r="J34" i="17"/>
  <c r="J33" i="17"/>
  <c r="J31" i="17"/>
  <c r="J29" i="17"/>
  <c r="J27" i="17"/>
  <c r="J25" i="17"/>
  <c r="J24" i="17"/>
  <c r="J22" i="17"/>
  <c r="J21" i="17"/>
  <c r="J20" i="17"/>
  <c r="J18" i="17"/>
  <c r="J16" i="17"/>
  <c r="H18" i="17"/>
  <c r="J15" i="17"/>
  <c r="X21" i="17"/>
  <c r="N16" i="4"/>
  <c r="N20" i="4"/>
  <c r="L22" i="4"/>
  <c r="L24" i="4"/>
  <c r="N15" i="5"/>
  <c r="L21" i="5"/>
  <c r="N12" i="7"/>
  <c r="J36" i="7"/>
  <c r="J34" i="7"/>
  <c r="J33" i="7"/>
  <c r="J31" i="7"/>
  <c r="J29" i="7"/>
  <c r="J27" i="7"/>
  <c r="J25" i="7"/>
  <c r="J21" i="7"/>
  <c r="J20" i="7"/>
  <c r="J18" i="7"/>
  <c r="J16" i="7"/>
  <c r="H18" i="7"/>
  <c r="J24" i="7"/>
  <c r="J15" i="7"/>
  <c r="J22" i="7"/>
  <c r="X13" i="7"/>
  <c r="Z15" i="7"/>
  <c r="X21" i="7"/>
  <c r="L12" i="8"/>
  <c r="F24" i="8"/>
  <c r="F22" i="8"/>
  <c r="F21" i="8"/>
  <c r="D18" i="8"/>
  <c r="F15" i="8"/>
  <c r="F33" i="8"/>
  <c r="F31" i="8"/>
  <c r="F29" i="8"/>
  <c r="F20" i="8"/>
  <c r="F16" i="8"/>
  <c r="F27" i="8"/>
  <c r="F18" i="8"/>
  <c r="F36" i="8"/>
  <c r="F25" i="8"/>
  <c r="F34" i="8"/>
  <c r="X16" i="8"/>
  <c r="X20" i="8"/>
  <c r="N13" i="10"/>
  <c r="N22" i="10"/>
  <c r="N24" i="10"/>
  <c r="L13" i="11"/>
  <c r="N21" i="11"/>
  <c r="L25" i="11"/>
  <c r="L29" i="11"/>
  <c r="L33" i="11"/>
  <c r="L34" i="11"/>
  <c r="N15" i="13"/>
  <c r="N20" i="16"/>
  <c r="L13" i="4"/>
  <c r="N21" i="4"/>
  <c r="L25" i="4"/>
  <c r="L29" i="4"/>
  <c r="L33" i="4"/>
  <c r="L34" i="4"/>
  <c r="N16" i="5"/>
  <c r="N20" i="5"/>
  <c r="L22" i="5"/>
  <c r="L24" i="5"/>
  <c r="Z13" i="7"/>
  <c r="Z16" i="7"/>
  <c r="Z20" i="7"/>
  <c r="X22" i="7"/>
  <c r="X24" i="7"/>
  <c r="N12" i="8"/>
  <c r="J36" i="8"/>
  <c r="J34" i="8"/>
  <c r="J33" i="8"/>
  <c r="J31" i="8"/>
  <c r="J29" i="8"/>
  <c r="J27" i="8"/>
  <c r="J25" i="8"/>
  <c r="J24" i="8"/>
  <c r="J22" i="8"/>
  <c r="J20" i="8"/>
  <c r="J18" i="8"/>
  <c r="J16" i="8"/>
  <c r="H18" i="8"/>
  <c r="J15" i="8"/>
  <c r="J21" i="8"/>
  <c r="X13" i="8"/>
  <c r="Z15" i="8"/>
  <c r="X21" i="8"/>
  <c r="X15" i="10"/>
  <c r="N25" i="10"/>
  <c r="N29" i="10"/>
  <c r="N33" i="10"/>
  <c r="N34" i="10"/>
  <c r="N13" i="11"/>
  <c r="N22" i="11"/>
  <c r="N24" i="11"/>
  <c r="X15" i="13"/>
  <c r="N29" i="13"/>
  <c r="N34" i="13"/>
  <c r="N13" i="14"/>
  <c r="N22" i="14"/>
  <c r="Z20" i="16"/>
  <c r="X13" i="17"/>
  <c r="N13" i="4"/>
  <c r="N22" i="4"/>
  <c r="N24" i="4"/>
  <c r="L13" i="5"/>
  <c r="N21" i="5"/>
  <c r="L25" i="5"/>
  <c r="L29" i="5"/>
  <c r="L33" i="5"/>
  <c r="L34" i="5"/>
  <c r="Z21" i="7"/>
  <c r="X25" i="7"/>
  <c r="X29" i="7"/>
  <c r="X33" i="7"/>
  <c r="X34" i="7"/>
  <c r="Z13" i="8"/>
  <c r="Z16" i="8"/>
  <c r="Z20" i="8"/>
  <c r="X22" i="8"/>
  <c r="X24" i="8"/>
  <c r="L12" i="10"/>
  <c r="F36" i="10"/>
  <c r="F34" i="10"/>
  <c r="F33" i="10"/>
  <c r="F31" i="10"/>
  <c r="F29" i="10"/>
  <c r="F27" i="10"/>
  <c r="F25" i="10"/>
  <c r="F24" i="10"/>
  <c r="F22" i="10"/>
  <c r="F21" i="10"/>
  <c r="F20" i="10"/>
  <c r="F18" i="10"/>
  <c r="F16" i="10"/>
  <c r="D18" i="10"/>
  <c r="F15" i="10"/>
  <c r="X16" i="10"/>
  <c r="X20" i="10"/>
  <c r="X15" i="11"/>
  <c r="N25" i="11"/>
  <c r="N29" i="11"/>
  <c r="N33" i="11"/>
  <c r="N34" i="11"/>
  <c r="X20" i="13"/>
  <c r="N33" i="14"/>
  <c r="N15" i="17"/>
  <c r="X15" i="4"/>
  <c r="N25" i="4"/>
  <c r="N29" i="4"/>
  <c r="N33" i="4"/>
  <c r="N34" i="4"/>
  <c r="N13" i="5"/>
  <c r="N22" i="5"/>
  <c r="N24" i="5"/>
  <c r="X12" i="7"/>
  <c r="R36" i="7"/>
  <c r="R34" i="7"/>
  <c r="R33" i="7"/>
  <c r="R31" i="7"/>
  <c r="R29" i="7"/>
  <c r="R27" i="7"/>
  <c r="R25" i="7"/>
  <c r="R24" i="7"/>
  <c r="R22" i="7"/>
  <c r="R21" i="7"/>
  <c r="R20" i="7"/>
  <c r="R18" i="7"/>
  <c r="R16" i="7"/>
  <c r="P18" i="7"/>
  <c r="R15" i="7"/>
  <c r="Z22" i="7"/>
  <c r="Z24" i="7"/>
  <c r="Z21" i="8"/>
  <c r="X25" i="8"/>
  <c r="X29" i="8"/>
  <c r="X33" i="8"/>
  <c r="X34" i="8"/>
  <c r="N12" i="10"/>
  <c r="J36" i="10"/>
  <c r="J34" i="10"/>
  <c r="J33" i="10"/>
  <c r="J31" i="10"/>
  <c r="J29" i="10"/>
  <c r="J27" i="10"/>
  <c r="J25" i="10"/>
  <c r="J24" i="10"/>
  <c r="J22" i="10"/>
  <c r="J21" i="10"/>
  <c r="J20" i="10"/>
  <c r="J18" i="10"/>
  <c r="J16" i="10"/>
  <c r="H18" i="10"/>
  <c r="J15" i="10"/>
  <c r="X13" i="10"/>
  <c r="Z15" i="10"/>
  <c r="X21" i="10"/>
  <c r="L12" i="11"/>
  <c r="F36" i="11"/>
  <c r="F34" i="11"/>
  <c r="F33" i="11"/>
  <c r="F31" i="11"/>
  <c r="F29" i="11"/>
  <c r="F27" i="11"/>
  <c r="F25" i="11"/>
  <c r="F24" i="11"/>
  <c r="F22" i="11"/>
  <c r="F21" i="11"/>
  <c r="F20" i="11"/>
  <c r="F18" i="11"/>
  <c r="F16" i="11"/>
  <c r="D18" i="11"/>
  <c r="F15" i="11"/>
  <c r="X16" i="11"/>
  <c r="X20" i="11"/>
  <c r="L16" i="13"/>
  <c r="L15" i="14"/>
  <c r="Z33" i="14"/>
  <c r="Z15" i="17"/>
  <c r="F36" i="4"/>
  <c r="F34" i="4"/>
  <c r="F33" i="4"/>
  <c r="F31" i="4"/>
  <c r="F29" i="4"/>
  <c r="F27" i="4"/>
  <c r="F25" i="4"/>
  <c r="F24" i="4"/>
  <c r="F22" i="4"/>
  <c r="F21" i="4"/>
  <c r="F20" i="4"/>
  <c r="F18" i="4"/>
  <c r="F16" i="4"/>
  <c r="L12" i="4"/>
  <c r="D18" i="4"/>
  <c r="F15" i="4"/>
  <c r="X16" i="4"/>
  <c r="X20" i="4"/>
  <c r="X15" i="5"/>
  <c r="N25" i="5"/>
  <c r="N29" i="5"/>
  <c r="N33" i="5"/>
  <c r="N34" i="5"/>
  <c r="V36" i="7"/>
  <c r="V34" i="7"/>
  <c r="V33" i="7"/>
  <c r="V31" i="7"/>
  <c r="V29" i="7"/>
  <c r="V27" i="7"/>
  <c r="V25" i="7"/>
  <c r="V24" i="7"/>
  <c r="V22" i="7"/>
  <c r="V21" i="7"/>
  <c r="V20" i="7"/>
  <c r="V18" i="7"/>
  <c r="V16" i="7"/>
  <c r="T18" i="7"/>
  <c r="V15" i="7"/>
  <c r="Z12" i="7"/>
  <c r="L15" i="7"/>
  <c r="Z25" i="7"/>
  <c r="Z29" i="7"/>
  <c r="Z33" i="7"/>
  <c r="Z34" i="7"/>
  <c r="R36" i="8"/>
  <c r="R34" i="8"/>
  <c r="R33" i="8"/>
  <c r="R31" i="8"/>
  <c r="R29" i="8"/>
  <c r="R27" i="8"/>
  <c r="R25" i="8"/>
  <c r="R24" i="8"/>
  <c r="R22" i="8"/>
  <c r="R21" i="8"/>
  <c r="R20" i="8"/>
  <c r="R18" i="8"/>
  <c r="R16" i="8"/>
  <c r="P18" i="8"/>
  <c r="R15" i="8"/>
  <c r="X12" i="8"/>
  <c r="Z22" i="8"/>
  <c r="Z24" i="8"/>
  <c r="Z13" i="10"/>
  <c r="Z16" i="10"/>
  <c r="Z20" i="10"/>
  <c r="X22" i="10"/>
  <c r="X24" i="10"/>
  <c r="J36" i="11"/>
  <c r="J34" i="11"/>
  <c r="J33" i="11"/>
  <c r="J31" i="11"/>
  <c r="J29" i="11"/>
  <c r="J27" i="11"/>
  <c r="J25" i="11"/>
  <c r="J24" i="11"/>
  <c r="J22" i="11"/>
  <c r="J21" i="11"/>
  <c r="J20" i="11"/>
  <c r="J18" i="11"/>
  <c r="J16" i="11"/>
  <c r="H18" i="11"/>
  <c r="J15" i="11"/>
  <c r="N12" i="11"/>
  <c r="X13" i="11"/>
  <c r="Z15" i="11"/>
  <c r="X21" i="11"/>
  <c r="L21" i="13"/>
  <c r="L20" i="14"/>
  <c r="L22" i="16"/>
  <c r="J36" i="4"/>
  <c r="J34" i="4"/>
  <c r="J33" i="4"/>
  <c r="J31" i="4"/>
  <c r="J29" i="4"/>
  <c r="J27" i="4"/>
  <c r="J25" i="4"/>
  <c r="J24" i="4"/>
  <c r="J22" i="4"/>
  <c r="J21" i="4"/>
  <c r="J20" i="4"/>
  <c r="J18" i="4"/>
  <c r="J16" i="4"/>
  <c r="H18" i="4"/>
  <c r="J15" i="4"/>
  <c r="N12" i="4"/>
  <c r="X13" i="4"/>
  <c r="Z15" i="4"/>
  <c r="X21" i="4"/>
  <c r="F36" i="5"/>
  <c r="F34" i="5"/>
  <c r="F33" i="5"/>
  <c r="F31" i="5"/>
  <c r="F29" i="5"/>
  <c r="F27" i="5"/>
  <c r="F25" i="5"/>
  <c r="F24" i="5"/>
  <c r="F22" i="5"/>
  <c r="F21" i="5"/>
  <c r="F20" i="5"/>
  <c r="F18" i="5"/>
  <c r="F16" i="5"/>
  <c r="D18" i="5"/>
  <c r="F15" i="5"/>
  <c r="L12" i="5"/>
  <c r="X16" i="5"/>
  <c r="X20" i="5"/>
  <c r="L16" i="7"/>
  <c r="L20" i="7"/>
  <c r="V24" i="8"/>
  <c r="V22" i="8"/>
  <c r="V21" i="8"/>
  <c r="V20" i="8"/>
  <c r="V18" i="8"/>
  <c r="V16" i="8"/>
  <c r="T18" i="8"/>
  <c r="V15" i="8"/>
  <c r="V36" i="8"/>
  <c r="V34" i="8"/>
  <c r="V33" i="8"/>
  <c r="V31" i="8"/>
  <c r="V29" i="8"/>
  <c r="V27" i="8"/>
  <c r="V25" i="8"/>
  <c r="Z12" i="8"/>
  <c r="L15" i="8"/>
  <c r="Z25" i="8"/>
  <c r="Z29" i="8"/>
  <c r="Z33" i="8"/>
  <c r="Z34" i="8"/>
  <c r="Z21" i="10"/>
  <c r="X25" i="10"/>
  <c r="X29" i="10"/>
  <c r="X33" i="10"/>
  <c r="X34" i="10"/>
  <c r="Z13" i="11"/>
  <c r="Z16" i="11"/>
  <c r="Z20" i="11"/>
  <c r="X22" i="11"/>
  <c r="X24" i="11"/>
  <c r="N25" i="13"/>
  <c r="N24" i="14"/>
  <c r="Z13" i="16"/>
  <c r="X22" i="16"/>
  <c r="L29" i="22"/>
  <c r="N15" i="16"/>
  <c r="L21" i="16"/>
  <c r="L16" i="17"/>
  <c r="L20" i="17"/>
  <c r="Z34" i="19"/>
  <c r="N25" i="25"/>
  <c r="L22" i="29"/>
  <c r="J21" i="13"/>
  <c r="J20" i="13"/>
  <c r="J18" i="13"/>
  <c r="J16" i="13"/>
  <c r="H18" i="13"/>
  <c r="J15" i="13"/>
  <c r="N12" i="13"/>
  <c r="J34" i="13"/>
  <c r="J29" i="13"/>
  <c r="J24" i="13"/>
  <c r="J33" i="13"/>
  <c r="J27" i="13"/>
  <c r="J22" i="13"/>
  <c r="J36" i="13"/>
  <c r="J31" i="13"/>
  <c r="J25" i="13"/>
  <c r="X13" i="13"/>
  <c r="Z15" i="13"/>
  <c r="X21" i="13"/>
  <c r="F24" i="14"/>
  <c r="F22" i="14"/>
  <c r="F21" i="14"/>
  <c r="F20" i="14"/>
  <c r="F18" i="14"/>
  <c r="F16" i="14"/>
  <c r="L12" i="14"/>
  <c r="F34" i="14"/>
  <c r="F29" i="14"/>
  <c r="F15" i="14"/>
  <c r="F33" i="14"/>
  <c r="F27" i="14"/>
  <c r="D18" i="14"/>
  <c r="F36" i="14"/>
  <c r="F31" i="14"/>
  <c r="F25" i="14"/>
  <c r="X16" i="14"/>
  <c r="X20" i="14"/>
  <c r="L13" i="16"/>
  <c r="N21" i="16"/>
  <c r="L25" i="16"/>
  <c r="L29" i="16"/>
  <c r="L33" i="16"/>
  <c r="L34" i="16"/>
  <c r="N16" i="17"/>
  <c r="N20" i="17"/>
  <c r="L22" i="17"/>
  <c r="L24" i="17"/>
  <c r="Z25" i="19"/>
  <c r="L24" i="23"/>
  <c r="Z13" i="13"/>
  <c r="Z16" i="13"/>
  <c r="Z20" i="13"/>
  <c r="X22" i="13"/>
  <c r="X24" i="13"/>
  <c r="J20" i="14"/>
  <c r="J18" i="14"/>
  <c r="J16" i="14"/>
  <c r="H18" i="14"/>
  <c r="J15" i="14"/>
  <c r="N12" i="14"/>
  <c r="J36" i="14"/>
  <c r="J34" i="14"/>
  <c r="J33" i="14"/>
  <c r="J31" i="14"/>
  <c r="J29" i="14"/>
  <c r="J27" i="14"/>
  <c r="J25" i="14"/>
  <c r="J22" i="14"/>
  <c r="J21" i="14"/>
  <c r="J24" i="14"/>
  <c r="X13" i="14"/>
  <c r="Z15" i="14"/>
  <c r="X21" i="14"/>
  <c r="N13" i="16"/>
  <c r="N22" i="16"/>
  <c r="N24" i="16"/>
  <c r="L13" i="17"/>
  <c r="N21" i="17"/>
  <c r="L25" i="17"/>
  <c r="L29" i="17"/>
  <c r="L33" i="17"/>
  <c r="L34" i="17"/>
  <c r="J24" i="20"/>
  <c r="J22" i="20"/>
  <c r="J21" i="20"/>
  <c r="J20" i="20"/>
  <c r="J18" i="20"/>
  <c r="J16" i="20"/>
  <c r="H18" i="20"/>
  <c r="J15" i="20"/>
  <c r="N12" i="20"/>
  <c r="J36" i="20"/>
  <c r="J34" i="20"/>
  <c r="J33" i="20"/>
  <c r="J31" i="20"/>
  <c r="J29" i="20"/>
  <c r="J27" i="20"/>
  <c r="J25" i="20"/>
  <c r="X21" i="20"/>
  <c r="L13" i="22"/>
  <c r="L33" i="22"/>
  <c r="Z21" i="13"/>
  <c r="X25" i="13"/>
  <c r="X29" i="13"/>
  <c r="X33" i="13"/>
  <c r="X34" i="13"/>
  <c r="Z13" i="14"/>
  <c r="Z16" i="14"/>
  <c r="Z20" i="14"/>
  <c r="X22" i="14"/>
  <c r="X24" i="14"/>
  <c r="X15" i="16"/>
  <c r="N25" i="16"/>
  <c r="N29" i="16"/>
  <c r="N33" i="16"/>
  <c r="N34" i="16"/>
  <c r="N13" i="17"/>
  <c r="N22" i="17"/>
  <c r="N24" i="17"/>
  <c r="X12" i="20"/>
  <c r="R24" i="20"/>
  <c r="R22" i="20"/>
  <c r="R21" i="20"/>
  <c r="P18" i="20"/>
  <c r="R15" i="20"/>
  <c r="R18" i="20"/>
  <c r="R36" i="20"/>
  <c r="R25" i="20"/>
  <c r="R16" i="20"/>
  <c r="R34" i="20"/>
  <c r="R33" i="20"/>
  <c r="R31" i="20"/>
  <c r="R29" i="20"/>
  <c r="R27" i="20"/>
  <c r="R20" i="20"/>
  <c r="L34" i="22"/>
  <c r="R36" i="13"/>
  <c r="R34" i="13"/>
  <c r="R33" i="13"/>
  <c r="R31" i="13"/>
  <c r="R29" i="13"/>
  <c r="R27" i="13"/>
  <c r="R25" i="13"/>
  <c r="R24" i="13"/>
  <c r="R22" i="13"/>
  <c r="R21" i="13"/>
  <c r="R20" i="13"/>
  <c r="R18" i="13"/>
  <c r="R16" i="13"/>
  <c r="R15" i="13"/>
  <c r="P18" i="13"/>
  <c r="X12" i="13"/>
  <c r="Z22" i="13"/>
  <c r="Z24" i="13"/>
  <c r="Z21" i="14"/>
  <c r="X25" i="14"/>
  <c r="X29" i="14"/>
  <c r="X33" i="14"/>
  <c r="X34" i="14"/>
  <c r="D18" i="16"/>
  <c r="F15" i="16"/>
  <c r="F36" i="16"/>
  <c r="F34" i="16"/>
  <c r="F33" i="16"/>
  <c r="F31" i="16"/>
  <c r="F29" i="16"/>
  <c r="F27" i="16"/>
  <c r="F25" i="16"/>
  <c r="F24" i="16"/>
  <c r="F22" i="16"/>
  <c r="F20" i="16"/>
  <c r="F18" i="16"/>
  <c r="F16" i="16"/>
  <c r="L12" i="16"/>
  <c r="F21" i="16"/>
  <c r="X16" i="16"/>
  <c r="X20" i="16"/>
  <c r="X15" i="17"/>
  <c r="N25" i="17"/>
  <c r="N29" i="17"/>
  <c r="N33" i="17"/>
  <c r="N34" i="17"/>
  <c r="Z20" i="19"/>
  <c r="X13" i="20"/>
  <c r="N20" i="31"/>
  <c r="V24" i="13"/>
  <c r="V22" i="13"/>
  <c r="V21" i="13"/>
  <c r="V20" i="13"/>
  <c r="V18" i="13"/>
  <c r="V16" i="13"/>
  <c r="T18" i="13"/>
  <c r="V15" i="13"/>
  <c r="V34" i="13"/>
  <c r="V29" i="13"/>
  <c r="V33" i="13"/>
  <c r="V27" i="13"/>
  <c r="Z12" i="13"/>
  <c r="V31" i="13"/>
  <c r="V36" i="13"/>
  <c r="V25" i="13"/>
  <c r="L15" i="13"/>
  <c r="Z25" i="13"/>
  <c r="Z29" i="13"/>
  <c r="Z33" i="13"/>
  <c r="Z34" i="13"/>
  <c r="R36" i="14"/>
  <c r="R34" i="14"/>
  <c r="R33" i="14"/>
  <c r="R31" i="14"/>
  <c r="R29" i="14"/>
  <c r="R27" i="14"/>
  <c r="R25" i="14"/>
  <c r="R24" i="14"/>
  <c r="R22" i="14"/>
  <c r="R21" i="14"/>
  <c r="R20" i="14"/>
  <c r="R18" i="14"/>
  <c r="R16" i="14"/>
  <c r="P18" i="14"/>
  <c r="R15" i="14"/>
  <c r="X12" i="14"/>
  <c r="Z22" i="14"/>
  <c r="Z24" i="14"/>
  <c r="N12" i="16"/>
  <c r="J36" i="16"/>
  <c r="J34" i="16"/>
  <c r="J33" i="16"/>
  <c r="J31" i="16"/>
  <c r="J29" i="16"/>
  <c r="J27" i="16"/>
  <c r="J25" i="16"/>
  <c r="J24" i="16"/>
  <c r="J22" i="16"/>
  <c r="J21" i="16"/>
  <c r="J20" i="16"/>
  <c r="J18" i="16"/>
  <c r="J16" i="16"/>
  <c r="H18" i="16"/>
  <c r="J15" i="16"/>
  <c r="X13" i="16"/>
  <c r="Z15" i="16"/>
  <c r="X21" i="16"/>
  <c r="L12" i="17"/>
  <c r="F36" i="17"/>
  <c r="F34" i="17"/>
  <c r="F33" i="17"/>
  <c r="F31" i="17"/>
  <c r="F29" i="17"/>
  <c r="F27" i="17"/>
  <c r="F25" i="17"/>
  <c r="F24" i="17"/>
  <c r="F22" i="17"/>
  <c r="F21" i="17"/>
  <c r="D18" i="17"/>
  <c r="F15" i="17"/>
  <c r="F16" i="17"/>
  <c r="F20" i="17"/>
  <c r="F18" i="17"/>
  <c r="X16" i="17"/>
  <c r="X20" i="17"/>
  <c r="Z29" i="19"/>
  <c r="Z22" i="20"/>
  <c r="N16" i="25"/>
  <c r="N16" i="26"/>
  <c r="Z15" i="20"/>
  <c r="Z21" i="16"/>
  <c r="X25" i="16"/>
  <c r="X29" i="16"/>
  <c r="X33" i="16"/>
  <c r="X34" i="16"/>
  <c r="Z13" i="17"/>
  <c r="Z16" i="17"/>
  <c r="Z20" i="17"/>
  <c r="X22" i="17"/>
  <c r="X24" i="17"/>
  <c r="Z12" i="19"/>
  <c r="V36" i="19"/>
  <c r="V34" i="19"/>
  <c r="V33" i="19"/>
  <c r="V31" i="19"/>
  <c r="V29" i="19"/>
  <c r="V27" i="19"/>
  <c r="V25" i="19"/>
  <c r="V21" i="19"/>
  <c r="V20" i="19"/>
  <c r="V18" i="19"/>
  <c r="V16" i="19"/>
  <c r="V15" i="19"/>
  <c r="V22" i="19"/>
  <c r="T18" i="19"/>
  <c r="V24" i="19"/>
  <c r="Z24" i="20"/>
  <c r="N21" i="22"/>
  <c r="N20" i="25"/>
  <c r="N16" i="13"/>
  <c r="N20" i="13"/>
  <c r="L22" i="13"/>
  <c r="L24" i="13"/>
  <c r="N15" i="14"/>
  <c r="L21" i="14"/>
  <c r="X12" i="16"/>
  <c r="R36" i="16"/>
  <c r="R34" i="16"/>
  <c r="R33" i="16"/>
  <c r="R31" i="16"/>
  <c r="R29" i="16"/>
  <c r="R27" i="16"/>
  <c r="R25" i="16"/>
  <c r="R24" i="16"/>
  <c r="R22" i="16"/>
  <c r="R20" i="16"/>
  <c r="R18" i="16"/>
  <c r="R16" i="16"/>
  <c r="P18" i="16"/>
  <c r="R15" i="16"/>
  <c r="R21" i="16"/>
  <c r="Z22" i="16"/>
  <c r="Z24" i="16"/>
  <c r="Z21" i="17"/>
  <c r="X25" i="17"/>
  <c r="X29" i="17"/>
  <c r="X33" i="17"/>
  <c r="X34" i="17"/>
  <c r="Z13" i="19"/>
  <c r="X22" i="19"/>
  <c r="N16" i="23"/>
  <c r="X24" i="26"/>
  <c r="L13" i="13"/>
  <c r="N21" i="13"/>
  <c r="L25" i="13"/>
  <c r="L29" i="13"/>
  <c r="L33" i="13"/>
  <c r="L34" i="13"/>
  <c r="N16" i="14"/>
  <c r="N20" i="14"/>
  <c r="L22" i="14"/>
  <c r="L24" i="14"/>
  <c r="V36" i="16"/>
  <c r="V34" i="16"/>
  <c r="V33" i="16"/>
  <c r="V31" i="16"/>
  <c r="V29" i="16"/>
  <c r="V27" i="16"/>
  <c r="V25" i="16"/>
  <c r="V24" i="16"/>
  <c r="V22" i="16"/>
  <c r="V21" i="16"/>
  <c r="V20" i="16"/>
  <c r="V18" i="16"/>
  <c r="V16" i="16"/>
  <c r="Z12" i="16"/>
  <c r="T18" i="16"/>
  <c r="V15" i="16"/>
  <c r="L15" i="16"/>
  <c r="Z25" i="16"/>
  <c r="Z29" i="16"/>
  <c r="Z33" i="16"/>
  <c r="Z34" i="16"/>
  <c r="R36" i="17"/>
  <c r="R34" i="17"/>
  <c r="R33" i="17"/>
  <c r="R31" i="17"/>
  <c r="R29" i="17"/>
  <c r="R27" i="17"/>
  <c r="R25" i="17"/>
  <c r="R24" i="17"/>
  <c r="R22" i="17"/>
  <c r="R21" i="17"/>
  <c r="P18" i="17"/>
  <c r="R15" i="17"/>
  <c r="X12" i="17"/>
  <c r="R16" i="17"/>
  <c r="R20" i="17"/>
  <c r="R18" i="17"/>
  <c r="Z22" i="17"/>
  <c r="Z24" i="17"/>
  <c r="L15" i="19"/>
  <c r="Z33" i="19"/>
  <c r="L22" i="25"/>
  <c r="L29" i="28"/>
  <c r="N13" i="13"/>
  <c r="N22" i="13"/>
  <c r="N24" i="13"/>
  <c r="L13" i="14"/>
  <c r="N21" i="14"/>
  <c r="L25" i="14"/>
  <c r="L29" i="14"/>
  <c r="L33" i="14"/>
  <c r="L34" i="14"/>
  <c r="L16" i="16"/>
  <c r="L20" i="16"/>
  <c r="V24" i="17"/>
  <c r="V22" i="17"/>
  <c r="V21" i="17"/>
  <c r="V20" i="17"/>
  <c r="V18" i="17"/>
  <c r="V16" i="17"/>
  <c r="T18" i="17"/>
  <c r="V15" i="17"/>
  <c r="V36" i="17"/>
  <c r="V34" i="17"/>
  <c r="V33" i="17"/>
  <c r="V31" i="17"/>
  <c r="V29" i="17"/>
  <c r="V27" i="17"/>
  <c r="V25" i="17"/>
  <c r="Z12" i="17"/>
  <c r="L15" i="17"/>
  <c r="Z25" i="17"/>
  <c r="Z29" i="17"/>
  <c r="Z33" i="17"/>
  <c r="Z34" i="17"/>
  <c r="X24" i="19"/>
  <c r="L25" i="22"/>
  <c r="N20" i="23"/>
  <c r="J36" i="19"/>
  <c r="J34" i="19"/>
  <c r="J33" i="19"/>
  <c r="J31" i="19"/>
  <c r="J29" i="19"/>
  <c r="J27" i="19"/>
  <c r="J25" i="19"/>
  <c r="J24" i="19"/>
  <c r="J22" i="19"/>
  <c r="J21" i="19"/>
  <c r="J20" i="19"/>
  <c r="J18" i="19"/>
  <c r="J16" i="19"/>
  <c r="H18" i="19"/>
  <c r="J15" i="19"/>
  <c r="N12" i="19"/>
  <c r="X13" i="19"/>
  <c r="Z15" i="19"/>
  <c r="X21" i="19"/>
  <c r="F36" i="20"/>
  <c r="F34" i="20"/>
  <c r="F33" i="20"/>
  <c r="F31" i="20"/>
  <c r="F29" i="20"/>
  <c r="F27" i="20"/>
  <c r="F25" i="20"/>
  <c r="F24" i="20"/>
  <c r="F22" i="20"/>
  <c r="F21" i="20"/>
  <c r="F20" i="20"/>
  <c r="F18" i="20"/>
  <c r="F16" i="20"/>
  <c r="D18" i="20"/>
  <c r="F15" i="20"/>
  <c r="L12" i="20"/>
  <c r="X16" i="20"/>
  <c r="X20" i="20"/>
  <c r="N16" i="22"/>
  <c r="N20" i="22"/>
  <c r="L22" i="22"/>
  <c r="L24" i="22"/>
  <c r="N15" i="23"/>
  <c r="L21" i="23"/>
  <c r="N15" i="25"/>
  <c r="L21" i="25"/>
  <c r="L24" i="25"/>
  <c r="X33" i="25"/>
  <c r="N13" i="26"/>
  <c r="X21" i="26"/>
  <c r="L20" i="28"/>
  <c r="V20" i="29"/>
  <c r="V18" i="29"/>
  <c r="V16" i="29"/>
  <c r="T18" i="29"/>
  <c r="V15" i="29"/>
  <c r="Z12" i="29"/>
  <c r="V36" i="29"/>
  <c r="V34" i="29"/>
  <c r="V33" i="29"/>
  <c r="V31" i="29"/>
  <c r="V29" i="29"/>
  <c r="V27" i="29"/>
  <c r="V25" i="29"/>
  <c r="V21" i="29"/>
  <c r="V24" i="29"/>
  <c r="V22" i="29"/>
  <c r="Z21" i="19"/>
  <c r="X25" i="19"/>
  <c r="X29" i="19"/>
  <c r="X33" i="19"/>
  <c r="X34" i="19"/>
  <c r="Z13" i="20"/>
  <c r="Z16" i="20"/>
  <c r="Z20" i="20"/>
  <c r="X22" i="20"/>
  <c r="X24" i="20"/>
  <c r="N13" i="22"/>
  <c r="N22" i="22"/>
  <c r="N24" i="22"/>
  <c r="L13" i="23"/>
  <c r="N21" i="23"/>
  <c r="L25" i="23"/>
  <c r="L29" i="23"/>
  <c r="L33" i="23"/>
  <c r="L34" i="23"/>
  <c r="L13" i="25"/>
  <c r="N21" i="25"/>
  <c r="N24" i="25"/>
  <c r="L34" i="25"/>
  <c r="Z34" i="26"/>
  <c r="L15" i="29"/>
  <c r="Z33" i="29"/>
  <c r="P18" i="19"/>
  <c r="R15" i="19"/>
  <c r="X12" i="19"/>
  <c r="R36" i="19"/>
  <c r="R34" i="19"/>
  <c r="R33" i="19"/>
  <c r="R31" i="19"/>
  <c r="R29" i="19"/>
  <c r="R27" i="19"/>
  <c r="R25" i="19"/>
  <c r="R24" i="19"/>
  <c r="R22" i="19"/>
  <c r="R20" i="19"/>
  <c r="R18" i="19"/>
  <c r="R16" i="19"/>
  <c r="R21" i="19"/>
  <c r="Z22" i="19"/>
  <c r="Z24" i="19"/>
  <c r="Z21" i="20"/>
  <c r="X25" i="20"/>
  <c r="X29" i="20"/>
  <c r="X33" i="20"/>
  <c r="X34" i="20"/>
  <c r="X15" i="22"/>
  <c r="N25" i="22"/>
  <c r="N29" i="22"/>
  <c r="N33" i="22"/>
  <c r="N34" i="22"/>
  <c r="N13" i="23"/>
  <c r="N22" i="23"/>
  <c r="N24" i="23"/>
  <c r="N13" i="25"/>
  <c r="N22" i="25"/>
  <c r="N34" i="25"/>
  <c r="X13" i="26"/>
  <c r="N20" i="26"/>
  <c r="L22" i="26"/>
  <c r="N21" i="28"/>
  <c r="L24" i="29"/>
  <c r="F20" i="22"/>
  <c r="F18" i="22"/>
  <c r="F16" i="22"/>
  <c r="D18" i="22"/>
  <c r="F15" i="22"/>
  <c r="L12" i="22"/>
  <c r="F36" i="22"/>
  <c r="F34" i="22"/>
  <c r="F33" i="22"/>
  <c r="F31" i="22"/>
  <c r="F29" i="22"/>
  <c r="F27" i="22"/>
  <c r="F25" i="22"/>
  <c r="F21" i="22"/>
  <c r="F24" i="22"/>
  <c r="F22" i="22"/>
  <c r="X16" i="22"/>
  <c r="X20" i="22"/>
  <c r="X15" i="23"/>
  <c r="N25" i="23"/>
  <c r="N29" i="23"/>
  <c r="N33" i="23"/>
  <c r="N34" i="23"/>
  <c r="X15" i="25"/>
  <c r="Z13" i="26"/>
  <c r="X16" i="26"/>
  <c r="N22" i="26"/>
  <c r="Z34" i="29"/>
  <c r="L16" i="19"/>
  <c r="L20" i="19"/>
  <c r="Z12" i="20"/>
  <c r="V36" i="20"/>
  <c r="V34" i="20"/>
  <c r="V33" i="20"/>
  <c r="V31" i="20"/>
  <c r="V29" i="20"/>
  <c r="V27" i="20"/>
  <c r="V25" i="20"/>
  <c r="V24" i="20"/>
  <c r="V22" i="20"/>
  <c r="V20" i="20"/>
  <c r="V18" i="20"/>
  <c r="V16" i="20"/>
  <c r="T18" i="20"/>
  <c r="V15" i="20"/>
  <c r="V21" i="20"/>
  <c r="L15" i="20"/>
  <c r="Z25" i="20"/>
  <c r="Z29" i="20"/>
  <c r="Z33" i="20"/>
  <c r="Z34" i="20"/>
  <c r="N12" i="22"/>
  <c r="J36" i="22"/>
  <c r="J34" i="22"/>
  <c r="J33" i="22"/>
  <c r="J31" i="22"/>
  <c r="J29" i="22"/>
  <c r="J27" i="22"/>
  <c r="J25" i="22"/>
  <c r="J24" i="22"/>
  <c r="J22" i="22"/>
  <c r="J21" i="22"/>
  <c r="H18" i="22"/>
  <c r="J15" i="22"/>
  <c r="J20" i="22"/>
  <c r="J18" i="22"/>
  <c r="J16" i="22"/>
  <c r="X13" i="22"/>
  <c r="Z15" i="22"/>
  <c r="X21" i="22"/>
  <c r="D18" i="23"/>
  <c r="F15" i="23"/>
  <c r="L12" i="23"/>
  <c r="F36" i="23"/>
  <c r="F34" i="23"/>
  <c r="F33" i="23"/>
  <c r="F31" i="23"/>
  <c r="F29" i="23"/>
  <c r="F27" i="23"/>
  <c r="F25" i="23"/>
  <c r="F24" i="23"/>
  <c r="F22" i="23"/>
  <c r="F20" i="23"/>
  <c r="F18" i="23"/>
  <c r="F16" i="23"/>
  <c r="F21" i="23"/>
  <c r="X16" i="23"/>
  <c r="X20" i="23"/>
  <c r="F36" i="25"/>
  <c r="F34" i="25"/>
  <c r="F33" i="25"/>
  <c r="F31" i="25"/>
  <c r="F29" i="25"/>
  <c r="D18" i="25"/>
  <c r="F15" i="25"/>
  <c r="F27" i="25"/>
  <c r="L12" i="25"/>
  <c r="F22" i="25"/>
  <c r="F25" i="25"/>
  <c r="F20" i="25"/>
  <c r="F18" i="25"/>
  <c r="F16" i="25"/>
  <c r="F24" i="25"/>
  <c r="F21" i="25"/>
  <c r="X16" i="25"/>
  <c r="X20" i="25"/>
  <c r="X25" i="25"/>
  <c r="L29" i="25"/>
  <c r="L15" i="26"/>
  <c r="N25" i="26"/>
  <c r="N29" i="26"/>
  <c r="N33" i="26"/>
  <c r="L13" i="28"/>
  <c r="L33" i="28"/>
  <c r="N16" i="29"/>
  <c r="N15" i="19"/>
  <c r="L21" i="19"/>
  <c r="L16" i="20"/>
  <c r="L20" i="20"/>
  <c r="Z13" i="22"/>
  <c r="Z16" i="22"/>
  <c r="Z20" i="22"/>
  <c r="X22" i="22"/>
  <c r="X24" i="22"/>
  <c r="N12" i="23"/>
  <c r="J36" i="23"/>
  <c r="J34" i="23"/>
  <c r="J33" i="23"/>
  <c r="J31" i="23"/>
  <c r="J29" i="23"/>
  <c r="J27" i="23"/>
  <c r="J25" i="23"/>
  <c r="J24" i="23"/>
  <c r="J22" i="23"/>
  <c r="J21" i="23"/>
  <c r="J20" i="23"/>
  <c r="J18" i="23"/>
  <c r="J16" i="23"/>
  <c r="H18" i="23"/>
  <c r="J15" i="23"/>
  <c r="X13" i="23"/>
  <c r="Z15" i="23"/>
  <c r="X21" i="23"/>
  <c r="J36" i="25"/>
  <c r="J27" i="25"/>
  <c r="J33" i="25"/>
  <c r="N12" i="25"/>
  <c r="J29" i="25"/>
  <c r="J34" i="25"/>
  <c r="J22" i="25"/>
  <c r="J24" i="25"/>
  <c r="J21" i="25"/>
  <c r="J31" i="25"/>
  <c r="J25" i="25"/>
  <c r="J20" i="25"/>
  <c r="J18" i="25"/>
  <c r="J16" i="25"/>
  <c r="H18" i="25"/>
  <c r="J15" i="25"/>
  <c r="X13" i="25"/>
  <c r="Z15" i="25"/>
  <c r="X21" i="25"/>
  <c r="X24" i="25"/>
  <c r="N29" i="25"/>
  <c r="Z16" i="26"/>
  <c r="Z25" i="29"/>
  <c r="N16" i="19"/>
  <c r="N20" i="19"/>
  <c r="L22" i="19"/>
  <c r="L24" i="19"/>
  <c r="N15" i="20"/>
  <c r="L21" i="20"/>
  <c r="Z21" i="22"/>
  <c r="X25" i="22"/>
  <c r="X29" i="22"/>
  <c r="X33" i="22"/>
  <c r="X34" i="22"/>
  <c r="Z13" i="23"/>
  <c r="Z16" i="23"/>
  <c r="Z20" i="23"/>
  <c r="X22" i="23"/>
  <c r="X24" i="23"/>
  <c r="Z13" i="25"/>
  <c r="Z16" i="25"/>
  <c r="Z20" i="25"/>
  <c r="X22" i="25"/>
  <c r="L33" i="25"/>
  <c r="X34" i="25"/>
  <c r="F24" i="26"/>
  <c r="F22" i="26"/>
  <c r="F20" i="26"/>
  <c r="F18" i="26"/>
  <c r="F16" i="26"/>
  <c r="D18" i="26"/>
  <c r="F15" i="26"/>
  <c r="F34" i="26"/>
  <c r="F31" i="26"/>
  <c r="F27" i="26"/>
  <c r="F21" i="26"/>
  <c r="L12" i="26"/>
  <c r="F36" i="26"/>
  <c r="F33" i="26"/>
  <c r="F29" i="26"/>
  <c r="F25" i="26"/>
  <c r="Z20" i="26"/>
  <c r="X22" i="26"/>
  <c r="L34" i="28"/>
  <c r="L13" i="19"/>
  <c r="N21" i="19"/>
  <c r="L25" i="19"/>
  <c r="L29" i="19"/>
  <c r="L33" i="19"/>
  <c r="L34" i="19"/>
  <c r="N16" i="20"/>
  <c r="N20" i="20"/>
  <c r="L22" i="20"/>
  <c r="L24" i="20"/>
  <c r="X12" i="22"/>
  <c r="R36" i="22"/>
  <c r="R34" i="22"/>
  <c r="R33" i="22"/>
  <c r="R31" i="22"/>
  <c r="R29" i="22"/>
  <c r="R27" i="22"/>
  <c r="R25" i="22"/>
  <c r="R24" i="22"/>
  <c r="R22" i="22"/>
  <c r="R21" i="22"/>
  <c r="R20" i="22"/>
  <c r="R18" i="22"/>
  <c r="R16" i="22"/>
  <c r="P18" i="22"/>
  <c r="R15" i="22"/>
  <c r="Z22" i="22"/>
  <c r="Z24" i="22"/>
  <c r="Z21" i="23"/>
  <c r="X25" i="23"/>
  <c r="X29" i="23"/>
  <c r="X33" i="23"/>
  <c r="X34" i="23"/>
  <c r="Z21" i="25"/>
  <c r="N33" i="25"/>
  <c r="J36" i="26"/>
  <c r="J34" i="26"/>
  <c r="J33" i="26"/>
  <c r="J31" i="26"/>
  <c r="J29" i="26"/>
  <c r="J27" i="26"/>
  <c r="J25" i="26"/>
  <c r="J20" i="26"/>
  <c r="J18" i="26"/>
  <c r="J16" i="26"/>
  <c r="N12" i="26"/>
  <c r="J24" i="26"/>
  <c r="J21" i="26"/>
  <c r="H18" i="26"/>
  <c r="J15" i="26"/>
  <c r="J22" i="26"/>
  <c r="X15" i="26"/>
  <c r="Z25" i="26"/>
  <c r="Z29" i="26"/>
  <c r="Z33" i="26"/>
  <c r="L16" i="28"/>
  <c r="N13" i="19"/>
  <c r="N22" i="19"/>
  <c r="N24" i="19"/>
  <c r="L13" i="20"/>
  <c r="N21" i="20"/>
  <c r="L25" i="20"/>
  <c r="L29" i="20"/>
  <c r="L33" i="20"/>
  <c r="L34" i="20"/>
  <c r="Z12" i="22"/>
  <c r="V36" i="22"/>
  <c r="V34" i="22"/>
  <c r="V33" i="22"/>
  <c r="V31" i="22"/>
  <c r="V29" i="22"/>
  <c r="V27" i="22"/>
  <c r="V25" i="22"/>
  <c r="V24" i="22"/>
  <c r="V22" i="22"/>
  <c r="V21" i="22"/>
  <c r="V20" i="22"/>
  <c r="V18" i="22"/>
  <c r="V16" i="22"/>
  <c r="T18" i="22"/>
  <c r="V15" i="22"/>
  <c r="L15" i="22"/>
  <c r="Z25" i="22"/>
  <c r="Z29" i="22"/>
  <c r="Z33" i="22"/>
  <c r="Z34" i="22"/>
  <c r="X12" i="23"/>
  <c r="R36" i="23"/>
  <c r="R34" i="23"/>
  <c r="R33" i="23"/>
  <c r="R31" i="23"/>
  <c r="R29" i="23"/>
  <c r="R27" i="23"/>
  <c r="R25" i="23"/>
  <c r="R24" i="23"/>
  <c r="R22" i="23"/>
  <c r="R21" i="23"/>
  <c r="R20" i="23"/>
  <c r="R18" i="23"/>
  <c r="R16" i="23"/>
  <c r="P18" i="23"/>
  <c r="R15" i="23"/>
  <c r="Z22" i="23"/>
  <c r="Z24" i="23"/>
  <c r="R36" i="25"/>
  <c r="R34" i="25"/>
  <c r="R33" i="25"/>
  <c r="R31" i="25"/>
  <c r="R29" i="25"/>
  <c r="R27" i="25"/>
  <c r="R25" i="25"/>
  <c r="X12" i="25"/>
  <c r="R22" i="25"/>
  <c r="R24" i="25"/>
  <c r="R21" i="25"/>
  <c r="R20" i="25"/>
  <c r="R18" i="25"/>
  <c r="R16" i="25"/>
  <c r="P18" i="25"/>
  <c r="R15" i="25"/>
  <c r="Z22" i="25"/>
  <c r="L24" i="26"/>
  <c r="L25" i="28"/>
  <c r="N20" i="29"/>
  <c r="X15" i="19"/>
  <c r="N25" i="19"/>
  <c r="N29" i="19"/>
  <c r="N33" i="19"/>
  <c r="N34" i="19"/>
  <c r="N13" i="20"/>
  <c r="N22" i="20"/>
  <c r="N24" i="20"/>
  <c r="L16" i="22"/>
  <c r="L20" i="22"/>
  <c r="V36" i="23"/>
  <c r="V34" i="23"/>
  <c r="V33" i="23"/>
  <c r="V31" i="23"/>
  <c r="V29" i="23"/>
  <c r="V27" i="23"/>
  <c r="V25" i="23"/>
  <c r="V24" i="23"/>
  <c r="V22" i="23"/>
  <c r="V21" i="23"/>
  <c r="V20" i="23"/>
  <c r="V18" i="23"/>
  <c r="V16" i="23"/>
  <c r="T18" i="23"/>
  <c r="V15" i="23"/>
  <c r="Z12" i="23"/>
  <c r="L15" i="23"/>
  <c r="Z25" i="23"/>
  <c r="Z29" i="23"/>
  <c r="Z33" i="23"/>
  <c r="Z34" i="23"/>
  <c r="V29" i="25"/>
  <c r="V22" i="25"/>
  <c r="V21" i="25"/>
  <c r="V34" i="25"/>
  <c r="V24" i="25"/>
  <c r="V20" i="25"/>
  <c r="V18" i="25"/>
  <c r="V16" i="25"/>
  <c r="T18" i="25"/>
  <c r="V15" i="25"/>
  <c r="V31" i="25"/>
  <c r="V25" i="25"/>
  <c r="V36" i="25"/>
  <c r="V27" i="25"/>
  <c r="Z12" i="25"/>
  <c r="V33" i="25"/>
  <c r="L15" i="25"/>
  <c r="X29" i="25"/>
  <c r="Z12" i="26"/>
  <c r="V36" i="26"/>
  <c r="V34" i="26"/>
  <c r="V33" i="26"/>
  <c r="V31" i="26"/>
  <c r="V29" i="26"/>
  <c r="V27" i="26"/>
  <c r="V25" i="26"/>
  <c r="V21" i="26"/>
  <c r="V20" i="26"/>
  <c r="V18" i="26"/>
  <c r="V16" i="26"/>
  <c r="V15" i="26"/>
  <c r="V22" i="26"/>
  <c r="V24" i="26"/>
  <c r="T18" i="26"/>
  <c r="Z15" i="26"/>
  <c r="N24" i="26"/>
  <c r="Z29" i="29"/>
  <c r="F36" i="19"/>
  <c r="F34" i="19"/>
  <c r="F33" i="19"/>
  <c r="F31" i="19"/>
  <c r="F29" i="19"/>
  <c r="F27" i="19"/>
  <c r="F25" i="19"/>
  <c r="F24" i="19"/>
  <c r="F22" i="19"/>
  <c r="F21" i="19"/>
  <c r="F20" i="19"/>
  <c r="F18" i="19"/>
  <c r="F16" i="19"/>
  <c r="D18" i="19"/>
  <c r="F15" i="19"/>
  <c r="L12" i="19"/>
  <c r="X16" i="19"/>
  <c r="X20" i="19"/>
  <c r="X15" i="20"/>
  <c r="N25" i="20"/>
  <c r="N29" i="20"/>
  <c r="N33" i="20"/>
  <c r="N34" i="20"/>
  <c r="N15" i="22"/>
  <c r="L21" i="22"/>
  <c r="L16" i="23"/>
  <c r="L20" i="23"/>
  <c r="L16" i="25"/>
  <c r="L20" i="25"/>
  <c r="L25" i="25"/>
  <c r="N34" i="26"/>
  <c r="N15" i="35"/>
  <c r="V21" i="28"/>
  <c r="V20" i="28"/>
  <c r="V18" i="28"/>
  <c r="V16" i="28"/>
  <c r="T18" i="28"/>
  <c r="V15" i="28"/>
  <c r="Z12" i="28"/>
  <c r="V24" i="28"/>
  <c r="V22" i="28"/>
  <c r="V36" i="28"/>
  <c r="V25" i="28"/>
  <c r="V34" i="28"/>
  <c r="V33" i="28"/>
  <c r="V31" i="28"/>
  <c r="V29" i="28"/>
  <c r="V27" i="28"/>
  <c r="L15" i="28"/>
  <c r="Z25" i="28"/>
  <c r="Z29" i="28"/>
  <c r="Z33" i="28"/>
  <c r="Z34" i="28"/>
  <c r="R24" i="29"/>
  <c r="R22" i="29"/>
  <c r="R21" i="29"/>
  <c r="R20" i="29"/>
  <c r="R18" i="29"/>
  <c r="R16" i="29"/>
  <c r="P18" i="29"/>
  <c r="R15" i="29"/>
  <c r="X12" i="29"/>
  <c r="R36" i="29"/>
  <c r="R34" i="29"/>
  <c r="R33" i="29"/>
  <c r="R31" i="29"/>
  <c r="R29" i="29"/>
  <c r="R27" i="29"/>
  <c r="R25" i="29"/>
  <c r="Z22" i="29"/>
  <c r="Z24" i="29"/>
  <c r="T18" i="31"/>
  <c r="V15" i="31"/>
  <c r="Z12" i="31"/>
  <c r="V36" i="31"/>
  <c r="V34" i="31"/>
  <c r="V33" i="31"/>
  <c r="V31" i="31"/>
  <c r="V29" i="31"/>
  <c r="V27" i="31"/>
  <c r="V25" i="31"/>
  <c r="V21" i="31"/>
  <c r="V18" i="31"/>
  <c r="V22" i="31"/>
  <c r="V16" i="31"/>
  <c r="V20" i="31"/>
  <c r="V24" i="31"/>
  <c r="R20" i="32"/>
  <c r="R18" i="32"/>
  <c r="R16" i="32"/>
  <c r="P18" i="32"/>
  <c r="R15" i="32"/>
  <c r="X12" i="32"/>
  <c r="R24" i="32"/>
  <c r="R22" i="32"/>
  <c r="R36" i="32"/>
  <c r="R29" i="32"/>
  <c r="R34" i="32"/>
  <c r="R27" i="32"/>
  <c r="R21" i="32"/>
  <c r="R33" i="32"/>
  <c r="R25" i="32"/>
  <c r="R31" i="32"/>
  <c r="Z24" i="32"/>
  <c r="Z29" i="34"/>
  <c r="Z22" i="35"/>
  <c r="Z24" i="25"/>
  <c r="Z21" i="26"/>
  <c r="X25" i="26"/>
  <c r="X29" i="26"/>
  <c r="X33" i="26"/>
  <c r="X34" i="26"/>
  <c r="N15" i="28"/>
  <c r="L21" i="28"/>
  <c r="L16" i="29"/>
  <c r="L20" i="29"/>
  <c r="X25" i="31"/>
  <c r="X33" i="31"/>
  <c r="Z13" i="32"/>
  <c r="Z20" i="32"/>
  <c r="V20" i="34"/>
  <c r="V18" i="34"/>
  <c r="V16" i="34"/>
  <c r="T18" i="34"/>
  <c r="V15" i="34"/>
  <c r="Z12" i="34"/>
  <c r="V36" i="34"/>
  <c r="V34" i="34"/>
  <c r="V33" i="34"/>
  <c r="V31" i="34"/>
  <c r="V29" i="34"/>
  <c r="V27" i="34"/>
  <c r="V25" i="34"/>
  <c r="V21" i="34"/>
  <c r="V24" i="34"/>
  <c r="V22" i="34"/>
  <c r="Z24" i="35"/>
  <c r="Z25" i="25"/>
  <c r="Z29" i="25"/>
  <c r="Z33" i="25"/>
  <c r="Z34" i="25"/>
  <c r="X12" i="26"/>
  <c r="R36" i="26"/>
  <c r="R34" i="26"/>
  <c r="R33" i="26"/>
  <c r="R31" i="26"/>
  <c r="R29" i="26"/>
  <c r="R27" i="26"/>
  <c r="R25" i="26"/>
  <c r="R24" i="26"/>
  <c r="R22" i="26"/>
  <c r="P18" i="26"/>
  <c r="R15" i="26"/>
  <c r="R20" i="26"/>
  <c r="R16" i="26"/>
  <c r="R18" i="26"/>
  <c r="R21" i="26"/>
  <c r="Z22" i="26"/>
  <c r="Z24" i="26"/>
  <c r="N16" i="28"/>
  <c r="N20" i="28"/>
  <c r="L22" i="28"/>
  <c r="L24" i="28"/>
  <c r="N15" i="29"/>
  <c r="L21" i="29"/>
  <c r="L15" i="31"/>
  <c r="Z25" i="31"/>
  <c r="Z33" i="31"/>
  <c r="L22" i="34"/>
  <c r="N15" i="32"/>
  <c r="L21" i="32"/>
  <c r="L15" i="34"/>
  <c r="Z33" i="34"/>
  <c r="L16" i="26"/>
  <c r="L20" i="26"/>
  <c r="N13" i="28"/>
  <c r="N22" i="28"/>
  <c r="N24" i="28"/>
  <c r="L13" i="29"/>
  <c r="N21" i="29"/>
  <c r="L25" i="29"/>
  <c r="L29" i="29"/>
  <c r="L33" i="29"/>
  <c r="L34" i="29"/>
  <c r="Z21" i="31"/>
  <c r="X34" i="31"/>
  <c r="L24" i="34"/>
  <c r="N15" i="26"/>
  <c r="L21" i="26"/>
  <c r="X15" i="28"/>
  <c r="N25" i="28"/>
  <c r="N29" i="28"/>
  <c r="N33" i="28"/>
  <c r="N34" i="28"/>
  <c r="N13" i="29"/>
  <c r="N22" i="29"/>
  <c r="N24" i="29"/>
  <c r="Z34" i="31"/>
  <c r="Z34" i="34"/>
  <c r="X15" i="38"/>
  <c r="L12" i="28"/>
  <c r="F36" i="28"/>
  <c r="F34" i="28"/>
  <c r="F33" i="28"/>
  <c r="F31" i="28"/>
  <c r="F29" i="28"/>
  <c r="F27" i="28"/>
  <c r="F25" i="28"/>
  <c r="F21" i="28"/>
  <c r="F20" i="28"/>
  <c r="F18" i="28"/>
  <c r="F16" i="28"/>
  <c r="D18" i="28"/>
  <c r="F24" i="28"/>
  <c r="F15" i="28"/>
  <c r="F22" i="28"/>
  <c r="X16" i="28"/>
  <c r="X20" i="28"/>
  <c r="X15" i="29"/>
  <c r="N25" i="29"/>
  <c r="N29" i="29"/>
  <c r="N33" i="29"/>
  <c r="N34" i="29"/>
  <c r="N16" i="31"/>
  <c r="L22" i="31"/>
  <c r="N16" i="34"/>
  <c r="L13" i="26"/>
  <c r="N21" i="26"/>
  <c r="L25" i="26"/>
  <c r="L29" i="26"/>
  <c r="L33" i="26"/>
  <c r="L34" i="26"/>
  <c r="N12" i="28"/>
  <c r="J36" i="28"/>
  <c r="J34" i="28"/>
  <c r="J33" i="28"/>
  <c r="J31" i="28"/>
  <c r="J29" i="28"/>
  <c r="J27" i="28"/>
  <c r="J25" i="28"/>
  <c r="J24" i="28"/>
  <c r="J22" i="28"/>
  <c r="J21" i="28"/>
  <c r="H18" i="28"/>
  <c r="J15" i="28"/>
  <c r="J18" i="28"/>
  <c r="J16" i="28"/>
  <c r="J20" i="28"/>
  <c r="X13" i="28"/>
  <c r="Z15" i="28"/>
  <c r="X21" i="28"/>
  <c r="L12" i="29"/>
  <c r="F36" i="29"/>
  <c r="F34" i="29"/>
  <c r="F33" i="29"/>
  <c r="F31" i="29"/>
  <c r="F29" i="29"/>
  <c r="F27" i="29"/>
  <c r="F25" i="29"/>
  <c r="F24" i="29"/>
  <c r="F22" i="29"/>
  <c r="F20" i="29"/>
  <c r="F18" i="29"/>
  <c r="F16" i="29"/>
  <c r="D18" i="29"/>
  <c r="F15" i="29"/>
  <c r="F21" i="29"/>
  <c r="X16" i="29"/>
  <c r="X20" i="29"/>
  <c r="X29" i="31"/>
  <c r="Z16" i="32"/>
  <c r="X22" i="32"/>
  <c r="Z25" i="34"/>
  <c r="Z13" i="28"/>
  <c r="Z16" i="28"/>
  <c r="Z20" i="28"/>
  <c r="X22" i="28"/>
  <c r="X24" i="28"/>
  <c r="N12" i="29"/>
  <c r="J36" i="29"/>
  <c r="J34" i="29"/>
  <c r="J33" i="29"/>
  <c r="J31" i="29"/>
  <c r="J29" i="29"/>
  <c r="J27" i="29"/>
  <c r="J25" i="29"/>
  <c r="J24" i="29"/>
  <c r="J22" i="29"/>
  <c r="J21" i="29"/>
  <c r="J20" i="29"/>
  <c r="J18" i="29"/>
  <c r="J16" i="29"/>
  <c r="H18" i="29"/>
  <c r="J15" i="29"/>
  <c r="X13" i="29"/>
  <c r="Z15" i="29"/>
  <c r="X21" i="29"/>
  <c r="Z29" i="31"/>
  <c r="Z22" i="32"/>
  <c r="L21" i="35"/>
  <c r="N34" i="38"/>
  <c r="Z21" i="28"/>
  <c r="X25" i="28"/>
  <c r="X29" i="28"/>
  <c r="X33" i="28"/>
  <c r="X34" i="28"/>
  <c r="Z13" i="29"/>
  <c r="Z16" i="29"/>
  <c r="Z20" i="29"/>
  <c r="X22" i="29"/>
  <c r="X24" i="29"/>
  <c r="L24" i="31"/>
  <c r="R21" i="35"/>
  <c r="R20" i="35"/>
  <c r="R18" i="35"/>
  <c r="R16" i="35"/>
  <c r="P18" i="35"/>
  <c r="R15" i="35"/>
  <c r="X12" i="35"/>
  <c r="R24" i="35"/>
  <c r="R22" i="35"/>
  <c r="R31" i="35"/>
  <c r="R29" i="35"/>
  <c r="R27" i="35"/>
  <c r="R36" i="35"/>
  <c r="R25" i="35"/>
  <c r="R34" i="35"/>
  <c r="R33" i="35"/>
  <c r="X20" i="26"/>
  <c r="R36" i="28"/>
  <c r="R34" i="28"/>
  <c r="R33" i="28"/>
  <c r="R31" i="28"/>
  <c r="R29" i="28"/>
  <c r="R27" i="28"/>
  <c r="R25" i="28"/>
  <c r="R24" i="28"/>
  <c r="R22" i="28"/>
  <c r="R21" i="28"/>
  <c r="R20" i="28"/>
  <c r="R18" i="28"/>
  <c r="R16" i="28"/>
  <c r="P18" i="28"/>
  <c r="R15" i="28"/>
  <c r="X12" i="28"/>
  <c r="Z22" i="28"/>
  <c r="Z24" i="28"/>
  <c r="Z21" i="29"/>
  <c r="X25" i="29"/>
  <c r="X29" i="29"/>
  <c r="X33" i="29"/>
  <c r="X34" i="29"/>
  <c r="X24" i="32"/>
  <c r="N20" i="34"/>
  <c r="Z25" i="40"/>
  <c r="R21" i="31"/>
  <c r="R20" i="31"/>
  <c r="R18" i="31"/>
  <c r="R16" i="31"/>
  <c r="P18" i="31"/>
  <c r="R15" i="31"/>
  <c r="X12" i="31"/>
  <c r="R36" i="31"/>
  <c r="R34" i="31"/>
  <c r="R33" i="31"/>
  <c r="R31" i="31"/>
  <c r="R29" i="31"/>
  <c r="R27" i="31"/>
  <c r="R25" i="31"/>
  <c r="R24" i="31"/>
  <c r="R22" i="31"/>
  <c r="Z22" i="31"/>
  <c r="Z24" i="31"/>
  <c r="Z21" i="32"/>
  <c r="X25" i="32"/>
  <c r="X29" i="32"/>
  <c r="X33" i="32"/>
  <c r="X34" i="32"/>
  <c r="R24" i="34"/>
  <c r="R22" i="34"/>
  <c r="R21" i="34"/>
  <c r="R20" i="34"/>
  <c r="R18" i="34"/>
  <c r="R16" i="34"/>
  <c r="P18" i="34"/>
  <c r="R15" i="34"/>
  <c r="X12" i="34"/>
  <c r="R36" i="34"/>
  <c r="R34" i="34"/>
  <c r="R33" i="34"/>
  <c r="R31" i="34"/>
  <c r="R29" i="34"/>
  <c r="R27" i="34"/>
  <c r="R25" i="34"/>
  <c r="Z22" i="34"/>
  <c r="Z24" i="34"/>
  <c r="Z21" i="35"/>
  <c r="X25" i="35"/>
  <c r="X29" i="35"/>
  <c r="X33" i="35"/>
  <c r="X34" i="35"/>
  <c r="N21" i="37"/>
  <c r="L34" i="37"/>
  <c r="N16" i="40"/>
  <c r="L16" i="31"/>
  <c r="L20" i="31"/>
  <c r="V36" i="32"/>
  <c r="V34" i="32"/>
  <c r="V33" i="32"/>
  <c r="V31" i="32"/>
  <c r="V29" i="32"/>
  <c r="V27" i="32"/>
  <c r="V25" i="32"/>
  <c r="V24" i="32"/>
  <c r="V22" i="32"/>
  <c r="V20" i="32"/>
  <c r="V18" i="32"/>
  <c r="V16" i="32"/>
  <c r="T18" i="32"/>
  <c r="V21" i="32"/>
  <c r="V15" i="32"/>
  <c r="Z12" i="32"/>
  <c r="L15" i="32"/>
  <c r="Z25" i="32"/>
  <c r="Z29" i="32"/>
  <c r="Z33" i="32"/>
  <c r="Z34" i="32"/>
  <c r="L16" i="34"/>
  <c r="L20" i="34"/>
  <c r="T18" i="35"/>
  <c r="V15" i="35"/>
  <c r="V36" i="35"/>
  <c r="V34" i="35"/>
  <c r="V33" i="35"/>
  <c r="V31" i="35"/>
  <c r="V29" i="35"/>
  <c r="V27" i="35"/>
  <c r="V25" i="35"/>
  <c r="V24" i="35"/>
  <c r="V22" i="35"/>
  <c r="V20" i="35"/>
  <c r="V18" i="35"/>
  <c r="V16" i="35"/>
  <c r="Z12" i="35"/>
  <c r="V21" i="35"/>
  <c r="L15" i="35"/>
  <c r="Z25" i="35"/>
  <c r="Z29" i="35"/>
  <c r="Z33" i="35"/>
  <c r="Z34" i="35"/>
  <c r="Z15" i="38"/>
  <c r="X21" i="38"/>
  <c r="L21" i="41"/>
  <c r="N33" i="44"/>
  <c r="N15" i="31"/>
  <c r="L21" i="31"/>
  <c r="L16" i="32"/>
  <c r="L20" i="32"/>
  <c r="N15" i="34"/>
  <c r="L21" i="34"/>
  <c r="L16" i="35"/>
  <c r="L20" i="35"/>
  <c r="L29" i="37"/>
  <c r="N16" i="38"/>
  <c r="L22" i="38"/>
  <c r="R21" i="41"/>
  <c r="R20" i="41"/>
  <c r="R18" i="41"/>
  <c r="R16" i="41"/>
  <c r="P18" i="41"/>
  <c r="R15" i="41"/>
  <c r="X12" i="41"/>
  <c r="R24" i="41"/>
  <c r="R22" i="41"/>
  <c r="R27" i="41"/>
  <c r="R36" i="41"/>
  <c r="R25" i="41"/>
  <c r="R34" i="41"/>
  <c r="R33" i="41"/>
  <c r="R31" i="41"/>
  <c r="R29" i="41"/>
  <c r="X16" i="37"/>
  <c r="N29" i="38"/>
  <c r="N20" i="40"/>
  <c r="L13" i="31"/>
  <c r="N21" i="31"/>
  <c r="L25" i="31"/>
  <c r="L29" i="31"/>
  <c r="L33" i="31"/>
  <c r="L34" i="31"/>
  <c r="N16" i="32"/>
  <c r="N20" i="32"/>
  <c r="L22" i="32"/>
  <c r="L24" i="32"/>
  <c r="L13" i="34"/>
  <c r="N21" i="34"/>
  <c r="L25" i="34"/>
  <c r="L29" i="34"/>
  <c r="L33" i="34"/>
  <c r="L34" i="34"/>
  <c r="N16" i="35"/>
  <c r="N20" i="35"/>
  <c r="L22" i="35"/>
  <c r="L24" i="35"/>
  <c r="Z16" i="37"/>
  <c r="X22" i="37"/>
  <c r="Z29" i="40"/>
  <c r="Z22" i="41"/>
  <c r="N13" i="31"/>
  <c r="N22" i="31"/>
  <c r="N24" i="31"/>
  <c r="L13" i="32"/>
  <c r="N21" i="32"/>
  <c r="L25" i="32"/>
  <c r="L29" i="32"/>
  <c r="L33" i="32"/>
  <c r="L34" i="32"/>
  <c r="N13" i="34"/>
  <c r="N22" i="34"/>
  <c r="N24" i="34"/>
  <c r="L13" i="35"/>
  <c r="N21" i="35"/>
  <c r="L25" i="35"/>
  <c r="L29" i="35"/>
  <c r="L33" i="35"/>
  <c r="L34" i="35"/>
  <c r="L24" i="38"/>
  <c r="N15" i="41"/>
  <c r="X15" i="31"/>
  <c r="N25" i="31"/>
  <c r="N29" i="31"/>
  <c r="N33" i="31"/>
  <c r="N34" i="31"/>
  <c r="N13" i="32"/>
  <c r="N22" i="32"/>
  <c r="N24" i="32"/>
  <c r="X15" i="34"/>
  <c r="N25" i="34"/>
  <c r="N29" i="34"/>
  <c r="N33" i="34"/>
  <c r="N34" i="34"/>
  <c r="N13" i="35"/>
  <c r="N22" i="35"/>
  <c r="N24" i="35"/>
  <c r="F20" i="37"/>
  <c r="F18" i="37"/>
  <c r="F16" i="37"/>
  <c r="D18" i="37"/>
  <c r="F15" i="37"/>
  <c r="F36" i="37"/>
  <c r="F34" i="37"/>
  <c r="F33" i="37"/>
  <c r="F31" i="37"/>
  <c r="F29" i="37"/>
  <c r="F27" i="37"/>
  <c r="F25" i="37"/>
  <c r="F21" i="37"/>
  <c r="L12" i="37"/>
  <c r="F24" i="37"/>
  <c r="F22" i="37"/>
  <c r="V20" i="40"/>
  <c r="V18" i="40"/>
  <c r="V16" i="40"/>
  <c r="T18" i="40"/>
  <c r="V15" i="40"/>
  <c r="Z12" i="40"/>
  <c r="V36" i="40"/>
  <c r="V34" i="40"/>
  <c r="V33" i="40"/>
  <c r="V31" i="40"/>
  <c r="V29" i="40"/>
  <c r="V27" i="40"/>
  <c r="V25" i="40"/>
  <c r="V21" i="40"/>
  <c r="V24" i="40"/>
  <c r="V22" i="40"/>
  <c r="Z24" i="41"/>
  <c r="L12" i="31"/>
  <c r="F36" i="31"/>
  <c r="F34" i="31"/>
  <c r="F33" i="31"/>
  <c r="F31" i="31"/>
  <c r="F29" i="31"/>
  <c r="F27" i="31"/>
  <c r="F25" i="31"/>
  <c r="F24" i="31"/>
  <c r="F22" i="31"/>
  <c r="F20" i="31"/>
  <c r="F18" i="31"/>
  <c r="F16" i="31"/>
  <c r="D18" i="31"/>
  <c r="F15" i="31"/>
  <c r="F21" i="31"/>
  <c r="X16" i="31"/>
  <c r="X20" i="31"/>
  <c r="X15" i="32"/>
  <c r="N25" i="32"/>
  <c r="N29" i="32"/>
  <c r="N33" i="32"/>
  <c r="N34" i="32"/>
  <c r="L12" i="34"/>
  <c r="F36" i="34"/>
  <c r="F34" i="34"/>
  <c r="F33" i="34"/>
  <c r="F31" i="34"/>
  <c r="F29" i="34"/>
  <c r="F27" i="34"/>
  <c r="F25" i="34"/>
  <c r="F24" i="34"/>
  <c r="F22" i="34"/>
  <c r="F20" i="34"/>
  <c r="F18" i="34"/>
  <c r="F16" i="34"/>
  <c r="D18" i="34"/>
  <c r="F15" i="34"/>
  <c r="F21" i="34"/>
  <c r="X16" i="34"/>
  <c r="X20" i="34"/>
  <c r="X15" i="35"/>
  <c r="N25" i="35"/>
  <c r="N29" i="35"/>
  <c r="N33" i="35"/>
  <c r="N34" i="35"/>
  <c r="X24" i="37"/>
  <c r="N12" i="38"/>
  <c r="J36" i="38"/>
  <c r="J34" i="38"/>
  <c r="J33" i="38"/>
  <c r="J31" i="38"/>
  <c r="J29" i="38"/>
  <c r="J27" i="38"/>
  <c r="J25" i="38"/>
  <c r="J21" i="38"/>
  <c r="J20" i="38"/>
  <c r="J18" i="38"/>
  <c r="J16" i="38"/>
  <c r="J24" i="38"/>
  <c r="H18" i="38"/>
  <c r="J22" i="38"/>
  <c r="J15" i="38"/>
  <c r="L22" i="40"/>
  <c r="J36" i="31"/>
  <c r="J34" i="31"/>
  <c r="J33" i="31"/>
  <c r="J31" i="31"/>
  <c r="J29" i="31"/>
  <c r="J27" i="31"/>
  <c r="J25" i="31"/>
  <c r="J24" i="31"/>
  <c r="J22" i="31"/>
  <c r="J21" i="31"/>
  <c r="J20" i="31"/>
  <c r="J18" i="31"/>
  <c r="J16" i="31"/>
  <c r="N12" i="31"/>
  <c r="H18" i="31"/>
  <c r="J15" i="31"/>
  <c r="X13" i="31"/>
  <c r="Z15" i="31"/>
  <c r="X21" i="31"/>
  <c r="F36" i="32"/>
  <c r="F34" i="32"/>
  <c r="F33" i="32"/>
  <c r="F31" i="32"/>
  <c r="F29" i="32"/>
  <c r="F27" i="32"/>
  <c r="F25" i="32"/>
  <c r="F24" i="32"/>
  <c r="F22" i="32"/>
  <c r="F21" i="32"/>
  <c r="D18" i="32"/>
  <c r="F15" i="32"/>
  <c r="L12" i="32"/>
  <c r="F18" i="32"/>
  <c r="F16" i="32"/>
  <c r="F20" i="32"/>
  <c r="X16" i="32"/>
  <c r="X20" i="32"/>
  <c r="N12" i="34"/>
  <c r="J36" i="34"/>
  <c r="J34" i="34"/>
  <c r="J33" i="34"/>
  <c r="J31" i="34"/>
  <c r="J29" i="34"/>
  <c r="J27" i="34"/>
  <c r="J25" i="34"/>
  <c r="J24" i="34"/>
  <c r="J22" i="34"/>
  <c r="J21" i="34"/>
  <c r="J20" i="34"/>
  <c r="J18" i="34"/>
  <c r="J16" i="34"/>
  <c r="H18" i="34"/>
  <c r="J15" i="34"/>
  <c r="X13" i="34"/>
  <c r="Z15" i="34"/>
  <c r="X21" i="34"/>
  <c r="L12" i="35"/>
  <c r="F36" i="35"/>
  <c r="F34" i="35"/>
  <c r="F33" i="35"/>
  <c r="F31" i="35"/>
  <c r="F29" i="35"/>
  <c r="F27" i="35"/>
  <c r="F25" i="35"/>
  <c r="F24" i="35"/>
  <c r="F22" i="35"/>
  <c r="F21" i="35"/>
  <c r="D18" i="35"/>
  <c r="F15" i="35"/>
  <c r="F20" i="35"/>
  <c r="F18" i="35"/>
  <c r="F16" i="35"/>
  <c r="X16" i="35"/>
  <c r="X20" i="35"/>
  <c r="L13" i="37"/>
  <c r="L25" i="37"/>
  <c r="L33" i="37"/>
  <c r="N20" i="38"/>
  <c r="L15" i="40"/>
  <c r="Z33" i="40"/>
  <c r="Z13" i="31"/>
  <c r="Z16" i="31"/>
  <c r="Z20" i="31"/>
  <c r="X22" i="31"/>
  <c r="X24" i="31"/>
  <c r="J36" i="32"/>
  <c r="J34" i="32"/>
  <c r="J33" i="32"/>
  <c r="J31" i="32"/>
  <c r="J29" i="32"/>
  <c r="J27" i="32"/>
  <c r="J25" i="32"/>
  <c r="J24" i="32"/>
  <c r="J22" i="32"/>
  <c r="J21" i="32"/>
  <c r="J20" i="32"/>
  <c r="J18" i="32"/>
  <c r="J16" i="32"/>
  <c r="H18" i="32"/>
  <c r="J15" i="32"/>
  <c r="N12" i="32"/>
  <c r="X13" i="32"/>
  <c r="Z15" i="32"/>
  <c r="X21" i="32"/>
  <c r="Z13" i="34"/>
  <c r="Z16" i="34"/>
  <c r="Z20" i="34"/>
  <c r="X22" i="34"/>
  <c r="X24" i="34"/>
  <c r="J36" i="35"/>
  <c r="J34" i="35"/>
  <c r="J33" i="35"/>
  <c r="J31" i="35"/>
  <c r="J29" i="35"/>
  <c r="J27" i="35"/>
  <c r="J25" i="35"/>
  <c r="J24" i="35"/>
  <c r="J22" i="35"/>
  <c r="J21" i="35"/>
  <c r="J20" i="35"/>
  <c r="J18" i="35"/>
  <c r="J16" i="35"/>
  <c r="H18" i="35"/>
  <c r="J15" i="35"/>
  <c r="N12" i="35"/>
  <c r="X13" i="35"/>
  <c r="Z15" i="35"/>
  <c r="X21" i="35"/>
  <c r="X20" i="37"/>
  <c r="N25" i="38"/>
  <c r="N33" i="38"/>
  <c r="L24" i="40"/>
  <c r="X20" i="43"/>
  <c r="Z21" i="34"/>
  <c r="X25" i="34"/>
  <c r="X29" i="34"/>
  <c r="X33" i="34"/>
  <c r="X34" i="34"/>
  <c r="Z13" i="35"/>
  <c r="Z16" i="35"/>
  <c r="Z20" i="35"/>
  <c r="X22" i="35"/>
  <c r="X24" i="35"/>
  <c r="Z13" i="37"/>
  <c r="Z20" i="37"/>
  <c r="X13" i="38"/>
  <c r="Z34" i="40"/>
  <c r="N16" i="37"/>
  <c r="N20" i="37"/>
  <c r="L22" i="37"/>
  <c r="L24" i="37"/>
  <c r="N15" i="38"/>
  <c r="L21" i="38"/>
  <c r="R24" i="40"/>
  <c r="R22" i="40"/>
  <c r="R21" i="40"/>
  <c r="R20" i="40"/>
  <c r="R18" i="40"/>
  <c r="R16" i="40"/>
  <c r="P18" i="40"/>
  <c r="R15" i="40"/>
  <c r="X12" i="40"/>
  <c r="R36" i="40"/>
  <c r="R34" i="40"/>
  <c r="R33" i="40"/>
  <c r="R31" i="40"/>
  <c r="R29" i="40"/>
  <c r="R27" i="40"/>
  <c r="R25" i="40"/>
  <c r="Z22" i="40"/>
  <c r="Z24" i="40"/>
  <c r="Z21" i="41"/>
  <c r="X25" i="41"/>
  <c r="X29" i="41"/>
  <c r="X33" i="41"/>
  <c r="X34" i="41"/>
  <c r="L29" i="43"/>
  <c r="L22" i="44"/>
  <c r="N21" i="52"/>
  <c r="N13" i="37"/>
  <c r="N22" i="37"/>
  <c r="N24" i="37"/>
  <c r="L13" i="38"/>
  <c r="N21" i="38"/>
  <c r="L25" i="38"/>
  <c r="L29" i="38"/>
  <c r="L33" i="38"/>
  <c r="L34" i="38"/>
  <c r="L16" i="40"/>
  <c r="L20" i="40"/>
  <c r="T18" i="41"/>
  <c r="V15" i="41"/>
  <c r="V36" i="41"/>
  <c r="V34" i="41"/>
  <c r="V33" i="41"/>
  <c r="V31" i="41"/>
  <c r="V29" i="41"/>
  <c r="V27" i="41"/>
  <c r="V25" i="41"/>
  <c r="V24" i="41"/>
  <c r="V22" i="41"/>
  <c r="V20" i="41"/>
  <c r="V18" i="41"/>
  <c r="V16" i="41"/>
  <c r="Z12" i="41"/>
  <c r="V21" i="41"/>
  <c r="L15" i="41"/>
  <c r="Z25" i="41"/>
  <c r="Z29" i="41"/>
  <c r="Z33" i="41"/>
  <c r="Z34" i="41"/>
  <c r="N21" i="43"/>
  <c r="L24" i="44"/>
  <c r="N25" i="50"/>
  <c r="X15" i="37"/>
  <c r="N25" i="37"/>
  <c r="N29" i="37"/>
  <c r="N33" i="37"/>
  <c r="N34" i="37"/>
  <c r="N13" i="38"/>
  <c r="N22" i="38"/>
  <c r="N24" i="38"/>
  <c r="N15" i="40"/>
  <c r="L21" i="40"/>
  <c r="L16" i="41"/>
  <c r="L20" i="41"/>
  <c r="F20" i="43"/>
  <c r="F18" i="43"/>
  <c r="F16" i="43"/>
  <c r="D18" i="43"/>
  <c r="F15" i="43"/>
  <c r="L12" i="43"/>
  <c r="F36" i="43"/>
  <c r="F34" i="43"/>
  <c r="F33" i="43"/>
  <c r="F31" i="43"/>
  <c r="F29" i="43"/>
  <c r="F27" i="43"/>
  <c r="F25" i="43"/>
  <c r="F21" i="43"/>
  <c r="F24" i="43"/>
  <c r="F22" i="43"/>
  <c r="X15" i="44"/>
  <c r="N34" i="44"/>
  <c r="N33" i="50"/>
  <c r="L24" i="53"/>
  <c r="L13" i="43"/>
  <c r="L33" i="43"/>
  <c r="N16" i="44"/>
  <c r="N16" i="46"/>
  <c r="N12" i="37"/>
  <c r="J24" i="37"/>
  <c r="J22" i="37"/>
  <c r="J21" i="37"/>
  <c r="H18" i="37"/>
  <c r="J15" i="37"/>
  <c r="J33" i="37"/>
  <c r="J25" i="37"/>
  <c r="J20" i="37"/>
  <c r="J31" i="37"/>
  <c r="J18" i="37"/>
  <c r="J36" i="37"/>
  <c r="J29" i="37"/>
  <c r="J16" i="37"/>
  <c r="J34" i="37"/>
  <c r="J27" i="37"/>
  <c r="X13" i="37"/>
  <c r="Z15" i="37"/>
  <c r="X21" i="37"/>
  <c r="D18" i="38"/>
  <c r="F15" i="38"/>
  <c r="L12" i="38"/>
  <c r="F36" i="38"/>
  <c r="F34" i="38"/>
  <c r="F33" i="38"/>
  <c r="F31" i="38"/>
  <c r="F29" i="38"/>
  <c r="F27" i="38"/>
  <c r="F25" i="38"/>
  <c r="F24" i="38"/>
  <c r="F22" i="38"/>
  <c r="F20" i="38"/>
  <c r="F18" i="38"/>
  <c r="F16" i="38"/>
  <c r="F21" i="38"/>
  <c r="X16" i="38"/>
  <c r="X20" i="38"/>
  <c r="L13" i="40"/>
  <c r="N21" i="40"/>
  <c r="L25" i="40"/>
  <c r="L29" i="40"/>
  <c r="L33" i="40"/>
  <c r="L34" i="40"/>
  <c r="N16" i="41"/>
  <c r="N20" i="41"/>
  <c r="L22" i="41"/>
  <c r="L24" i="41"/>
  <c r="N25" i="44"/>
  <c r="N13" i="40"/>
  <c r="N22" i="40"/>
  <c r="N24" i="40"/>
  <c r="L13" i="41"/>
  <c r="N21" i="41"/>
  <c r="L25" i="41"/>
  <c r="L29" i="41"/>
  <c r="L33" i="41"/>
  <c r="L34" i="41"/>
  <c r="L34" i="43"/>
  <c r="N20" i="46"/>
  <c r="Z21" i="37"/>
  <c r="X25" i="37"/>
  <c r="X29" i="37"/>
  <c r="X33" i="37"/>
  <c r="X34" i="37"/>
  <c r="Z13" i="38"/>
  <c r="Z16" i="38"/>
  <c r="Z20" i="38"/>
  <c r="X22" i="38"/>
  <c r="X24" i="38"/>
  <c r="X15" i="40"/>
  <c r="N25" i="40"/>
  <c r="N29" i="40"/>
  <c r="N33" i="40"/>
  <c r="N34" i="40"/>
  <c r="N13" i="41"/>
  <c r="N22" i="41"/>
  <c r="N24" i="41"/>
  <c r="N15" i="47"/>
  <c r="X12" i="37"/>
  <c r="R36" i="37"/>
  <c r="R34" i="37"/>
  <c r="R33" i="37"/>
  <c r="R31" i="37"/>
  <c r="R29" i="37"/>
  <c r="R27" i="37"/>
  <c r="R25" i="37"/>
  <c r="R24" i="37"/>
  <c r="R22" i="37"/>
  <c r="R20" i="37"/>
  <c r="R18" i="37"/>
  <c r="R16" i="37"/>
  <c r="P18" i="37"/>
  <c r="R21" i="37"/>
  <c r="R15" i="37"/>
  <c r="Z22" i="37"/>
  <c r="Z24" i="37"/>
  <c r="Z21" i="38"/>
  <c r="X25" i="38"/>
  <c r="X29" i="38"/>
  <c r="X33" i="38"/>
  <c r="X34" i="38"/>
  <c r="L12" i="40"/>
  <c r="F36" i="40"/>
  <c r="F34" i="40"/>
  <c r="F33" i="40"/>
  <c r="F31" i="40"/>
  <c r="F29" i="40"/>
  <c r="F27" i="40"/>
  <c r="F25" i="40"/>
  <c r="F24" i="40"/>
  <c r="F22" i="40"/>
  <c r="F20" i="40"/>
  <c r="F18" i="40"/>
  <c r="F16" i="40"/>
  <c r="D18" i="40"/>
  <c r="F15" i="40"/>
  <c r="F21" i="40"/>
  <c r="X16" i="40"/>
  <c r="X20" i="40"/>
  <c r="X15" i="41"/>
  <c r="N25" i="41"/>
  <c r="N29" i="41"/>
  <c r="N33" i="41"/>
  <c r="N34" i="41"/>
  <c r="L25" i="43"/>
  <c r="N20" i="44"/>
  <c r="L22" i="46"/>
  <c r="Z12" i="37"/>
  <c r="V36" i="37"/>
  <c r="V34" i="37"/>
  <c r="V33" i="37"/>
  <c r="V31" i="37"/>
  <c r="V29" i="37"/>
  <c r="V27" i="37"/>
  <c r="V25" i="37"/>
  <c r="V24" i="37"/>
  <c r="V22" i="37"/>
  <c r="V21" i="37"/>
  <c r="V20" i="37"/>
  <c r="V18" i="37"/>
  <c r="V16" i="37"/>
  <c r="T18" i="37"/>
  <c r="V15" i="37"/>
  <c r="L15" i="37"/>
  <c r="Z25" i="37"/>
  <c r="Z29" i="37"/>
  <c r="Z33" i="37"/>
  <c r="Z34" i="37"/>
  <c r="X12" i="38"/>
  <c r="R36" i="38"/>
  <c r="R34" i="38"/>
  <c r="R33" i="38"/>
  <c r="R31" i="38"/>
  <c r="R29" i="38"/>
  <c r="R27" i="38"/>
  <c r="R25" i="38"/>
  <c r="R24" i="38"/>
  <c r="R22" i="38"/>
  <c r="R21" i="38"/>
  <c r="P18" i="38"/>
  <c r="R15" i="38"/>
  <c r="R20" i="38"/>
  <c r="R18" i="38"/>
  <c r="R16" i="38"/>
  <c r="Z22" i="38"/>
  <c r="Z24" i="38"/>
  <c r="N12" i="40"/>
  <c r="J36" i="40"/>
  <c r="J34" i="40"/>
  <c r="J33" i="40"/>
  <c r="J31" i="40"/>
  <c r="J29" i="40"/>
  <c r="J27" i="40"/>
  <c r="J25" i="40"/>
  <c r="J24" i="40"/>
  <c r="J22" i="40"/>
  <c r="J21" i="40"/>
  <c r="J20" i="40"/>
  <c r="J18" i="40"/>
  <c r="J16" i="40"/>
  <c r="J15" i="40"/>
  <c r="H18" i="40"/>
  <c r="X13" i="40"/>
  <c r="Z15" i="40"/>
  <c r="X21" i="40"/>
  <c r="L12" i="41"/>
  <c r="F36" i="41"/>
  <c r="F34" i="41"/>
  <c r="F33" i="41"/>
  <c r="F31" i="41"/>
  <c r="F29" i="41"/>
  <c r="F27" i="41"/>
  <c r="F25" i="41"/>
  <c r="F24" i="41"/>
  <c r="F22" i="41"/>
  <c r="F21" i="41"/>
  <c r="D18" i="41"/>
  <c r="F15" i="41"/>
  <c r="F18" i="41"/>
  <c r="F16" i="41"/>
  <c r="F20" i="41"/>
  <c r="X16" i="41"/>
  <c r="X20" i="41"/>
  <c r="X16" i="43"/>
  <c r="N29" i="44"/>
  <c r="L24" i="46"/>
  <c r="X20" i="49"/>
  <c r="L16" i="37"/>
  <c r="L20" i="37"/>
  <c r="V36" i="38"/>
  <c r="V34" i="38"/>
  <c r="V33" i="38"/>
  <c r="V31" i="38"/>
  <c r="V29" i="38"/>
  <c r="V27" i="38"/>
  <c r="V25" i="38"/>
  <c r="V24" i="38"/>
  <c r="V22" i="38"/>
  <c r="V21" i="38"/>
  <c r="V20" i="38"/>
  <c r="V18" i="38"/>
  <c r="V16" i="38"/>
  <c r="T18" i="38"/>
  <c r="V15" i="38"/>
  <c r="Z12" i="38"/>
  <c r="L15" i="38"/>
  <c r="Z25" i="38"/>
  <c r="Z29" i="38"/>
  <c r="Z33" i="38"/>
  <c r="Z34" i="38"/>
  <c r="Z13" i="40"/>
  <c r="Z16" i="40"/>
  <c r="Z20" i="40"/>
  <c r="X22" i="40"/>
  <c r="X24" i="40"/>
  <c r="J36" i="41"/>
  <c r="J34" i="41"/>
  <c r="J33" i="41"/>
  <c r="J31" i="41"/>
  <c r="J29" i="41"/>
  <c r="J27" i="41"/>
  <c r="J25" i="41"/>
  <c r="J24" i="41"/>
  <c r="J22" i="41"/>
  <c r="J21" i="41"/>
  <c r="J20" i="41"/>
  <c r="J18" i="41"/>
  <c r="J16" i="41"/>
  <c r="H18" i="41"/>
  <c r="J15" i="41"/>
  <c r="N12" i="41"/>
  <c r="X13" i="41"/>
  <c r="Z15" i="41"/>
  <c r="X21" i="41"/>
  <c r="N15" i="37"/>
  <c r="L21" i="37"/>
  <c r="L16" i="38"/>
  <c r="L20" i="38"/>
  <c r="Z21" i="40"/>
  <c r="X25" i="40"/>
  <c r="X29" i="40"/>
  <c r="X33" i="40"/>
  <c r="X34" i="40"/>
  <c r="Z13" i="41"/>
  <c r="Z16" i="41"/>
  <c r="Z20" i="41"/>
  <c r="X22" i="41"/>
  <c r="X24" i="41"/>
  <c r="L21" i="47"/>
  <c r="N16" i="43"/>
  <c r="N20" i="43"/>
  <c r="L22" i="43"/>
  <c r="L24" i="43"/>
  <c r="N15" i="44"/>
  <c r="L21" i="44"/>
  <c r="N15" i="46"/>
  <c r="L21" i="46"/>
  <c r="L16" i="47"/>
  <c r="L20" i="47"/>
  <c r="L20" i="49"/>
  <c r="Z12" i="50"/>
  <c r="V36" i="50"/>
  <c r="V34" i="50"/>
  <c r="V33" i="50"/>
  <c r="V31" i="50"/>
  <c r="V29" i="50"/>
  <c r="V27" i="50"/>
  <c r="V25" i="50"/>
  <c r="V21" i="50"/>
  <c r="V20" i="50"/>
  <c r="V18" i="50"/>
  <c r="V16" i="50"/>
  <c r="T18" i="50"/>
  <c r="V22" i="50"/>
  <c r="V15" i="50"/>
  <c r="V24" i="50"/>
  <c r="X20" i="52"/>
  <c r="N33" i="53"/>
  <c r="N13" i="43"/>
  <c r="N22" i="43"/>
  <c r="N24" i="43"/>
  <c r="L13" i="44"/>
  <c r="N21" i="44"/>
  <c r="L25" i="44"/>
  <c r="L29" i="44"/>
  <c r="L33" i="44"/>
  <c r="L34" i="44"/>
  <c r="L13" i="46"/>
  <c r="N21" i="46"/>
  <c r="L25" i="46"/>
  <c r="L29" i="46"/>
  <c r="L33" i="46"/>
  <c r="L34" i="46"/>
  <c r="N16" i="47"/>
  <c r="N20" i="47"/>
  <c r="L22" i="47"/>
  <c r="L24" i="47"/>
  <c r="X25" i="49"/>
  <c r="X33" i="49"/>
  <c r="Z13" i="50"/>
  <c r="Z20" i="50"/>
  <c r="F20" i="52"/>
  <c r="F18" i="52"/>
  <c r="F16" i="52"/>
  <c r="D18" i="52"/>
  <c r="F15" i="52"/>
  <c r="L12" i="52"/>
  <c r="F36" i="52"/>
  <c r="F34" i="52"/>
  <c r="F33" i="52"/>
  <c r="F31" i="52"/>
  <c r="F29" i="52"/>
  <c r="F27" i="52"/>
  <c r="F25" i="52"/>
  <c r="F21" i="52"/>
  <c r="F24" i="52"/>
  <c r="F22" i="52"/>
  <c r="X15" i="53"/>
  <c r="N34" i="53"/>
  <c r="X15" i="43"/>
  <c r="N25" i="43"/>
  <c r="N29" i="43"/>
  <c r="N33" i="43"/>
  <c r="N34" i="43"/>
  <c r="N13" i="44"/>
  <c r="N22" i="44"/>
  <c r="N24" i="44"/>
  <c r="N13" i="46"/>
  <c r="N22" i="46"/>
  <c r="N24" i="46"/>
  <c r="L13" i="47"/>
  <c r="N21" i="47"/>
  <c r="L25" i="47"/>
  <c r="L29" i="47"/>
  <c r="L33" i="47"/>
  <c r="L34" i="47"/>
  <c r="L15" i="50"/>
  <c r="Z25" i="50"/>
  <c r="Z33" i="50"/>
  <c r="L13" i="52"/>
  <c r="L33" i="52"/>
  <c r="N16" i="53"/>
  <c r="X15" i="46"/>
  <c r="N25" i="46"/>
  <c r="N29" i="46"/>
  <c r="N33" i="46"/>
  <c r="N34" i="46"/>
  <c r="N13" i="47"/>
  <c r="N22" i="47"/>
  <c r="N24" i="47"/>
  <c r="X15" i="50"/>
  <c r="N34" i="50"/>
  <c r="N25" i="53"/>
  <c r="N12" i="43"/>
  <c r="J24" i="43"/>
  <c r="J22" i="43"/>
  <c r="J21" i="43"/>
  <c r="H18" i="43"/>
  <c r="J15" i="43"/>
  <c r="J27" i="43"/>
  <c r="J18" i="43"/>
  <c r="J36" i="43"/>
  <c r="J25" i="43"/>
  <c r="J16" i="43"/>
  <c r="J34" i="43"/>
  <c r="J33" i="43"/>
  <c r="J31" i="43"/>
  <c r="J20" i="43"/>
  <c r="J29" i="43"/>
  <c r="X13" i="43"/>
  <c r="Z15" i="43"/>
  <c r="X21" i="43"/>
  <c r="D18" i="44"/>
  <c r="F15" i="44"/>
  <c r="L12" i="44"/>
  <c r="F36" i="44"/>
  <c r="F34" i="44"/>
  <c r="F33" i="44"/>
  <c r="F31" i="44"/>
  <c r="F29" i="44"/>
  <c r="F27" i="44"/>
  <c r="F25" i="44"/>
  <c r="F24" i="44"/>
  <c r="F22" i="44"/>
  <c r="F20" i="44"/>
  <c r="F18" i="44"/>
  <c r="F16" i="44"/>
  <c r="F21" i="44"/>
  <c r="X16" i="44"/>
  <c r="X20" i="44"/>
  <c r="D18" i="46"/>
  <c r="F15" i="46"/>
  <c r="L12" i="46"/>
  <c r="F36" i="46"/>
  <c r="F34" i="46"/>
  <c r="F33" i="46"/>
  <c r="F31" i="46"/>
  <c r="F29" i="46"/>
  <c r="F27" i="46"/>
  <c r="F25" i="46"/>
  <c r="F24" i="46"/>
  <c r="F22" i="46"/>
  <c r="F20" i="46"/>
  <c r="F18" i="46"/>
  <c r="F16" i="46"/>
  <c r="F21" i="46"/>
  <c r="X16" i="46"/>
  <c r="X20" i="46"/>
  <c r="X15" i="47"/>
  <c r="N25" i="47"/>
  <c r="N29" i="47"/>
  <c r="N33" i="47"/>
  <c r="N34" i="47"/>
  <c r="Z21" i="49"/>
  <c r="X34" i="49"/>
  <c r="L34" i="52"/>
  <c r="Z13" i="43"/>
  <c r="Z16" i="43"/>
  <c r="Z20" i="43"/>
  <c r="X22" i="43"/>
  <c r="X24" i="43"/>
  <c r="N12" i="44"/>
  <c r="J36" i="44"/>
  <c r="J34" i="44"/>
  <c r="J33" i="44"/>
  <c r="J31" i="44"/>
  <c r="J29" i="44"/>
  <c r="J27" i="44"/>
  <c r="J25" i="44"/>
  <c r="J21" i="44"/>
  <c r="J20" i="44"/>
  <c r="J18" i="44"/>
  <c r="J16" i="44"/>
  <c r="H18" i="44"/>
  <c r="J24" i="44"/>
  <c r="J15" i="44"/>
  <c r="J22" i="44"/>
  <c r="X13" i="44"/>
  <c r="Z15" i="44"/>
  <c r="X21" i="44"/>
  <c r="N12" i="46"/>
  <c r="J36" i="46"/>
  <c r="J34" i="46"/>
  <c r="J33" i="46"/>
  <c r="J31" i="46"/>
  <c r="J29" i="46"/>
  <c r="J27" i="46"/>
  <c r="J25" i="46"/>
  <c r="J24" i="46"/>
  <c r="J22" i="46"/>
  <c r="J21" i="46"/>
  <c r="J20" i="46"/>
  <c r="J18" i="46"/>
  <c r="J16" i="46"/>
  <c r="H18" i="46"/>
  <c r="J15" i="46"/>
  <c r="X13" i="46"/>
  <c r="Z15" i="46"/>
  <c r="X21" i="46"/>
  <c r="L12" i="47"/>
  <c r="F36" i="47"/>
  <c r="F34" i="47"/>
  <c r="F33" i="47"/>
  <c r="F31" i="47"/>
  <c r="F29" i="47"/>
  <c r="F27" i="47"/>
  <c r="F25" i="47"/>
  <c r="F24" i="47"/>
  <c r="F22" i="47"/>
  <c r="F21" i="47"/>
  <c r="D18" i="47"/>
  <c r="F15" i="47"/>
  <c r="F20" i="47"/>
  <c r="F18" i="47"/>
  <c r="F16" i="47"/>
  <c r="X16" i="47"/>
  <c r="X20" i="47"/>
  <c r="L16" i="49"/>
  <c r="Z34" i="50"/>
  <c r="Z21" i="43"/>
  <c r="X25" i="43"/>
  <c r="X29" i="43"/>
  <c r="X33" i="43"/>
  <c r="X34" i="43"/>
  <c r="Z13" i="44"/>
  <c r="Z16" i="44"/>
  <c r="Z20" i="44"/>
  <c r="X22" i="44"/>
  <c r="X24" i="44"/>
  <c r="Z13" i="46"/>
  <c r="Z16" i="46"/>
  <c r="Z20" i="46"/>
  <c r="X22" i="46"/>
  <c r="X24" i="46"/>
  <c r="N12" i="47"/>
  <c r="J36" i="47"/>
  <c r="J34" i="47"/>
  <c r="J33" i="47"/>
  <c r="J31" i="47"/>
  <c r="J29" i="47"/>
  <c r="J27" i="47"/>
  <c r="J25" i="47"/>
  <c r="J24" i="47"/>
  <c r="J22" i="47"/>
  <c r="J21" i="47"/>
  <c r="J20" i="47"/>
  <c r="J18" i="47"/>
  <c r="J16" i="47"/>
  <c r="H18" i="47"/>
  <c r="J15" i="47"/>
  <c r="X13" i="47"/>
  <c r="Z15" i="47"/>
  <c r="X21" i="47"/>
  <c r="X16" i="49"/>
  <c r="N29" i="50"/>
  <c r="L25" i="52"/>
  <c r="N20" i="53"/>
  <c r="X12" i="43"/>
  <c r="R36" i="43"/>
  <c r="R34" i="43"/>
  <c r="R33" i="43"/>
  <c r="R31" i="43"/>
  <c r="R29" i="43"/>
  <c r="R27" i="43"/>
  <c r="R25" i="43"/>
  <c r="R24" i="43"/>
  <c r="R22" i="43"/>
  <c r="R21" i="43"/>
  <c r="R20" i="43"/>
  <c r="R18" i="43"/>
  <c r="R16" i="43"/>
  <c r="P18" i="43"/>
  <c r="R15" i="43"/>
  <c r="Z22" i="43"/>
  <c r="Z24" i="43"/>
  <c r="Z21" i="44"/>
  <c r="X25" i="44"/>
  <c r="X29" i="44"/>
  <c r="X33" i="44"/>
  <c r="X34" i="44"/>
  <c r="Z21" i="46"/>
  <c r="X25" i="46"/>
  <c r="X29" i="46"/>
  <c r="X33" i="46"/>
  <c r="X34" i="46"/>
  <c r="Z13" i="47"/>
  <c r="Z16" i="47"/>
  <c r="Z20" i="47"/>
  <c r="X22" i="47"/>
  <c r="X24" i="47"/>
  <c r="X29" i="49"/>
  <c r="Z16" i="50"/>
  <c r="X22" i="50"/>
  <c r="X16" i="52"/>
  <c r="N29" i="53"/>
  <c r="Z12" i="43"/>
  <c r="V36" i="43"/>
  <c r="V34" i="43"/>
  <c r="V33" i="43"/>
  <c r="V31" i="43"/>
  <c r="V29" i="43"/>
  <c r="V27" i="43"/>
  <c r="V25" i="43"/>
  <c r="V24" i="43"/>
  <c r="V22" i="43"/>
  <c r="V21" i="43"/>
  <c r="V20" i="43"/>
  <c r="V18" i="43"/>
  <c r="V16" i="43"/>
  <c r="T18" i="43"/>
  <c r="V15" i="43"/>
  <c r="L15" i="43"/>
  <c r="Z25" i="43"/>
  <c r="Z29" i="43"/>
  <c r="Z33" i="43"/>
  <c r="Z34" i="43"/>
  <c r="X12" i="44"/>
  <c r="R36" i="44"/>
  <c r="R34" i="44"/>
  <c r="R33" i="44"/>
  <c r="R31" i="44"/>
  <c r="R29" i="44"/>
  <c r="R27" i="44"/>
  <c r="R25" i="44"/>
  <c r="R24" i="44"/>
  <c r="R22" i="44"/>
  <c r="R21" i="44"/>
  <c r="R20" i="44"/>
  <c r="R18" i="44"/>
  <c r="R16" i="44"/>
  <c r="P18" i="44"/>
  <c r="R15" i="44"/>
  <c r="Z22" i="44"/>
  <c r="Z24" i="44"/>
  <c r="X12" i="46"/>
  <c r="R36" i="46"/>
  <c r="R34" i="46"/>
  <c r="R33" i="46"/>
  <c r="R31" i="46"/>
  <c r="R29" i="46"/>
  <c r="R27" i="46"/>
  <c r="R25" i="46"/>
  <c r="R24" i="46"/>
  <c r="R22" i="46"/>
  <c r="R21" i="46"/>
  <c r="R20" i="46"/>
  <c r="R18" i="46"/>
  <c r="R16" i="46"/>
  <c r="P18" i="46"/>
  <c r="R15" i="46"/>
  <c r="Z22" i="46"/>
  <c r="Z24" i="46"/>
  <c r="Z21" i="47"/>
  <c r="X25" i="47"/>
  <c r="X29" i="47"/>
  <c r="X33" i="47"/>
  <c r="X34" i="47"/>
  <c r="Z29" i="50"/>
  <c r="L16" i="43"/>
  <c r="L20" i="43"/>
  <c r="V36" i="44"/>
  <c r="V34" i="44"/>
  <c r="V33" i="44"/>
  <c r="V31" i="44"/>
  <c r="V29" i="44"/>
  <c r="V27" i="44"/>
  <c r="V25" i="44"/>
  <c r="V24" i="44"/>
  <c r="V22" i="44"/>
  <c r="V21" i="44"/>
  <c r="V20" i="44"/>
  <c r="V18" i="44"/>
  <c r="V16" i="44"/>
  <c r="T18" i="44"/>
  <c r="V15" i="44"/>
  <c r="Z12" i="44"/>
  <c r="L15" i="44"/>
  <c r="Z25" i="44"/>
  <c r="Z29" i="44"/>
  <c r="Z33" i="44"/>
  <c r="Z34" i="44"/>
  <c r="V36" i="46"/>
  <c r="V34" i="46"/>
  <c r="V33" i="46"/>
  <c r="V31" i="46"/>
  <c r="V29" i="46"/>
  <c r="V27" i="46"/>
  <c r="V25" i="46"/>
  <c r="V24" i="46"/>
  <c r="V22" i="46"/>
  <c r="V21" i="46"/>
  <c r="V20" i="46"/>
  <c r="V18" i="46"/>
  <c r="V16" i="46"/>
  <c r="T18" i="46"/>
  <c r="V15" i="46"/>
  <c r="Z12" i="46"/>
  <c r="L15" i="46"/>
  <c r="Z25" i="46"/>
  <c r="Z29" i="46"/>
  <c r="Z33" i="46"/>
  <c r="Z34" i="46"/>
  <c r="R36" i="47"/>
  <c r="R34" i="47"/>
  <c r="R33" i="47"/>
  <c r="R31" i="47"/>
  <c r="R29" i="47"/>
  <c r="R27" i="47"/>
  <c r="R25" i="47"/>
  <c r="R24" i="47"/>
  <c r="R22" i="47"/>
  <c r="R21" i="47"/>
  <c r="R20" i="47"/>
  <c r="R18" i="47"/>
  <c r="R16" i="47"/>
  <c r="P18" i="47"/>
  <c r="R15" i="47"/>
  <c r="X12" i="47"/>
  <c r="Z22" i="47"/>
  <c r="Z24" i="47"/>
  <c r="F36" i="49"/>
  <c r="F34" i="49"/>
  <c r="F33" i="49"/>
  <c r="F31" i="49"/>
  <c r="F29" i="49"/>
  <c r="F27" i="49"/>
  <c r="F25" i="49"/>
  <c r="F24" i="49"/>
  <c r="F22" i="49"/>
  <c r="F21" i="49"/>
  <c r="F20" i="49"/>
  <c r="F18" i="49"/>
  <c r="F16" i="49"/>
  <c r="L12" i="49"/>
  <c r="D18" i="49"/>
  <c r="F15" i="49"/>
  <c r="N15" i="43"/>
  <c r="L21" i="43"/>
  <c r="L16" i="44"/>
  <c r="L20" i="44"/>
  <c r="L16" i="46"/>
  <c r="L20" i="46"/>
  <c r="V24" i="47"/>
  <c r="V22" i="47"/>
  <c r="V21" i="47"/>
  <c r="V20" i="47"/>
  <c r="V18" i="47"/>
  <c r="V16" i="47"/>
  <c r="T18" i="47"/>
  <c r="V15" i="47"/>
  <c r="V36" i="47"/>
  <c r="V34" i="47"/>
  <c r="V33" i="47"/>
  <c r="V31" i="47"/>
  <c r="V29" i="47"/>
  <c r="V27" i="47"/>
  <c r="V25" i="47"/>
  <c r="Z12" i="47"/>
  <c r="L15" i="47"/>
  <c r="Z25" i="47"/>
  <c r="Z29" i="47"/>
  <c r="Z33" i="47"/>
  <c r="Z34" i="47"/>
  <c r="X24" i="50"/>
  <c r="L29" i="52"/>
  <c r="L22" i="53"/>
  <c r="Z13" i="49"/>
  <c r="Z16" i="49"/>
  <c r="Z20" i="49"/>
  <c r="X22" i="49"/>
  <c r="X24" i="49"/>
  <c r="J36" i="50"/>
  <c r="J34" i="50"/>
  <c r="J33" i="50"/>
  <c r="J31" i="50"/>
  <c r="J29" i="50"/>
  <c r="J27" i="50"/>
  <c r="J25" i="50"/>
  <c r="J21" i="50"/>
  <c r="J20" i="50"/>
  <c r="J18" i="50"/>
  <c r="J16" i="50"/>
  <c r="H18" i="50"/>
  <c r="J15" i="50"/>
  <c r="N12" i="50"/>
  <c r="J24" i="50"/>
  <c r="J22" i="50"/>
  <c r="X13" i="50"/>
  <c r="Z15" i="50"/>
  <c r="X21" i="50"/>
  <c r="N16" i="52"/>
  <c r="N20" i="52"/>
  <c r="L22" i="52"/>
  <c r="L24" i="52"/>
  <c r="N15" i="53"/>
  <c r="L21" i="53"/>
  <c r="R20" i="49"/>
  <c r="R18" i="49"/>
  <c r="R16" i="49"/>
  <c r="R36" i="49"/>
  <c r="R34" i="49"/>
  <c r="R33" i="49"/>
  <c r="R31" i="49"/>
  <c r="R29" i="49"/>
  <c r="R27" i="49"/>
  <c r="R25" i="49"/>
  <c r="R21" i="49"/>
  <c r="R24" i="49"/>
  <c r="P18" i="49"/>
  <c r="R22" i="49"/>
  <c r="R15" i="49"/>
  <c r="X12" i="49"/>
  <c r="Z22" i="49"/>
  <c r="Z24" i="49"/>
  <c r="Z21" i="50"/>
  <c r="X25" i="50"/>
  <c r="X29" i="50"/>
  <c r="X33" i="50"/>
  <c r="X34" i="50"/>
  <c r="N13" i="52"/>
  <c r="N22" i="52"/>
  <c r="N24" i="52"/>
  <c r="L13" i="53"/>
  <c r="N21" i="53"/>
  <c r="L25" i="53"/>
  <c r="L29" i="53"/>
  <c r="L33" i="53"/>
  <c r="L34" i="53"/>
  <c r="Z12" i="49"/>
  <c r="V24" i="49"/>
  <c r="V22" i="49"/>
  <c r="V21" i="49"/>
  <c r="T18" i="49"/>
  <c r="V15" i="49"/>
  <c r="V18" i="49"/>
  <c r="V36" i="49"/>
  <c r="V29" i="49"/>
  <c r="V16" i="49"/>
  <c r="V34" i="49"/>
  <c r="V27" i="49"/>
  <c r="V33" i="49"/>
  <c r="V25" i="49"/>
  <c r="V20" i="49"/>
  <c r="V31" i="49"/>
  <c r="L15" i="49"/>
  <c r="Z25" i="49"/>
  <c r="Z29" i="49"/>
  <c r="Z33" i="49"/>
  <c r="Z34" i="49"/>
  <c r="P18" i="50"/>
  <c r="R15" i="50"/>
  <c r="X12" i="50"/>
  <c r="R36" i="50"/>
  <c r="R34" i="50"/>
  <c r="R33" i="50"/>
  <c r="R31" i="50"/>
  <c r="R29" i="50"/>
  <c r="R27" i="50"/>
  <c r="R25" i="50"/>
  <c r="R24" i="50"/>
  <c r="R22" i="50"/>
  <c r="R20" i="50"/>
  <c r="R18" i="50"/>
  <c r="R16" i="50"/>
  <c r="R21" i="50"/>
  <c r="Z22" i="50"/>
  <c r="Z24" i="50"/>
  <c r="X15" i="52"/>
  <c r="N25" i="52"/>
  <c r="N29" i="52"/>
  <c r="N33" i="52"/>
  <c r="N34" i="52"/>
  <c r="N13" i="53"/>
  <c r="N22" i="53"/>
  <c r="N24" i="53"/>
  <c r="N15" i="49"/>
  <c r="L21" i="49"/>
  <c r="L16" i="50"/>
  <c r="L20" i="50"/>
  <c r="N12" i="52"/>
  <c r="J24" i="52"/>
  <c r="J22" i="52"/>
  <c r="J21" i="52"/>
  <c r="H18" i="52"/>
  <c r="J15" i="52"/>
  <c r="J20" i="52"/>
  <c r="J27" i="52"/>
  <c r="J18" i="52"/>
  <c r="J36" i="52"/>
  <c r="J25" i="52"/>
  <c r="J16" i="52"/>
  <c r="J34" i="52"/>
  <c r="J33" i="52"/>
  <c r="J31" i="52"/>
  <c r="J29" i="52"/>
  <c r="X13" i="52"/>
  <c r="Z15" i="52"/>
  <c r="X21" i="52"/>
  <c r="D18" i="53"/>
  <c r="F15" i="53"/>
  <c r="L12" i="53"/>
  <c r="F36" i="53"/>
  <c r="F34" i="53"/>
  <c r="F33" i="53"/>
  <c r="F31" i="53"/>
  <c r="F29" i="53"/>
  <c r="F27" i="53"/>
  <c r="F25" i="53"/>
  <c r="F24" i="53"/>
  <c r="F22" i="53"/>
  <c r="F20" i="53"/>
  <c r="F18" i="53"/>
  <c r="F16" i="53"/>
  <c r="F21" i="53"/>
  <c r="X16" i="53"/>
  <c r="X20" i="53"/>
  <c r="N16" i="49"/>
  <c r="N20" i="49"/>
  <c r="L22" i="49"/>
  <c r="L24" i="49"/>
  <c r="N15" i="50"/>
  <c r="L21" i="50"/>
  <c r="Z13" i="52"/>
  <c r="Z16" i="52"/>
  <c r="Z20" i="52"/>
  <c r="X22" i="52"/>
  <c r="X24" i="52"/>
  <c r="N12" i="53"/>
  <c r="J36" i="53"/>
  <c r="J34" i="53"/>
  <c r="J33" i="53"/>
  <c r="J31" i="53"/>
  <c r="J29" i="53"/>
  <c r="J27" i="53"/>
  <c r="J25" i="53"/>
  <c r="J21" i="53"/>
  <c r="J20" i="53"/>
  <c r="J18" i="53"/>
  <c r="J16" i="53"/>
  <c r="H18" i="53"/>
  <c r="J24" i="53"/>
  <c r="J22" i="53"/>
  <c r="J15" i="53"/>
  <c r="X13" i="53"/>
  <c r="Z15" i="53"/>
  <c r="X21" i="53"/>
  <c r="L13" i="49"/>
  <c r="N21" i="49"/>
  <c r="L25" i="49"/>
  <c r="L29" i="49"/>
  <c r="L33" i="49"/>
  <c r="L34" i="49"/>
  <c r="N16" i="50"/>
  <c r="N20" i="50"/>
  <c r="L22" i="50"/>
  <c r="L24" i="50"/>
  <c r="Z21" i="52"/>
  <c r="X25" i="52"/>
  <c r="X29" i="52"/>
  <c r="X33" i="52"/>
  <c r="X34" i="52"/>
  <c r="Z13" i="53"/>
  <c r="Z16" i="53"/>
  <c r="Z20" i="53"/>
  <c r="X22" i="53"/>
  <c r="X24" i="53"/>
  <c r="N13" i="49"/>
  <c r="N22" i="49"/>
  <c r="N24" i="49"/>
  <c r="L13" i="50"/>
  <c r="N21" i="50"/>
  <c r="L25" i="50"/>
  <c r="L29" i="50"/>
  <c r="L33" i="50"/>
  <c r="L34" i="50"/>
  <c r="X12" i="52"/>
  <c r="R36" i="52"/>
  <c r="R34" i="52"/>
  <c r="R33" i="52"/>
  <c r="R31" i="52"/>
  <c r="R29" i="52"/>
  <c r="R27" i="52"/>
  <c r="R25" i="52"/>
  <c r="R24" i="52"/>
  <c r="R22" i="52"/>
  <c r="R21" i="52"/>
  <c r="R20" i="52"/>
  <c r="R18" i="52"/>
  <c r="R16" i="52"/>
  <c r="P18" i="52"/>
  <c r="R15" i="52"/>
  <c r="Z22" i="52"/>
  <c r="Z24" i="52"/>
  <c r="Z21" i="53"/>
  <c r="X25" i="53"/>
  <c r="X29" i="53"/>
  <c r="X33" i="53"/>
  <c r="X34" i="53"/>
  <c r="X15" i="49"/>
  <c r="N25" i="49"/>
  <c r="N29" i="49"/>
  <c r="N33" i="49"/>
  <c r="N34" i="49"/>
  <c r="N13" i="50"/>
  <c r="N22" i="50"/>
  <c r="N24" i="50"/>
  <c r="Z12" i="52"/>
  <c r="V36" i="52"/>
  <c r="V34" i="52"/>
  <c r="V33" i="52"/>
  <c r="V31" i="52"/>
  <c r="V29" i="52"/>
  <c r="V27" i="52"/>
  <c r="V25" i="52"/>
  <c r="V24" i="52"/>
  <c r="V22" i="52"/>
  <c r="V21" i="52"/>
  <c r="V20" i="52"/>
  <c r="V18" i="52"/>
  <c r="V16" i="52"/>
  <c r="T18" i="52"/>
  <c r="V15" i="52"/>
  <c r="L15" i="52"/>
  <c r="Z25" i="52"/>
  <c r="Z29" i="52"/>
  <c r="Z33" i="52"/>
  <c r="Z34" i="52"/>
  <c r="X12" i="53"/>
  <c r="R36" i="53"/>
  <c r="R34" i="53"/>
  <c r="R33" i="53"/>
  <c r="R31" i="53"/>
  <c r="R29" i="53"/>
  <c r="R27" i="53"/>
  <c r="R25" i="53"/>
  <c r="R24" i="53"/>
  <c r="R22" i="53"/>
  <c r="R21" i="53"/>
  <c r="R20" i="53"/>
  <c r="R18" i="53"/>
  <c r="R16" i="53"/>
  <c r="P18" i="53"/>
  <c r="R15" i="53"/>
  <c r="Z22" i="53"/>
  <c r="Z24" i="53"/>
  <c r="L16" i="52"/>
  <c r="L20" i="52"/>
  <c r="V36" i="53"/>
  <c r="V34" i="53"/>
  <c r="V33" i="53"/>
  <c r="V31" i="53"/>
  <c r="V29" i="53"/>
  <c r="V27" i="53"/>
  <c r="V25" i="53"/>
  <c r="V24" i="53"/>
  <c r="V22" i="53"/>
  <c r="V21" i="53"/>
  <c r="V20" i="53"/>
  <c r="V18" i="53"/>
  <c r="V16" i="53"/>
  <c r="T18" i="53"/>
  <c r="V15" i="53"/>
  <c r="Z12" i="53"/>
  <c r="L15" i="53"/>
  <c r="Z25" i="53"/>
  <c r="Z29" i="53"/>
  <c r="Z33" i="53"/>
  <c r="Z34" i="53"/>
  <c r="J24" i="49"/>
  <c r="J22" i="49"/>
  <c r="J21" i="49"/>
  <c r="J20" i="49"/>
  <c r="J18" i="49"/>
  <c r="J16" i="49"/>
  <c r="H18" i="49"/>
  <c r="J15" i="49"/>
  <c r="N12" i="49"/>
  <c r="J31" i="49"/>
  <c r="J36" i="49"/>
  <c r="J29" i="49"/>
  <c r="J34" i="49"/>
  <c r="J27" i="49"/>
  <c r="J33" i="49"/>
  <c r="J25" i="49"/>
  <c r="X13" i="49"/>
  <c r="Z15" i="49"/>
  <c r="X21" i="49"/>
  <c r="F36" i="50"/>
  <c r="F34" i="50"/>
  <c r="F33" i="50"/>
  <c r="F31" i="50"/>
  <c r="F29" i="50"/>
  <c r="F27" i="50"/>
  <c r="F25" i="50"/>
  <c r="F24" i="50"/>
  <c r="F22" i="50"/>
  <c r="F21" i="50"/>
  <c r="F20" i="50"/>
  <c r="F18" i="50"/>
  <c r="F16" i="50"/>
  <c r="D18" i="50"/>
  <c r="F15" i="50"/>
  <c r="L12" i="50"/>
  <c r="X16" i="50"/>
  <c r="X20" i="50"/>
  <c r="N15" i="52"/>
  <c r="L21" i="52"/>
  <c r="L16" i="53"/>
  <c r="L20" i="53"/>
  <c r="X29" i="110"/>
  <c r="X13" i="111"/>
  <c r="J36" i="111"/>
  <c r="J34" i="111"/>
  <c r="J33" i="111"/>
  <c r="J31" i="111"/>
  <c r="J29" i="111"/>
  <c r="J27" i="111"/>
  <c r="J25" i="111"/>
  <c r="J24" i="111"/>
  <c r="J22" i="111"/>
  <c r="J21" i="111"/>
  <c r="J20" i="111"/>
  <c r="J18" i="111"/>
  <c r="J16" i="111"/>
  <c r="H18" i="111"/>
  <c r="J15" i="111"/>
  <c r="N12" i="111"/>
  <c r="Z15" i="111"/>
  <c r="Z21" i="110"/>
  <c r="R21" i="110"/>
  <c r="R20" i="110"/>
  <c r="R18" i="110"/>
  <c r="R16" i="110"/>
  <c r="P18" i="110"/>
  <c r="R15" i="110"/>
  <c r="X12" i="110"/>
  <c r="R36" i="110"/>
  <c r="R25" i="110"/>
  <c r="R34" i="110"/>
  <c r="R24" i="110"/>
  <c r="R33" i="110"/>
  <c r="R22" i="110"/>
  <c r="R31" i="110"/>
  <c r="R29" i="110"/>
  <c r="R27" i="110"/>
  <c r="X33" i="110"/>
  <c r="Z22" i="110"/>
  <c r="X21" i="111"/>
  <c r="X15" i="112"/>
  <c r="X34" i="110"/>
  <c r="Z24" i="110"/>
  <c r="X25" i="110"/>
  <c r="N25" i="112"/>
  <c r="N29" i="112"/>
  <c r="N33" i="112"/>
  <c r="N34" i="112"/>
  <c r="Z13" i="111"/>
  <c r="Z16" i="111"/>
  <c r="Z20" i="111"/>
  <c r="X22" i="111"/>
  <c r="X24" i="111"/>
  <c r="F36" i="112"/>
  <c r="F34" i="112"/>
  <c r="F33" i="112"/>
  <c r="F31" i="112"/>
  <c r="F29" i="112"/>
  <c r="F27" i="112"/>
  <c r="F25" i="112"/>
  <c r="F24" i="112"/>
  <c r="F22" i="112"/>
  <c r="F21" i="112"/>
  <c r="F20" i="112"/>
  <c r="F18" i="112"/>
  <c r="F16" i="112"/>
  <c r="D18" i="112"/>
  <c r="F15" i="112"/>
  <c r="L12" i="112"/>
  <c r="X16" i="112"/>
  <c r="X20" i="112"/>
  <c r="T18" i="110"/>
  <c r="V15" i="110"/>
  <c r="Z12" i="110"/>
  <c r="V36" i="110"/>
  <c r="V34" i="110"/>
  <c r="V33" i="110"/>
  <c r="V31" i="110"/>
  <c r="V29" i="110"/>
  <c r="V27" i="110"/>
  <c r="V25" i="110"/>
  <c r="V24" i="110"/>
  <c r="V22" i="110"/>
  <c r="V16" i="110"/>
  <c r="V21" i="110"/>
  <c r="V18" i="110"/>
  <c r="V20" i="110"/>
  <c r="L15" i="110"/>
  <c r="Z25" i="110"/>
  <c r="Z29" i="110"/>
  <c r="Z33" i="110"/>
  <c r="Z34" i="110"/>
  <c r="Z21" i="111"/>
  <c r="X25" i="111"/>
  <c r="X29" i="111"/>
  <c r="X33" i="111"/>
  <c r="X34" i="111"/>
  <c r="J21" i="112"/>
  <c r="J20" i="112"/>
  <c r="J18" i="112"/>
  <c r="J16" i="112"/>
  <c r="H18" i="112"/>
  <c r="J15" i="112"/>
  <c r="N12" i="112"/>
  <c r="J36" i="112"/>
  <c r="J34" i="112"/>
  <c r="J33" i="112"/>
  <c r="J31" i="112"/>
  <c r="J29" i="112"/>
  <c r="J27" i="112"/>
  <c r="J25" i="112"/>
  <c r="J24" i="112"/>
  <c r="J22" i="112"/>
  <c r="X13" i="112"/>
  <c r="Z15" i="112"/>
  <c r="X21" i="112"/>
  <c r="L16" i="110"/>
  <c r="L20" i="110"/>
  <c r="P18" i="111"/>
  <c r="R15" i="111"/>
  <c r="X12" i="111"/>
  <c r="R36" i="111"/>
  <c r="R34" i="111"/>
  <c r="R33" i="111"/>
  <c r="R31" i="111"/>
  <c r="R29" i="111"/>
  <c r="R27" i="111"/>
  <c r="R25" i="111"/>
  <c r="R24" i="111"/>
  <c r="R22" i="111"/>
  <c r="R21" i="111"/>
  <c r="R20" i="111"/>
  <c r="R18" i="111"/>
  <c r="R16" i="111"/>
  <c r="Z22" i="111"/>
  <c r="Z24" i="111"/>
  <c r="Z13" i="112"/>
  <c r="Z16" i="112"/>
  <c r="Z20" i="112"/>
  <c r="X22" i="112"/>
  <c r="X24" i="112"/>
  <c r="N15" i="110"/>
  <c r="L21" i="110"/>
  <c r="Z12" i="111"/>
  <c r="V36" i="111"/>
  <c r="V34" i="111"/>
  <c r="V33" i="111"/>
  <c r="V31" i="111"/>
  <c r="V29" i="111"/>
  <c r="V27" i="111"/>
  <c r="V25" i="111"/>
  <c r="V24" i="111"/>
  <c r="V22" i="111"/>
  <c r="V21" i="111"/>
  <c r="V20" i="111"/>
  <c r="V18" i="111"/>
  <c r="V16" i="111"/>
  <c r="T18" i="111"/>
  <c r="V15" i="111"/>
  <c r="L15" i="111"/>
  <c r="Z25" i="111"/>
  <c r="Z29" i="111"/>
  <c r="Z33" i="111"/>
  <c r="Z34" i="111"/>
  <c r="Z21" i="112"/>
  <c r="X25" i="112"/>
  <c r="X29" i="112"/>
  <c r="X33" i="112"/>
  <c r="X34" i="112"/>
  <c r="N16" i="110"/>
  <c r="N20" i="110"/>
  <c r="L22" i="110"/>
  <c r="L24" i="110"/>
  <c r="L16" i="111"/>
  <c r="L20" i="111"/>
  <c r="X12" i="112"/>
  <c r="R36" i="112"/>
  <c r="R34" i="112"/>
  <c r="R33" i="112"/>
  <c r="R31" i="112"/>
  <c r="R29" i="112"/>
  <c r="R27" i="112"/>
  <c r="R25" i="112"/>
  <c r="R24" i="112"/>
  <c r="R22" i="112"/>
  <c r="R21" i="112"/>
  <c r="R20" i="112"/>
  <c r="R18" i="112"/>
  <c r="R16" i="112"/>
  <c r="P18" i="112"/>
  <c r="R15" i="112"/>
  <c r="Z22" i="112"/>
  <c r="Z24" i="112"/>
  <c r="L13" i="110"/>
  <c r="N21" i="110"/>
  <c r="L25" i="110"/>
  <c r="L29" i="110"/>
  <c r="L33" i="110"/>
  <c r="L34" i="110"/>
  <c r="N15" i="111"/>
  <c r="L21" i="111"/>
  <c r="Z12" i="112"/>
  <c r="V36" i="112"/>
  <c r="V34" i="112"/>
  <c r="V33" i="112"/>
  <c r="V31" i="112"/>
  <c r="V29" i="112"/>
  <c r="V27" i="112"/>
  <c r="V25" i="112"/>
  <c r="V24" i="112"/>
  <c r="V22" i="112"/>
  <c r="V21" i="112"/>
  <c r="V20" i="112"/>
  <c r="V18" i="112"/>
  <c r="V16" i="112"/>
  <c r="T18" i="112"/>
  <c r="V15" i="112"/>
  <c r="L15" i="112"/>
  <c r="Z25" i="112"/>
  <c r="Z29" i="112"/>
  <c r="Z33" i="112"/>
  <c r="Z34" i="112"/>
  <c r="N13" i="110"/>
  <c r="N22" i="110"/>
  <c r="N24" i="110"/>
  <c r="N16" i="111"/>
  <c r="N20" i="111"/>
  <c r="L22" i="111"/>
  <c r="L24" i="111"/>
  <c r="L16" i="112"/>
  <c r="L20" i="112"/>
  <c r="X15" i="110"/>
  <c r="N25" i="110"/>
  <c r="N29" i="110"/>
  <c r="N33" i="110"/>
  <c r="N34" i="110"/>
  <c r="L13" i="111"/>
  <c r="N21" i="111"/>
  <c r="L25" i="111"/>
  <c r="L29" i="111"/>
  <c r="L33" i="111"/>
  <c r="L34" i="111"/>
  <c r="N15" i="112"/>
  <c r="L21" i="112"/>
  <c r="L12" i="110"/>
  <c r="F36" i="110"/>
  <c r="F34" i="110"/>
  <c r="F33" i="110"/>
  <c r="F31" i="110"/>
  <c r="F29" i="110"/>
  <c r="F27" i="110"/>
  <c r="F25" i="110"/>
  <c r="F24" i="110"/>
  <c r="F22" i="110"/>
  <c r="F21" i="110"/>
  <c r="F20" i="110"/>
  <c r="F18" i="110"/>
  <c r="F16" i="110"/>
  <c r="D18" i="110"/>
  <c r="F15" i="110"/>
  <c r="X16" i="110"/>
  <c r="X20" i="110"/>
  <c r="N13" i="111"/>
  <c r="N22" i="111"/>
  <c r="N24" i="111"/>
  <c r="N16" i="112"/>
  <c r="N20" i="112"/>
  <c r="L22" i="112"/>
  <c r="L24" i="112"/>
  <c r="J36" i="110"/>
  <c r="J34" i="110"/>
  <c r="J33" i="110"/>
  <c r="J31" i="110"/>
  <c r="J29" i="110"/>
  <c r="J27" i="110"/>
  <c r="J25" i="110"/>
  <c r="J24" i="110"/>
  <c r="J22" i="110"/>
  <c r="J21" i="110"/>
  <c r="J20" i="110"/>
  <c r="J18" i="110"/>
  <c r="J16" i="110"/>
  <c r="H18" i="110"/>
  <c r="J15" i="110"/>
  <c r="N12" i="110"/>
  <c r="X13" i="110"/>
  <c r="Z15" i="110"/>
  <c r="X21" i="110"/>
  <c r="X15" i="111"/>
  <c r="N25" i="111"/>
  <c r="N29" i="111"/>
  <c r="N33" i="111"/>
  <c r="N34" i="111"/>
  <c r="L13" i="112"/>
  <c r="N21" i="112"/>
  <c r="L25" i="112"/>
  <c r="L29" i="112"/>
  <c r="L33" i="112"/>
  <c r="L34" i="112"/>
  <c r="Z13" i="110"/>
  <c r="Z16" i="110"/>
  <c r="Z20" i="110"/>
  <c r="X22" i="110"/>
  <c r="X24" i="110"/>
  <c r="F36" i="111"/>
  <c r="F34" i="111"/>
  <c r="F33" i="111"/>
  <c r="F31" i="111"/>
  <c r="F29" i="111"/>
  <c r="F27" i="111"/>
  <c r="F25" i="111"/>
  <c r="F24" i="111"/>
  <c r="F22" i="111"/>
  <c r="F21" i="111"/>
  <c r="F20" i="111"/>
  <c r="F18" i="111"/>
  <c r="F16" i="111"/>
  <c r="D18" i="111"/>
  <c r="F15" i="111"/>
  <c r="L12" i="111"/>
  <c r="X16" i="111"/>
  <c r="X20" i="111"/>
  <c r="N13" i="112"/>
  <c r="N22" i="112"/>
  <c r="N24" i="112"/>
  <c r="Z16" i="3"/>
  <c r="Z41" i="3"/>
  <c r="Z43" i="3"/>
  <c r="Z95" i="3"/>
  <c r="N102" i="3"/>
  <c r="Z119" i="3"/>
  <c r="V283" i="3"/>
  <c r="V273" i="3"/>
  <c r="V257" i="3"/>
  <c r="V280" i="3"/>
  <c r="V272" i="3"/>
  <c r="V256" i="3"/>
  <c r="V252" i="3"/>
  <c r="V240" i="3"/>
  <c r="V228" i="3"/>
  <c r="V220" i="3"/>
  <c r="V212" i="3"/>
  <c r="V293" i="3"/>
  <c r="V275" i="3"/>
  <c r="V267" i="3"/>
  <c r="V263" i="3"/>
  <c r="V247" i="3"/>
  <c r="V239" i="3"/>
  <c r="V219" i="3"/>
  <c r="V292" i="3"/>
  <c r="V274" i="3"/>
  <c r="V258" i="3"/>
  <c r="V246" i="3"/>
  <c r="V242" i="3"/>
  <c r="V291" i="3"/>
  <c r="V253" i="3"/>
  <c r="V241" i="3"/>
  <c r="V229" i="3"/>
  <c r="V221" i="3"/>
  <c r="V290" i="3"/>
  <c r="V276" i="3"/>
  <c r="V268" i="3"/>
  <c r="V264" i="3"/>
  <c r="V260" i="3"/>
  <c r="V248" i="3"/>
  <c r="V232" i="3"/>
  <c r="V224" i="3"/>
  <c r="V204" i="3"/>
  <c r="V200" i="3"/>
  <c r="V302" i="3"/>
  <c r="V301" i="3"/>
  <c r="V297" i="3"/>
  <c r="V289" i="3"/>
  <c r="V259" i="3"/>
  <c r="V243" i="3"/>
  <c r="V231" i="3"/>
  <c r="V223" i="3"/>
  <c r="V215" i="3"/>
  <c r="V207" i="3"/>
  <c r="V195" i="3"/>
  <c r="V191" i="3"/>
  <c r="V187" i="3"/>
  <c r="V287" i="3"/>
  <c r="V277" i="3"/>
  <c r="V269" i="3"/>
  <c r="V265" i="3"/>
  <c r="V261" i="3"/>
  <c r="V249" i="3"/>
  <c r="V233" i="3"/>
  <c r="V225" i="3"/>
  <c r="V209" i="3"/>
  <c r="V201" i="3"/>
  <c r="V286" i="3"/>
  <c r="V244" i="3"/>
  <c r="V236" i="3"/>
  <c r="V216" i="3"/>
  <c r="V208" i="3"/>
  <c r="V196" i="3"/>
  <c r="V192" i="3"/>
  <c r="V188" i="3"/>
  <c r="V284" i="3"/>
  <c r="V278" i="3"/>
  <c r="V266" i="3"/>
  <c r="V262" i="3"/>
  <c r="V250" i="3"/>
  <c r="V238" i="3"/>
  <c r="V226" i="3"/>
  <c r="V218" i="3"/>
  <c r="V210" i="3"/>
  <c r="V202" i="3"/>
  <c r="V198" i="3"/>
  <c r="V285" i="3"/>
  <c r="V245" i="3"/>
  <c r="V234" i="3"/>
  <c r="V211" i="3"/>
  <c r="V203" i="3"/>
  <c r="V180" i="3"/>
  <c r="V176" i="3"/>
  <c r="V172" i="3"/>
  <c r="V168" i="3"/>
  <c r="V164" i="3"/>
  <c r="V160" i="3"/>
  <c r="V156" i="3"/>
  <c r="V152" i="3"/>
  <c r="V148" i="3"/>
  <c r="V144" i="3"/>
  <c r="V136" i="3"/>
  <c r="V132" i="3"/>
  <c r="V128" i="3"/>
  <c r="V270" i="3"/>
  <c r="V199" i="3"/>
  <c r="V279" i="3"/>
  <c r="V206" i="3"/>
  <c r="V197" i="3"/>
  <c r="V194" i="3"/>
  <c r="V288" i="3"/>
  <c r="V177" i="3"/>
  <c r="V173" i="3"/>
  <c r="V169" i="3"/>
  <c r="V165" i="3"/>
  <c r="V161" i="3"/>
  <c r="V157" i="3"/>
  <c r="V153" i="3"/>
  <c r="V149" i="3"/>
  <c r="V145" i="3"/>
  <c r="V141" i="3"/>
  <c r="V137" i="3"/>
  <c r="V133" i="3"/>
  <c r="V129" i="3"/>
  <c r="V230" i="3"/>
  <c r="V213" i="3"/>
  <c r="V181" i="3"/>
  <c r="Z12" i="3"/>
  <c r="V251" i="3"/>
  <c r="V222" i="3"/>
  <c r="V217" i="3"/>
  <c r="V189" i="3"/>
  <c r="V186" i="3"/>
  <c r="V255" i="3"/>
  <c r="V185" i="3"/>
  <c r="T183" i="3"/>
  <c r="V183" i="3" s="1"/>
  <c r="V178" i="3"/>
  <c r="V174" i="3"/>
  <c r="V170" i="3"/>
  <c r="V166" i="3"/>
  <c r="V162" i="3"/>
  <c r="V158" i="3"/>
  <c r="V154" i="3"/>
  <c r="V150" i="3"/>
  <c r="V146" i="3"/>
  <c r="V142" i="3"/>
  <c r="V138" i="3"/>
  <c r="V134" i="3"/>
  <c r="V130" i="3"/>
  <c r="V235" i="3"/>
  <c r="V227" i="3"/>
  <c r="V205" i="3"/>
  <c r="V135" i="3"/>
  <c r="V127" i="3"/>
  <c r="V237" i="3"/>
  <c r="V190" i="3"/>
  <c r="V143" i="3"/>
  <c r="V131" i="3"/>
  <c r="V271" i="3"/>
  <c r="V179" i="3"/>
  <c r="V175" i="3"/>
  <c r="V171" i="3"/>
  <c r="V167" i="3"/>
  <c r="V163" i="3"/>
  <c r="V159" i="3"/>
  <c r="V155" i="3"/>
  <c r="V151" i="3"/>
  <c r="V147" i="3"/>
  <c r="V139" i="3"/>
  <c r="V254" i="3"/>
  <c r="V214" i="3"/>
  <c r="V193" i="3"/>
  <c r="V140" i="3"/>
  <c r="F291" i="3"/>
  <c r="F254" i="3"/>
  <c r="F290" i="3"/>
  <c r="F277" i="3"/>
  <c r="F269" i="3"/>
  <c r="F265" i="3"/>
  <c r="F261" i="3"/>
  <c r="F260" i="3"/>
  <c r="F249" i="3"/>
  <c r="F233" i="3"/>
  <c r="F232" i="3"/>
  <c r="F225" i="3"/>
  <c r="F224" i="3"/>
  <c r="F201" i="3"/>
  <c r="F302" i="3"/>
  <c r="F301" i="3"/>
  <c r="F289" i="3"/>
  <c r="F244" i="3"/>
  <c r="F216" i="3"/>
  <c r="F215" i="3"/>
  <c r="F208" i="3"/>
  <c r="F207" i="3"/>
  <c r="F288" i="3"/>
  <c r="F271" i="3"/>
  <c r="F270" i="3"/>
  <c r="F255" i="3"/>
  <c r="F287" i="3"/>
  <c r="F278" i="3"/>
  <c r="F266" i="3"/>
  <c r="F262" i="3"/>
  <c r="F250" i="3"/>
  <c r="F226" i="3"/>
  <c r="F286" i="3"/>
  <c r="F245" i="3"/>
  <c r="F237" i="3"/>
  <c r="F236" i="3"/>
  <c r="F217" i="3"/>
  <c r="F285" i="3"/>
  <c r="F280" i="3"/>
  <c r="F279" i="3"/>
  <c r="F272" i="3"/>
  <c r="F256" i="3"/>
  <c r="F252" i="3"/>
  <c r="F251" i="3"/>
  <c r="F228" i="3"/>
  <c r="F227" i="3"/>
  <c r="F212" i="3"/>
  <c r="F211" i="3"/>
  <c r="F283" i="3"/>
  <c r="F274" i="3"/>
  <c r="F273" i="3"/>
  <c r="F258" i="3"/>
  <c r="F257" i="3"/>
  <c r="F246" i="3"/>
  <c r="F282" i="3"/>
  <c r="F253" i="3"/>
  <c r="F241" i="3"/>
  <c r="F240" i="3"/>
  <c r="F229" i="3"/>
  <c r="F221" i="3"/>
  <c r="F220" i="3"/>
  <c r="F213" i="3"/>
  <c r="F297" i="3"/>
  <c r="F292" i="3"/>
  <c r="F259" i="3"/>
  <c r="F243" i="3"/>
  <c r="F242" i="3"/>
  <c r="F231" i="3"/>
  <c r="F230" i="3"/>
  <c r="F223" i="3"/>
  <c r="F222" i="3"/>
  <c r="F195" i="3"/>
  <c r="F191" i="3"/>
  <c r="F218" i="3"/>
  <c r="F183" i="3"/>
  <c r="F214" i="3"/>
  <c r="F210" i="3"/>
  <c r="F205" i="3"/>
  <c r="F190" i="3"/>
  <c r="F187" i="3"/>
  <c r="F186" i="3"/>
  <c r="F185" i="3"/>
  <c r="D183" i="3"/>
  <c r="F159" i="3"/>
  <c r="F147" i="3"/>
  <c r="F143" i="3"/>
  <c r="F139" i="3"/>
  <c r="F135" i="3"/>
  <c r="F131" i="3"/>
  <c r="F275" i="3"/>
  <c r="F247" i="3"/>
  <c r="F179" i="3"/>
  <c r="F175" i="3"/>
  <c r="F171" i="3"/>
  <c r="F167" i="3"/>
  <c r="F163" i="3"/>
  <c r="F155" i="3"/>
  <c r="F151" i="3"/>
  <c r="F238" i="3"/>
  <c r="F193" i="3"/>
  <c r="F202" i="3"/>
  <c r="F268" i="3"/>
  <c r="F263" i="3"/>
  <c r="F219" i="3"/>
  <c r="F206" i="3"/>
  <c r="F203" i="3"/>
  <c r="F196" i="3"/>
  <c r="F234" i="3"/>
  <c r="F199" i="3"/>
  <c r="F188" i="3"/>
  <c r="F180" i="3"/>
  <c r="F176" i="3"/>
  <c r="F172" i="3"/>
  <c r="F168" i="3"/>
  <c r="F164" i="3"/>
  <c r="F160" i="3"/>
  <c r="F156" i="3"/>
  <c r="F152" i="3"/>
  <c r="F148" i="3"/>
  <c r="F144" i="3"/>
  <c r="F140" i="3"/>
  <c r="F136" i="3"/>
  <c r="F132" i="3"/>
  <c r="F128" i="3"/>
  <c r="F127" i="3"/>
  <c r="F192" i="3"/>
  <c r="F248" i="3"/>
  <c r="F194" i="3"/>
  <c r="L12" i="3"/>
  <c r="F284" i="3"/>
  <c r="F235" i="3"/>
  <c r="F276" i="3"/>
  <c r="F204" i="3"/>
  <c r="F181" i="3"/>
  <c r="F177" i="3"/>
  <c r="F173" i="3"/>
  <c r="F169" i="3"/>
  <c r="F165" i="3"/>
  <c r="F161" i="3"/>
  <c r="F157" i="3"/>
  <c r="F153" i="3"/>
  <c r="F149" i="3"/>
  <c r="F145" i="3"/>
  <c r="F141" i="3"/>
  <c r="F137" i="3"/>
  <c r="F133" i="3"/>
  <c r="F129" i="3"/>
  <c r="F293" i="3"/>
  <c r="F267" i="3"/>
  <c r="F239" i="3"/>
  <c r="F209" i="3"/>
  <c r="F200" i="3"/>
  <c r="F197" i="3"/>
  <c r="F189" i="3"/>
  <c r="F264" i="3"/>
  <c r="F198" i="3"/>
  <c r="F178" i="3"/>
  <c r="F174" i="3"/>
  <c r="F170" i="3"/>
  <c r="F166" i="3"/>
  <c r="F162" i="3"/>
  <c r="F158" i="3"/>
  <c r="F154" i="3"/>
  <c r="F150" i="3"/>
  <c r="F146" i="3"/>
  <c r="F142" i="3"/>
  <c r="F138" i="3"/>
  <c r="F134" i="3"/>
  <c r="F130" i="3"/>
  <c r="Z33" i="3"/>
  <c r="Z35" i="3"/>
  <c r="Z89" i="3"/>
  <c r="Z91" i="3"/>
  <c r="N98" i="3"/>
  <c r="Z85" i="3"/>
  <c r="Z87" i="3"/>
  <c r="Z113" i="3"/>
  <c r="Z29" i="3"/>
  <c r="Z31" i="3"/>
  <c r="N44" i="3"/>
  <c r="Z25" i="3"/>
  <c r="Z27" i="3"/>
  <c r="Z81" i="3"/>
  <c r="Z83" i="3"/>
  <c r="N94" i="3"/>
  <c r="Z115" i="3"/>
  <c r="R285" i="3"/>
  <c r="R279" i="3"/>
  <c r="R278" i="3"/>
  <c r="R266" i="3"/>
  <c r="R262" i="3"/>
  <c r="R284" i="3"/>
  <c r="R245" i="3"/>
  <c r="R238" i="3"/>
  <c r="R237" i="3"/>
  <c r="R218" i="3"/>
  <c r="R217" i="3"/>
  <c r="R193" i="3"/>
  <c r="R189" i="3"/>
  <c r="R283" i="3"/>
  <c r="R280" i="3"/>
  <c r="R273" i="3"/>
  <c r="R272" i="3"/>
  <c r="R257" i="3"/>
  <c r="R256" i="3"/>
  <c r="R252" i="3"/>
  <c r="R228" i="3"/>
  <c r="R212" i="3"/>
  <c r="R282" i="3"/>
  <c r="R267" i="3"/>
  <c r="R263" i="3"/>
  <c r="R240" i="3"/>
  <c r="R239" i="3"/>
  <c r="R293" i="3"/>
  <c r="R275" i="3"/>
  <c r="R274" i="3"/>
  <c r="R258" i="3"/>
  <c r="R247" i="3"/>
  <c r="R246" i="3"/>
  <c r="R292" i="3"/>
  <c r="R253" i="3"/>
  <c r="R242" i="3"/>
  <c r="R241" i="3"/>
  <c r="R230" i="3"/>
  <c r="R229" i="3"/>
  <c r="R222" i="3"/>
  <c r="R221" i="3"/>
  <c r="R213" i="3"/>
  <c r="R291" i="3"/>
  <c r="R276" i="3"/>
  <c r="R268" i="3"/>
  <c r="R264" i="3"/>
  <c r="R248" i="3"/>
  <c r="R205" i="3"/>
  <c r="R204" i="3"/>
  <c r="R200" i="3"/>
  <c r="R185" i="3"/>
  <c r="R183" i="3"/>
  <c r="R302" i="3"/>
  <c r="R301" i="3"/>
  <c r="R289" i="3"/>
  <c r="R254" i="3"/>
  <c r="R215" i="3"/>
  <c r="R214" i="3"/>
  <c r="R207" i="3"/>
  <c r="R206" i="3"/>
  <c r="R288" i="3"/>
  <c r="R277" i="3"/>
  <c r="R270" i="3"/>
  <c r="R269" i="3"/>
  <c r="R265" i="3"/>
  <c r="R261" i="3"/>
  <c r="R249" i="3"/>
  <c r="R234" i="3"/>
  <c r="R233" i="3"/>
  <c r="R225" i="3"/>
  <c r="R201" i="3"/>
  <c r="R286" i="3"/>
  <c r="R271" i="3"/>
  <c r="R255" i="3"/>
  <c r="R236" i="3"/>
  <c r="R235" i="3"/>
  <c r="R297" i="3"/>
  <c r="R287" i="3"/>
  <c r="R251" i="3"/>
  <c r="R231" i="3"/>
  <c r="R210" i="3"/>
  <c r="R223" i="3"/>
  <c r="R219" i="3"/>
  <c r="R203" i="3"/>
  <c r="R188" i="3"/>
  <c r="R180" i="3"/>
  <c r="R176" i="3"/>
  <c r="R172" i="3"/>
  <c r="R168" i="3"/>
  <c r="R164" i="3"/>
  <c r="R160" i="3"/>
  <c r="R156" i="3"/>
  <c r="R152" i="3"/>
  <c r="R148" i="3"/>
  <c r="R144" i="3"/>
  <c r="R140" i="3"/>
  <c r="R136" i="3"/>
  <c r="R132" i="3"/>
  <c r="R128" i="3"/>
  <c r="R171" i="3"/>
  <c r="R211" i="3"/>
  <c r="R208" i="3"/>
  <c r="R199" i="3"/>
  <c r="R196" i="3"/>
  <c r="R191" i="3"/>
  <c r="R290" i="3"/>
  <c r="R194" i="3"/>
  <c r="R143" i="3"/>
  <c r="R135" i="3"/>
  <c r="R260" i="3"/>
  <c r="R232" i="3"/>
  <c r="R226" i="3"/>
  <c r="R197" i="3"/>
  <c r="R177" i="3"/>
  <c r="R173" i="3"/>
  <c r="R169" i="3"/>
  <c r="R165" i="3"/>
  <c r="R161" i="3"/>
  <c r="R157" i="3"/>
  <c r="R153" i="3"/>
  <c r="R149" i="3"/>
  <c r="R145" i="3"/>
  <c r="R141" i="3"/>
  <c r="R137" i="3"/>
  <c r="R133" i="3"/>
  <c r="R129" i="3"/>
  <c r="R244" i="3"/>
  <c r="R224" i="3"/>
  <c r="R220" i="3"/>
  <c r="R209" i="3"/>
  <c r="R181" i="3"/>
  <c r="X12" i="3"/>
  <c r="R250" i="3"/>
  <c r="R175" i="3"/>
  <c r="R159" i="3"/>
  <c r="R147" i="3"/>
  <c r="R139" i="3"/>
  <c r="R131" i="3"/>
  <c r="R202" i="3"/>
  <c r="R192" i="3"/>
  <c r="R186" i="3"/>
  <c r="P183" i="3"/>
  <c r="R178" i="3"/>
  <c r="R174" i="3"/>
  <c r="R170" i="3"/>
  <c r="R166" i="3"/>
  <c r="R162" i="3"/>
  <c r="R158" i="3"/>
  <c r="R154" i="3"/>
  <c r="R150" i="3"/>
  <c r="R146" i="3"/>
  <c r="R142" i="3"/>
  <c r="R138" i="3"/>
  <c r="R134" i="3"/>
  <c r="R130" i="3"/>
  <c r="R198" i="3"/>
  <c r="R195" i="3"/>
  <c r="R179" i="3"/>
  <c r="R227" i="3"/>
  <c r="R190" i="3"/>
  <c r="R187" i="3"/>
  <c r="R243" i="3"/>
  <c r="R163" i="3"/>
  <c r="R155" i="3"/>
  <c r="R259" i="3"/>
  <c r="R216" i="3"/>
  <c r="R127" i="3"/>
  <c r="R167" i="3"/>
  <c r="R151" i="3"/>
  <c r="Z17" i="3"/>
  <c r="Z19" i="3"/>
  <c r="N32" i="3"/>
  <c r="Z73" i="3"/>
  <c r="N88" i="3"/>
  <c r="Z107" i="3"/>
  <c r="N84" i="3"/>
  <c r="Z57" i="3"/>
  <c r="Z125" i="3"/>
  <c r="Z59" i="3"/>
  <c r="Z101" i="3"/>
  <c r="Z53" i="3"/>
  <c r="Z55" i="3"/>
  <c r="N72" i="3"/>
  <c r="Z99" i="3"/>
  <c r="N76" i="3"/>
  <c r="J134" i="3"/>
  <c r="Z12" i="6"/>
  <c r="X12" i="6"/>
  <c r="T16" i="6"/>
  <c r="V31" i="6"/>
  <c r="V29" i="6"/>
  <c r="V28" i="6"/>
  <c r="V26" i="6"/>
  <c r="V24" i="6"/>
  <c r="L55" i="12"/>
  <c r="N55" i="12" s="1"/>
  <c r="X14" i="3"/>
  <c r="Z14" i="3" s="1"/>
  <c r="H183" i="3"/>
  <c r="J183" i="3" s="1"/>
  <c r="J185" i="3"/>
  <c r="J186" i="3"/>
  <c r="J195" i="3"/>
  <c r="J205" i="3"/>
  <c r="L257" i="3"/>
  <c r="N257" i="3" s="1"/>
  <c r="Z287" i="3"/>
  <c r="Z302" i="3"/>
  <c r="Z40" i="9"/>
  <c r="N46" i="9"/>
  <c r="Z71" i="9"/>
  <c r="N20" i="12"/>
  <c r="N22" i="12"/>
  <c r="N44" i="12"/>
  <c r="Z97" i="12"/>
  <c r="V114" i="12"/>
  <c r="H12" i="15"/>
  <c r="N13" i="15"/>
  <c r="L13" i="15"/>
  <c r="J302" i="3"/>
  <c r="J301" i="3"/>
  <c r="J289" i="3"/>
  <c r="J277" i="3"/>
  <c r="J269" i="3"/>
  <c r="J265" i="3"/>
  <c r="J261" i="3"/>
  <c r="J288" i="3"/>
  <c r="J270" i="3"/>
  <c r="J244" i="3"/>
  <c r="J234" i="3"/>
  <c r="J216" i="3"/>
  <c r="J208" i="3"/>
  <c r="J196" i="3"/>
  <c r="J192" i="3"/>
  <c r="J287" i="3"/>
  <c r="J271" i="3"/>
  <c r="J255" i="3"/>
  <c r="J235" i="3"/>
  <c r="J209" i="3"/>
  <c r="J286" i="3"/>
  <c r="J278" i="3"/>
  <c r="J266" i="3"/>
  <c r="J262" i="3"/>
  <c r="J250" i="3"/>
  <c r="J285" i="3"/>
  <c r="J279" i="3"/>
  <c r="J251" i="3"/>
  <c r="J245" i="3"/>
  <c r="J237" i="3"/>
  <c r="J227" i="3"/>
  <c r="J284" i="3"/>
  <c r="J280" i="3"/>
  <c r="J272" i="3"/>
  <c r="J256" i="3"/>
  <c r="J252" i="3"/>
  <c r="J238" i="3"/>
  <c r="J228" i="3"/>
  <c r="J218" i="3"/>
  <c r="J212" i="3"/>
  <c r="J283" i="3"/>
  <c r="J273" i="3"/>
  <c r="J267" i="3"/>
  <c r="J263" i="3"/>
  <c r="J257" i="3"/>
  <c r="J239" i="3"/>
  <c r="J219" i="3"/>
  <c r="J203" i="3"/>
  <c r="J199" i="3"/>
  <c r="J293" i="3"/>
  <c r="J275" i="3"/>
  <c r="J253" i="3"/>
  <c r="J247" i="3"/>
  <c r="J241" i="3"/>
  <c r="J229" i="3"/>
  <c r="J221" i="3"/>
  <c r="J213" i="3"/>
  <c r="J292" i="3"/>
  <c r="J276" i="3"/>
  <c r="J268" i="3"/>
  <c r="J264" i="3"/>
  <c r="J248" i="3"/>
  <c r="J242" i="3"/>
  <c r="J230" i="3"/>
  <c r="J222" i="3"/>
  <c r="J204" i="3"/>
  <c r="J200" i="3"/>
  <c r="J290" i="3"/>
  <c r="J260" i="3"/>
  <c r="J254" i="3"/>
  <c r="J232" i="3"/>
  <c r="J224" i="3"/>
  <c r="J214" i="3"/>
  <c r="J206" i="3"/>
  <c r="J198" i="3"/>
  <c r="N31" i="12"/>
  <c r="L31" i="12"/>
  <c r="L36" i="3"/>
  <c r="N36" i="3" s="1"/>
  <c r="L40" i="3"/>
  <c r="N40" i="3" s="1"/>
  <c r="L72" i="3"/>
  <c r="L76" i="3"/>
  <c r="L80" i="3"/>
  <c r="N80" i="3" s="1"/>
  <c r="J202" i="3"/>
  <c r="J207" i="3"/>
  <c r="Z289" i="3"/>
  <c r="P16" i="6"/>
  <c r="N40" i="12"/>
  <c r="N42" i="12"/>
  <c r="N64" i="12"/>
  <c r="L78" i="12"/>
  <c r="N78" i="12" s="1"/>
  <c r="Z80" i="12"/>
  <c r="V219" i="12"/>
  <c r="L20" i="27"/>
  <c r="N20" i="27" s="1"/>
  <c r="H12" i="27"/>
  <c r="L20" i="3"/>
  <c r="N20" i="3" s="1"/>
  <c r="L24" i="3"/>
  <c r="N24" i="3" s="1"/>
  <c r="L28" i="3"/>
  <c r="N28" i="3" s="1"/>
  <c r="L32" i="3"/>
  <c r="L44" i="3"/>
  <c r="L60" i="3"/>
  <c r="N60" i="3" s="1"/>
  <c r="L64" i="3"/>
  <c r="N64" i="3" s="1"/>
  <c r="L68" i="3"/>
  <c r="N68" i="3" s="1"/>
  <c r="L84" i="3"/>
  <c r="L88" i="3"/>
  <c r="L104" i="3"/>
  <c r="N104" i="3" s="1"/>
  <c r="L116" i="3"/>
  <c r="N116" i="3" s="1"/>
  <c r="N12" i="3"/>
  <c r="X13" i="3"/>
  <c r="N16" i="3"/>
  <c r="N48" i="3"/>
  <c r="N52" i="3"/>
  <c r="N56" i="3"/>
  <c r="N92" i="3"/>
  <c r="N96" i="3"/>
  <c r="N100" i="3"/>
  <c r="N108" i="3"/>
  <c r="N112" i="3"/>
  <c r="N120" i="3"/>
  <c r="N124" i="3"/>
  <c r="J189" i="3"/>
  <c r="Z205" i="3"/>
  <c r="N224" i="3"/>
  <c r="J246" i="3"/>
  <c r="J274" i="3"/>
  <c r="D282" i="3"/>
  <c r="N79" i="9"/>
  <c r="L27" i="12"/>
  <c r="N27" i="12" s="1"/>
  <c r="Z31" i="12"/>
  <c r="N51" i="12"/>
  <c r="L51" i="12"/>
  <c r="V120" i="12"/>
  <c r="Z57" i="15"/>
  <c r="N61" i="15"/>
  <c r="L61" i="15"/>
  <c r="L93" i="15"/>
  <c r="N93" i="15" s="1"/>
  <c r="H12" i="18"/>
  <c r="J129" i="3"/>
  <c r="J133" i="3"/>
  <c r="J137" i="3"/>
  <c r="J141" i="3"/>
  <c r="J145" i="3"/>
  <c r="J149" i="3"/>
  <c r="J153" i="3"/>
  <c r="J157" i="3"/>
  <c r="J161" i="3"/>
  <c r="J165" i="3"/>
  <c r="J169" i="3"/>
  <c r="J173" i="3"/>
  <c r="J177" i="3"/>
  <c r="J181" i="3"/>
  <c r="J197" i="3"/>
  <c r="J217" i="3"/>
  <c r="J220" i="3"/>
  <c r="L224" i="3"/>
  <c r="J226" i="3"/>
  <c r="Z291" i="3"/>
  <c r="H22" i="6"/>
  <c r="N16" i="6"/>
  <c r="V16" i="6"/>
  <c r="P90" i="9"/>
  <c r="Z52" i="9"/>
  <c r="P12" i="12"/>
  <c r="Z18" i="12"/>
  <c r="N36" i="12"/>
  <c r="N60" i="12"/>
  <c r="V163" i="12"/>
  <c r="V18" i="6"/>
  <c r="J194" i="3"/>
  <c r="N211" i="3"/>
  <c r="J215" i="3"/>
  <c r="X218" i="3"/>
  <c r="Z218" i="3" s="1"/>
  <c r="Z222" i="3"/>
  <c r="L232" i="3"/>
  <c r="N232" i="3" s="1"/>
  <c r="L242" i="3"/>
  <c r="N242" i="3" s="1"/>
  <c r="N290" i="3"/>
  <c r="V22" i="6"/>
  <c r="L23" i="12"/>
  <c r="N23" i="12" s="1"/>
  <c r="L47" i="12"/>
  <c r="N47" i="12" s="1"/>
  <c r="V174" i="12"/>
  <c r="L245" i="12"/>
  <c r="L29" i="15"/>
  <c r="N29" i="15" s="1"/>
  <c r="J142" i="3"/>
  <c r="J191" i="3"/>
  <c r="J211" i="3"/>
  <c r="J258" i="3"/>
  <c r="N279" i="3"/>
  <c r="L283" i="3"/>
  <c r="N283" i="3" s="1"/>
  <c r="L292" i="3"/>
  <c r="Z293" i="3"/>
  <c r="X301" i="3"/>
  <c r="Z301" i="3" s="1"/>
  <c r="Z29" i="6"/>
  <c r="N56" i="12"/>
  <c r="N58" i="12"/>
  <c r="L71" i="12"/>
  <c r="N71" i="12" s="1"/>
  <c r="Z83" i="12"/>
  <c r="D12" i="12"/>
  <c r="L90" i="12"/>
  <c r="N90" i="12" s="1"/>
  <c r="N94" i="12"/>
  <c r="T152" i="12"/>
  <c r="V195" i="12"/>
  <c r="J130" i="3"/>
  <c r="J138" i="3"/>
  <c r="J146" i="3"/>
  <c r="J174" i="3"/>
  <c r="J128" i="3"/>
  <c r="J132" i="3"/>
  <c r="J136" i="3"/>
  <c r="J140" i="3"/>
  <c r="J144" i="3"/>
  <c r="J148" i="3"/>
  <c r="J152" i="3"/>
  <c r="J156" i="3"/>
  <c r="J160" i="3"/>
  <c r="J164" i="3"/>
  <c r="J168" i="3"/>
  <c r="J172" i="3"/>
  <c r="J176" i="3"/>
  <c r="J180" i="3"/>
  <c r="J188" i="3"/>
  <c r="H282" i="3"/>
  <c r="H12" i="12"/>
  <c r="N19" i="12"/>
  <c r="L19" i="12"/>
  <c r="N43" i="12"/>
  <c r="L43" i="12"/>
  <c r="L67" i="12"/>
  <c r="N67" i="12" s="1"/>
  <c r="V108" i="12"/>
  <c r="J154" i="3"/>
  <c r="J162" i="3"/>
  <c r="J170" i="3"/>
  <c r="L94" i="3"/>
  <c r="L98" i="3"/>
  <c r="L102" i="3"/>
  <c r="L106" i="3"/>
  <c r="N106" i="3" s="1"/>
  <c r="L110" i="3"/>
  <c r="L114" i="3"/>
  <c r="N114" i="3" s="1"/>
  <c r="L118" i="3"/>
  <c r="N118" i="3" s="1"/>
  <c r="L122" i="3"/>
  <c r="N122" i="3" s="1"/>
  <c r="J127" i="3"/>
  <c r="J201" i="3"/>
  <c r="J223" i="3"/>
  <c r="N285" i="3"/>
  <c r="H16" i="9"/>
  <c r="N57" i="9"/>
  <c r="N15" i="12"/>
  <c r="L15" i="12"/>
  <c r="N28" i="12"/>
  <c r="Z34" i="12"/>
  <c r="N52" i="12"/>
  <c r="N54" i="12"/>
  <c r="Z73" i="12"/>
  <c r="Z94" i="12"/>
  <c r="N154" i="12"/>
  <c r="J193" i="3"/>
  <c r="J231" i="3"/>
  <c r="J236" i="3"/>
  <c r="J240" i="3"/>
  <c r="T282" i="3"/>
  <c r="X282" i="3" s="1"/>
  <c r="J297" i="3"/>
  <c r="Z68" i="9"/>
  <c r="L39" i="12"/>
  <c r="N39" i="12" s="1"/>
  <c r="N63" i="12"/>
  <c r="L63" i="12"/>
  <c r="Z79" i="12"/>
  <c r="X79" i="12"/>
  <c r="V111" i="12"/>
  <c r="L45" i="15"/>
  <c r="N45" i="15" s="1"/>
  <c r="L77" i="15"/>
  <c r="N77" i="15" s="1"/>
  <c r="J291" i="3"/>
  <c r="L127" i="3"/>
  <c r="N127" i="3" s="1"/>
  <c r="J131" i="3"/>
  <c r="J135" i="3"/>
  <c r="J139" i="3"/>
  <c r="J143" i="3"/>
  <c r="J147" i="3"/>
  <c r="J151" i="3"/>
  <c r="J155" i="3"/>
  <c r="J159" i="3"/>
  <c r="J163" i="3"/>
  <c r="J167" i="3"/>
  <c r="J171" i="3"/>
  <c r="J175" i="3"/>
  <c r="J179" i="3"/>
  <c r="X236" i="3"/>
  <c r="Z236" i="3" s="1"/>
  <c r="N247" i="3"/>
  <c r="J249" i="3"/>
  <c r="J259" i="3"/>
  <c r="N273" i="3"/>
  <c r="N275" i="3"/>
  <c r="V14" i="6"/>
  <c r="Z28" i="6"/>
  <c r="X57" i="9"/>
  <c r="Z57" i="9" s="1"/>
  <c r="Z15" i="12"/>
  <c r="N24" i="12"/>
  <c r="N48" i="12"/>
  <c r="N50" i="12"/>
  <c r="J150" i="3"/>
  <c r="J158" i="3"/>
  <c r="J166" i="3"/>
  <c r="J178" i="3"/>
  <c r="J187" i="3"/>
  <c r="J190" i="3"/>
  <c r="J210" i="3"/>
  <c r="J225" i="3"/>
  <c r="N227" i="3"/>
  <c r="Z238" i="3"/>
  <c r="J243" i="3"/>
  <c r="V20" i="6"/>
  <c r="V252" i="12"/>
  <c r="V222" i="12"/>
  <c r="V251" i="12"/>
  <c r="V233" i="12"/>
  <c r="V221" i="12"/>
  <c r="V217" i="12"/>
  <c r="V205" i="12"/>
  <c r="V193" i="12"/>
  <c r="V173" i="12"/>
  <c r="V169" i="12"/>
  <c r="V250" i="12"/>
  <c r="V240" i="12"/>
  <c r="V232" i="12"/>
  <c r="V228" i="12"/>
  <c r="V212" i="12"/>
  <c r="V204" i="12"/>
  <c r="V184" i="12"/>
  <c r="V176" i="12"/>
  <c r="V164" i="12"/>
  <c r="V160" i="12"/>
  <c r="V156" i="12"/>
  <c r="V247" i="12"/>
  <c r="V241" i="12"/>
  <c r="V229" i="12"/>
  <c r="V225" i="12"/>
  <c r="V213" i="12"/>
  <c r="V197" i="12"/>
  <c r="V185" i="12"/>
  <c r="V177" i="12"/>
  <c r="V165" i="12"/>
  <c r="V161" i="12"/>
  <c r="V157" i="12"/>
  <c r="V246" i="12"/>
  <c r="V236" i="12"/>
  <c r="V224" i="12"/>
  <c r="V208" i="12"/>
  <c r="V196" i="12"/>
  <c r="V188" i="12"/>
  <c r="V180" i="12"/>
  <c r="V148" i="12"/>
  <c r="V144" i="12"/>
  <c r="V140" i="12"/>
  <c r="V136" i="12"/>
  <c r="V132" i="12"/>
  <c r="V128" i="12"/>
  <c r="V238" i="12"/>
  <c r="V230" i="12"/>
  <c r="V226" i="12"/>
  <c r="V214" i="12"/>
  <c r="V198" i="12"/>
  <c r="V190" i="12"/>
  <c r="V162" i="12"/>
  <c r="V158" i="12"/>
  <c r="V237" i="12"/>
  <c r="V209" i="12"/>
  <c r="V201" i="12"/>
  <c r="V189" i="12"/>
  <c r="V181" i="12"/>
  <c r="V149" i="12"/>
  <c r="V145" i="12"/>
  <c r="V141" i="12"/>
  <c r="V137" i="12"/>
  <c r="V133" i="12"/>
  <c r="V129" i="12"/>
  <c r="V125" i="12"/>
  <c r="V121" i="12"/>
  <c r="V117" i="12"/>
  <c r="V235" i="12"/>
  <c r="V231" i="12"/>
  <c r="V182" i="12"/>
  <c r="V172" i="12"/>
  <c r="V166" i="12"/>
  <c r="V159" i="12"/>
  <c r="V139" i="12"/>
  <c r="V134" i="12"/>
  <c r="V123" i="12"/>
  <c r="V102" i="12"/>
  <c r="V249" i="12"/>
  <c r="V227" i="12"/>
  <c r="V211" i="12"/>
  <c r="V191" i="12"/>
  <c r="V183" i="12"/>
  <c r="V170" i="12"/>
  <c r="V154" i="12"/>
  <c r="V126" i="12"/>
  <c r="V112" i="12"/>
  <c r="V207" i="12"/>
  <c r="V199" i="12"/>
  <c r="V178" i="12"/>
  <c r="V155" i="12"/>
  <c r="V147" i="12"/>
  <c r="V142" i="12"/>
  <c r="V115" i="12"/>
  <c r="V109" i="12"/>
  <c r="V220" i="12"/>
  <c r="V218" i="12"/>
  <c r="V192" i="12"/>
  <c r="V186" i="12"/>
  <c r="V175" i="12"/>
  <c r="V124" i="12"/>
  <c r="V118" i="12"/>
  <c r="V150" i="12"/>
  <c r="V106" i="12"/>
  <c r="V103" i="12"/>
  <c r="V243" i="12"/>
  <c r="V234" i="12"/>
  <c r="V135" i="12"/>
  <c r="V127" i="12"/>
  <c r="V116" i="12"/>
  <c r="V113" i="12"/>
  <c r="V202" i="12"/>
  <c r="V167" i="12"/>
  <c r="V110" i="12"/>
  <c r="V253" i="12"/>
  <c r="V239" i="12"/>
  <c r="V223" i="12"/>
  <c r="V203" i="12"/>
  <c r="V194" i="12"/>
  <c r="V171" i="12"/>
  <c r="V143" i="12"/>
  <c r="V138" i="12"/>
  <c r="V130" i="12"/>
  <c r="V119" i="12"/>
  <c r="V107" i="12"/>
  <c r="V104" i="12"/>
  <c r="V101" i="12"/>
  <c r="V215" i="12"/>
  <c r="V210" i="12"/>
  <c r="V200" i="12"/>
  <c r="V179" i="12"/>
  <c r="V122" i="12"/>
  <c r="V187" i="12"/>
  <c r="V152" i="12"/>
  <c r="V146" i="12"/>
  <c r="V257" i="12"/>
  <c r="V216" i="12"/>
  <c r="V206" i="12"/>
  <c r="V168" i="12"/>
  <c r="V131" i="12"/>
  <c r="V105" i="12"/>
  <c r="N35" i="12"/>
  <c r="L35" i="12"/>
  <c r="L59" i="12"/>
  <c r="N59" i="12" s="1"/>
  <c r="V242" i="12"/>
  <c r="X283" i="3"/>
  <c r="Z283" i="3" s="1"/>
  <c r="N14" i="6"/>
  <c r="X12" i="9"/>
  <c r="X14" i="9"/>
  <c r="V19" i="9"/>
  <c r="V23" i="9"/>
  <c r="V27" i="9"/>
  <c r="J31" i="9"/>
  <c r="R32" i="9"/>
  <c r="J35" i="9"/>
  <c r="R36" i="9"/>
  <c r="J43" i="9"/>
  <c r="V47" i="9"/>
  <c r="R56" i="9"/>
  <c r="R57" i="9"/>
  <c r="V59" i="9"/>
  <c r="V63" i="9"/>
  <c r="J67" i="9"/>
  <c r="V71" i="9"/>
  <c r="J75" i="9"/>
  <c r="R76" i="9"/>
  <c r="F79" i="9"/>
  <c r="F80" i="9"/>
  <c r="V83" i="9"/>
  <c r="Z188" i="12"/>
  <c r="Z195" i="12"/>
  <c r="N197" i="12"/>
  <c r="D12" i="15"/>
  <c r="Z16" i="15"/>
  <c r="Z18" i="15"/>
  <c r="Z32" i="15"/>
  <c r="Z34" i="15"/>
  <c r="Z48" i="15"/>
  <c r="Z50" i="15"/>
  <c r="Z64" i="15"/>
  <c r="Z66" i="15"/>
  <c r="Z80" i="15"/>
  <c r="Z82" i="15"/>
  <c r="Z96" i="15"/>
  <c r="V114" i="15"/>
  <c r="V151" i="15"/>
  <c r="Z171" i="15"/>
  <c r="V208" i="15"/>
  <c r="Z225" i="15"/>
  <c r="V232" i="15"/>
  <c r="Z24" i="18"/>
  <c r="L58" i="18"/>
  <c r="N58" i="18" s="1"/>
  <c r="D16" i="9"/>
  <c r="R22" i="9"/>
  <c r="R26" i="9"/>
  <c r="F34" i="9"/>
  <c r="J41" i="9"/>
  <c r="V45" i="9"/>
  <c r="J53" i="9"/>
  <c r="R54" i="9"/>
  <c r="R55" i="9"/>
  <c r="V57" i="9"/>
  <c r="J61" i="9"/>
  <c r="R62" i="9"/>
  <c r="F66" i="9"/>
  <c r="V69" i="9"/>
  <c r="F73" i="9"/>
  <c r="F74" i="9"/>
  <c r="F78" i="9"/>
  <c r="J79" i="9"/>
  <c r="V81" i="9"/>
  <c r="F86" i="9"/>
  <c r="R92" i="9"/>
  <c r="L186" i="12"/>
  <c r="X38" i="15"/>
  <c r="Z38" i="15" s="1"/>
  <c r="X54" i="15"/>
  <c r="Z54" i="15" s="1"/>
  <c r="X70" i="15"/>
  <c r="X86" i="15"/>
  <c r="Z86" i="15" s="1"/>
  <c r="V102" i="15"/>
  <c r="V112" i="15"/>
  <c r="V122" i="15"/>
  <c r="N190" i="15"/>
  <c r="V220" i="15"/>
  <c r="Z36" i="18"/>
  <c r="N49" i="18"/>
  <c r="L49" i="18"/>
  <c r="F14" i="9"/>
  <c r="F16" i="9"/>
  <c r="F18" i="9"/>
  <c r="V22" i="9"/>
  <c r="V26" i="9"/>
  <c r="R31" i="9"/>
  <c r="J34" i="9"/>
  <c r="R35" i="9"/>
  <c r="F38" i="9"/>
  <c r="F39" i="9"/>
  <c r="J40" i="9"/>
  <c r="R43" i="9"/>
  <c r="R44" i="9"/>
  <c r="V46" i="9"/>
  <c r="F50" i="9"/>
  <c r="F51" i="9"/>
  <c r="J52" i="9"/>
  <c r="V54" i="9"/>
  <c r="V62" i="9"/>
  <c r="J66" i="9"/>
  <c r="R67" i="9"/>
  <c r="R68" i="9"/>
  <c r="J74" i="9"/>
  <c r="R75" i="9"/>
  <c r="J78" i="9"/>
  <c r="V82" i="9"/>
  <c r="J86" i="9"/>
  <c r="V92" i="9"/>
  <c r="V94" i="9"/>
  <c r="V97" i="9"/>
  <c r="N81" i="12"/>
  <c r="N84" i="12"/>
  <c r="N93" i="12"/>
  <c r="N96" i="12"/>
  <c r="N205" i="12"/>
  <c r="H245" i="12"/>
  <c r="P12" i="15"/>
  <c r="Z20" i="15"/>
  <c r="Z22" i="15"/>
  <c r="Z36" i="15"/>
  <c r="Z52" i="15"/>
  <c r="Z68" i="15"/>
  <c r="Z70" i="15"/>
  <c r="Z84" i="15"/>
  <c r="V140" i="15"/>
  <c r="V184" i="15"/>
  <c r="N194" i="15"/>
  <c r="V206" i="15"/>
  <c r="L209" i="15"/>
  <c r="N209" i="15" s="1"/>
  <c r="L23" i="18"/>
  <c r="N23" i="18" s="1"/>
  <c r="N25" i="18"/>
  <c r="L40" i="18"/>
  <c r="L64" i="18"/>
  <c r="Z84" i="18"/>
  <c r="X84" i="18"/>
  <c r="F108" i="24"/>
  <c r="F107" i="24"/>
  <c r="F100" i="24"/>
  <c r="F64" i="24"/>
  <c r="F60" i="24"/>
  <c r="F56" i="24"/>
  <c r="F52" i="24"/>
  <c r="F48" i="24"/>
  <c r="F91" i="24"/>
  <c r="F83" i="24"/>
  <c r="F102" i="24"/>
  <c r="F101" i="24"/>
  <c r="F78" i="24"/>
  <c r="F74" i="24"/>
  <c r="F110" i="24"/>
  <c r="F93" i="24"/>
  <c r="F92" i="24"/>
  <c r="F65" i="24"/>
  <c r="F61" i="24"/>
  <c r="F57" i="24"/>
  <c r="F53" i="24"/>
  <c r="F49" i="24"/>
  <c r="F114" i="24"/>
  <c r="F104" i="24"/>
  <c r="F103" i="24"/>
  <c r="F84" i="24"/>
  <c r="L12" i="24"/>
  <c r="N12" i="24" s="1"/>
  <c r="F95" i="24"/>
  <c r="F94" i="24"/>
  <c r="F79" i="24"/>
  <c r="F75" i="24"/>
  <c r="F86" i="24"/>
  <c r="F85" i="24"/>
  <c r="F66" i="24"/>
  <c r="F62" i="24"/>
  <c r="F58" i="24"/>
  <c r="F54" i="24"/>
  <c r="F50" i="24"/>
  <c r="F46" i="24"/>
  <c r="F45" i="24"/>
  <c r="F105" i="24"/>
  <c r="F97" i="24"/>
  <c r="F96" i="24"/>
  <c r="F81" i="24"/>
  <c r="F80" i="24"/>
  <c r="F88" i="24"/>
  <c r="F87" i="24"/>
  <c r="F76" i="24"/>
  <c r="F72" i="24"/>
  <c r="F71" i="24"/>
  <c r="F99" i="24"/>
  <c r="F98" i="24"/>
  <c r="F70" i="24"/>
  <c r="F68" i="24"/>
  <c r="F63" i="24"/>
  <c r="F59" i="24"/>
  <c r="F55" i="24"/>
  <c r="F51" i="24"/>
  <c r="F47" i="24"/>
  <c r="F77" i="24"/>
  <c r="F73" i="24"/>
  <c r="F90" i="24"/>
  <c r="F82" i="24"/>
  <c r="F89" i="24"/>
  <c r="D68" i="24"/>
  <c r="N186" i="12"/>
  <c r="N33" i="15"/>
  <c r="Z77" i="15"/>
  <c r="V100" i="15"/>
  <c r="V120" i="15"/>
  <c r="V130" i="15"/>
  <c r="V211" i="15"/>
  <c r="V218" i="15"/>
  <c r="V230" i="15"/>
  <c r="V242" i="15"/>
  <c r="N40" i="18"/>
  <c r="F33" i="9"/>
  <c r="F37" i="9"/>
  <c r="V44" i="9"/>
  <c r="F48" i="9"/>
  <c r="F49" i="9"/>
  <c r="R53" i="9"/>
  <c r="J60" i="9"/>
  <c r="R61" i="9"/>
  <c r="F64" i="9"/>
  <c r="F65" i="9"/>
  <c r="V68" i="9"/>
  <c r="J72" i="9"/>
  <c r="F77" i="9"/>
  <c r="V80" i="9"/>
  <c r="F84" i="9"/>
  <c r="F85" i="9"/>
  <c r="R88" i="9"/>
  <c r="R90" i="9"/>
  <c r="L14" i="12"/>
  <c r="N14" i="12" s="1"/>
  <c r="L18" i="12"/>
  <c r="N18" i="12" s="1"/>
  <c r="L22" i="12"/>
  <c r="L26" i="12"/>
  <c r="N26" i="12" s="1"/>
  <c r="L30" i="12"/>
  <c r="N30" i="12" s="1"/>
  <c r="L34" i="12"/>
  <c r="N34" i="12" s="1"/>
  <c r="L38" i="12"/>
  <c r="N38" i="12" s="1"/>
  <c r="L42" i="12"/>
  <c r="L46" i="12"/>
  <c r="N46" i="12" s="1"/>
  <c r="L50" i="12"/>
  <c r="L54" i="12"/>
  <c r="L58" i="12"/>
  <c r="L62" i="12"/>
  <c r="L66" i="12"/>
  <c r="N66" i="12" s="1"/>
  <c r="L70" i="12"/>
  <c r="N70" i="12" s="1"/>
  <c r="N77" i="12"/>
  <c r="X81" i="12"/>
  <c r="Z81" i="12" s="1"/>
  <c r="X90" i="12"/>
  <c r="Z90" i="12" s="1"/>
  <c r="X93" i="12"/>
  <c r="Z93" i="12" s="1"/>
  <c r="L154" i="12"/>
  <c r="L166" i="12"/>
  <c r="N166" i="12" s="1"/>
  <c r="N178" i="12"/>
  <c r="X192" i="12"/>
  <c r="Z192" i="12" s="1"/>
  <c r="X203" i="12"/>
  <c r="Z203" i="12" s="1"/>
  <c r="N225" i="12"/>
  <c r="X250" i="12"/>
  <c r="Z250" i="12" s="1"/>
  <c r="L17" i="15"/>
  <c r="N17" i="15" s="1"/>
  <c r="L33" i="15"/>
  <c r="L49" i="15"/>
  <c r="N49" i="15" s="1"/>
  <c r="L65" i="15"/>
  <c r="N65" i="15" s="1"/>
  <c r="L81" i="15"/>
  <c r="N81" i="15" s="1"/>
  <c r="V110" i="15"/>
  <c r="V176" i="15"/>
  <c r="X200" i="15"/>
  <c r="Z200" i="15" s="1"/>
  <c r="N237" i="15"/>
  <c r="X239" i="15"/>
  <c r="Z239" i="15" s="1"/>
  <c r="P237" i="15"/>
  <c r="X237" i="15" s="1"/>
  <c r="Z237" i="15" s="1"/>
  <c r="N55" i="18"/>
  <c r="L55" i="18"/>
  <c r="Z51" i="21"/>
  <c r="V21" i="9"/>
  <c r="V25" i="9"/>
  <c r="V29" i="9"/>
  <c r="R34" i="9"/>
  <c r="L38" i="9"/>
  <c r="N38" i="9" s="1"/>
  <c r="V41" i="9"/>
  <c r="X44" i="9"/>
  <c r="Z44" i="9" s="1"/>
  <c r="J49" i="9"/>
  <c r="L50" i="9"/>
  <c r="N50" i="9" s="1"/>
  <c r="V53" i="9"/>
  <c r="F57" i="9"/>
  <c r="F58" i="9"/>
  <c r="J59" i="9"/>
  <c r="V61" i="9"/>
  <c r="J65" i="9"/>
  <c r="R66" i="9"/>
  <c r="X68" i="9"/>
  <c r="F70" i="9"/>
  <c r="J71" i="9"/>
  <c r="R74" i="9"/>
  <c r="J77" i="9"/>
  <c r="R78" i="9"/>
  <c r="R79" i="9"/>
  <c r="J85" i="9"/>
  <c r="R86" i="9"/>
  <c r="L238" i="12"/>
  <c r="N238" i="12" s="1"/>
  <c r="X246" i="12"/>
  <c r="Z24" i="15"/>
  <c r="Z26" i="15"/>
  <c r="Z40" i="15"/>
  <c r="Z42" i="15"/>
  <c r="Z56" i="15"/>
  <c r="Z58" i="15"/>
  <c r="Z72" i="15"/>
  <c r="Z74" i="15"/>
  <c r="Z88" i="15"/>
  <c r="Z90" i="15"/>
  <c r="V128" i="15"/>
  <c r="V138" i="15"/>
  <c r="V170" i="15"/>
  <c r="L185" i="15"/>
  <c r="N185" i="15" s="1"/>
  <c r="V190" i="15"/>
  <c r="X209" i="15"/>
  <c r="V224" i="15"/>
  <c r="L243" i="15"/>
  <c r="N243" i="15" s="1"/>
  <c r="Z21" i="18"/>
  <c r="L35" i="18"/>
  <c r="Z77" i="18"/>
  <c r="D16" i="6"/>
  <c r="F23" i="9"/>
  <c r="F27" i="9"/>
  <c r="V30" i="9"/>
  <c r="V34" i="9"/>
  <c r="R39" i="9"/>
  <c r="R40" i="9"/>
  <c r="V42" i="9"/>
  <c r="F46" i="9"/>
  <c r="F47" i="9"/>
  <c r="J48" i="9"/>
  <c r="R51" i="9"/>
  <c r="R52" i="9"/>
  <c r="J58" i="9"/>
  <c r="F63" i="9"/>
  <c r="J64" i="9"/>
  <c r="V66" i="9"/>
  <c r="J70" i="9"/>
  <c r="V74" i="9"/>
  <c r="V78" i="9"/>
  <c r="F82" i="9"/>
  <c r="F83" i="9"/>
  <c r="J84" i="9"/>
  <c r="V86" i="9"/>
  <c r="V88" i="9"/>
  <c r="V90" i="9"/>
  <c r="F94" i="9"/>
  <c r="F97" i="9"/>
  <c r="N73" i="12"/>
  <c r="N89" i="12"/>
  <c r="N92" i="12"/>
  <c r="Z186" i="12"/>
  <c r="L195" i="12"/>
  <c r="N195" i="12" s="1"/>
  <c r="T245" i="12"/>
  <c r="X245" i="12" s="1"/>
  <c r="N21" i="15"/>
  <c r="N37" i="15"/>
  <c r="N53" i="15"/>
  <c r="V98" i="15"/>
  <c r="V108" i="15"/>
  <c r="V118" i="15"/>
  <c r="V159" i="15"/>
  <c r="V196" i="15"/>
  <c r="Z209" i="15"/>
  <c r="Z241" i="15"/>
  <c r="P12" i="18"/>
  <c r="X13" i="18"/>
  <c r="T12" i="18"/>
  <c r="N35" i="18"/>
  <c r="Z44" i="18"/>
  <c r="N46" i="18"/>
  <c r="X66" i="18"/>
  <c r="N254" i="18"/>
  <c r="V51" i="9"/>
  <c r="F76" i="9"/>
  <c r="V79" i="9"/>
  <c r="Z155" i="12"/>
  <c r="Z178" i="12"/>
  <c r="Z199" i="12"/>
  <c r="N201" i="12"/>
  <c r="Z207" i="12"/>
  <c r="Z236" i="12"/>
  <c r="L242" i="12"/>
  <c r="N242" i="12" s="1"/>
  <c r="Z246" i="12"/>
  <c r="L248" i="12"/>
  <c r="N248" i="12" s="1"/>
  <c r="X249" i="12"/>
  <c r="N251" i="12"/>
  <c r="X14" i="15"/>
  <c r="Z14" i="15" s="1"/>
  <c r="L21" i="15"/>
  <c r="X30" i="15"/>
  <c r="Z30" i="15" s="1"/>
  <c r="L37" i="15"/>
  <c r="X46" i="15"/>
  <c r="L53" i="15"/>
  <c r="X62" i="15"/>
  <c r="Z62" i="15" s="1"/>
  <c r="L69" i="15"/>
  <c r="N69" i="15" s="1"/>
  <c r="X78" i="15"/>
  <c r="L85" i="15"/>
  <c r="N85" i="15" s="1"/>
  <c r="X94" i="15"/>
  <c r="D237" i="15"/>
  <c r="L237" i="15" s="1"/>
  <c r="N61" i="18"/>
  <c r="L61" i="18"/>
  <c r="Z66" i="18"/>
  <c r="V20" i="9"/>
  <c r="V24" i="9"/>
  <c r="V28" i="9"/>
  <c r="R33" i="9"/>
  <c r="R37" i="9"/>
  <c r="R38" i="9"/>
  <c r="V40" i="9"/>
  <c r="F44" i="9"/>
  <c r="F45" i="9"/>
  <c r="R49" i="9"/>
  <c r="R50" i="9"/>
  <c r="V52" i="9"/>
  <c r="J56" i="9"/>
  <c r="V60" i="9"/>
  <c r="R65" i="9"/>
  <c r="F68" i="9"/>
  <c r="F69" i="9"/>
  <c r="V72" i="9"/>
  <c r="J76" i="9"/>
  <c r="R77" i="9"/>
  <c r="F81" i="9"/>
  <c r="J82" i="9"/>
  <c r="R85" i="9"/>
  <c r="J94" i="9"/>
  <c r="J97" i="9"/>
  <c r="X14" i="12"/>
  <c r="Z14" i="12" s="1"/>
  <c r="X18" i="12"/>
  <c r="X22" i="12"/>
  <c r="Z22" i="12" s="1"/>
  <c r="X26" i="12"/>
  <c r="Z26" i="12" s="1"/>
  <c r="X30" i="12"/>
  <c r="Z30" i="12" s="1"/>
  <c r="X34" i="12"/>
  <c r="X38" i="12"/>
  <c r="Z38" i="12" s="1"/>
  <c r="X42" i="12"/>
  <c r="Z42" i="12" s="1"/>
  <c r="X46" i="12"/>
  <c r="Z46" i="12" s="1"/>
  <c r="X50" i="12"/>
  <c r="Z50" i="12" s="1"/>
  <c r="X54" i="12"/>
  <c r="Z54" i="12" s="1"/>
  <c r="X58" i="12"/>
  <c r="Z58" i="12" s="1"/>
  <c r="X62" i="12"/>
  <c r="Z62" i="12" s="1"/>
  <c r="X66" i="12"/>
  <c r="Z66" i="12" s="1"/>
  <c r="X70" i="12"/>
  <c r="Z70" i="12" s="1"/>
  <c r="Z183" i="12"/>
  <c r="Z249" i="12"/>
  <c r="V240" i="15"/>
  <c r="V234" i="15"/>
  <c r="V226" i="15"/>
  <c r="V210" i="15"/>
  <c r="V198" i="15"/>
  <c r="V186" i="15"/>
  <c r="V178" i="15"/>
  <c r="V158" i="15"/>
  <c r="V154" i="15"/>
  <c r="V150" i="15"/>
  <c r="V239" i="15"/>
  <c r="V233" i="15"/>
  <c r="V221" i="15"/>
  <c r="V217" i="15"/>
  <c r="V205" i="15"/>
  <c r="V197" i="15"/>
  <c r="V177" i="15"/>
  <c r="V169" i="15"/>
  <c r="V149" i="15"/>
  <c r="V145" i="15"/>
  <c r="V141" i="15"/>
  <c r="V137" i="15"/>
  <c r="V133" i="15"/>
  <c r="V129" i="15"/>
  <c r="V125" i="15"/>
  <c r="V121" i="15"/>
  <c r="V117" i="15"/>
  <c r="V113" i="15"/>
  <c r="V109" i="15"/>
  <c r="V105" i="15"/>
  <c r="V101" i="15"/>
  <c r="V238" i="15"/>
  <c r="V228" i="15"/>
  <c r="V216" i="15"/>
  <c r="V204" i="15"/>
  <c r="V200" i="15"/>
  <c r="V188" i="15"/>
  <c r="V168" i="15"/>
  <c r="V164" i="15"/>
  <c r="T147" i="15"/>
  <c r="V147" i="15" s="1"/>
  <c r="V237" i="15"/>
  <c r="V235" i="15"/>
  <c r="V227" i="15"/>
  <c r="V229" i="15"/>
  <c r="V201" i="15"/>
  <c r="V189" i="15"/>
  <c r="V181" i="15"/>
  <c r="V173" i="15"/>
  <c r="V165" i="15"/>
  <c r="V161" i="15"/>
  <c r="V212" i="15"/>
  <c r="V192" i="15"/>
  <c r="V180" i="15"/>
  <c r="V172" i="15"/>
  <c r="V160" i="15"/>
  <c r="V156" i="15"/>
  <c r="V152" i="15"/>
  <c r="V245" i="15"/>
  <c r="V231" i="15"/>
  <c r="V223" i="15"/>
  <c r="V219" i="15"/>
  <c r="V207" i="15"/>
  <c r="V191" i="15"/>
  <c r="V183" i="15"/>
  <c r="V175" i="15"/>
  <c r="V143" i="15"/>
  <c r="V139" i="15"/>
  <c r="V135" i="15"/>
  <c r="V131" i="15"/>
  <c r="V127" i="15"/>
  <c r="V123" i="15"/>
  <c r="V119" i="15"/>
  <c r="V115" i="15"/>
  <c r="V111" i="15"/>
  <c r="V107" i="15"/>
  <c r="V103" i="15"/>
  <c r="V99" i="15"/>
  <c r="V244" i="15"/>
  <c r="V214" i="15"/>
  <c r="V202" i="15"/>
  <c r="V194" i="15"/>
  <c r="V182" i="15"/>
  <c r="V174" i="15"/>
  <c r="V166" i="15"/>
  <c r="V162" i="15"/>
  <c r="V243" i="15"/>
  <c r="V225" i="15"/>
  <c r="V213" i="15"/>
  <c r="V209" i="15"/>
  <c r="V193" i="15"/>
  <c r="V185" i="15"/>
  <c r="V157" i="15"/>
  <c r="V153" i="15"/>
  <c r="V249" i="15"/>
  <c r="V241" i="15"/>
  <c r="V215" i="15"/>
  <c r="V203" i="15"/>
  <c r="V195" i="15"/>
  <c r="V187" i="15"/>
  <c r="V167" i="15"/>
  <c r="V163" i="15"/>
  <c r="Z28" i="15"/>
  <c r="Z44" i="15"/>
  <c r="Z46" i="15"/>
  <c r="Z60" i="15"/>
  <c r="Z76" i="15"/>
  <c r="Z78" i="15"/>
  <c r="Z94" i="15"/>
  <c r="V106" i="15"/>
  <c r="V116" i="15"/>
  <c r="V126" i="15"/>
  <c r="V155" i="15"/>
  <c r="L171" i="15"/>
  <c r="N171" i="15" s="1"/>
  <c r="N173" i="15"/>
  <c r="X185" i="15"/>
  <c r="L225" i="15"/>
  <c r="N225" i="15" s="1"/>
  <c r="Z243" i="15"/>
  <c r="Z17" i="18"/>
  <c r="N28" i="18"/>
  <c r="L30" i="18"/>
  <c r="L52" i="18"/>
  <c r="Z72" i="18"/>
  <c r="J88" i="21"/>
  <c r="J58" i="21"/>
  <c r="J48" i="21"/>
  <c r="J36" i="21"/>
  <c r="J32" i="21"/>
  <c r="J22" i="21"/>
  <c r="J75" i="21"/>
  <c r="J59" i="21"/>
  <c r="J49" i="21"/>
  <c r="J23" i="21"/>
  <c r="J90" i="21"/>
  <c r="J82" i="21"/>
  <c r="J76" i="21"/>
  <c r="J70" i="21"/>
  <c r="J60" i="21"/>
  <c r="J50" i="21"/>
  <c r="J42" i="21"/>
  <c r="J77" i="21"/>
  <c r="J71" i="21"/>
  <c r="J61" i="21"/>
  <c r="J51" i="21"/>
  <c r="J37" i="21"/>
  <c r="J33" i="21"/>
  <c r="J94" i="21"/>
  <c r="J78" i="21"/>
  <c r="J72" i="21"/>
  <c r="J62" i="21"/>
  <c r="J52" i="21"/>
  <c r="J38" i="21"/>
  <c r="J24" i="21"/>
  <c r="J83" i="21"/>
  <c r="J79" i="21"/>
  <c r="J63" i="21"/>
  <c r="J43" i="21"/>
  <c r="J39" i="21"/>
  <c r="J29" i="21"/>
  <c r="J64" i="21"/>
  <c r="J34" i="21"/>
  <c r="J30" i="21"/>
  <c r="J28" i="21"/>
  <c r="J26" i="21"/>
  <c r="J73" i="21"/>
  <c r="J84" i="21"/>
  <c r="J80" i="21"/>
  <c r="J66" i="21"/>
  <c r="J54" i="21"/>
  <c r="J44" i="21"/>
  <c r="J40" i="21"/>
  <c r="N12" i="21"/>
  <c r="J85" i="21"/>
  <c r="J67" i="21"/>
  <c r="J55" i="21"/>
  <c r="J45" i="21"/>
  <c r="J35" i="21"/>
  <c r="J31" i="21"/>
  <c r="J87" i="21"/>
  <c r="J81" i="21"/>
  <c r="J69" i="21"/>
  <c r="J57" i="21"/>
  <c r="J47" i="21"/>
  <c r="J41" i="21"/>
  <c r="J74" i="21"/>
  <c r="J65" i="21"/>
  <c r="J53" i="21"/>
  <c r="J86" i="21"/>
  <c r="J56" i="21"/>
  <c r="J46" i="21"/>
  <c r="J68" i="21"/>
  <c r="H26" i="21"/>
  <c r="T16" i="9"/>
  <c r="X16" i="9" s="1"/>
  <c r="R19" i="9"/>
  <c r="F22" i="9"/>
  <c r="F26" i="9"/>
  <c r="V33" i="9"/>
  <c r="V37" i="9"/>
  <c r="J45" i="9"/>
  <c r="V49" i="9"/>
  <c r="F54" i="9"/>
  <c r="J55" i="9"/>
  <c r="R58" i="9"/>
  <c r="R59" i="9"/>
  <c r="F62" i="9"/>
  <c r="V65" i="9"/>
  <c r="J69" i="9"/>
  <c r="R70" i="9"/>
  <c r="R71" i="9"/>
  <c r="V73" i="9"/>
  <c r="V77" i="9"/>
  <c r="J81" i="9"/>
  <c r="V85" i="9"/>
  <c r="F92" i="9"/>
  <c r="Z166" i="12"/>
  <c r="N174" i="12"/>
  <c r="X216" i="12"/>
  <c r="N233" i="12"/>
  <c r="Z21" i="15"/>
  <c r="N25" i="15"/>
  <c r="N57" i="15"/>
  <c r="N73" i="15"/>
  <c r="X76" i="15"/>
  <c r="N89" i="15"/>
  <c r="X92" i="15"/>
  <c r="Z92" i="15" s="1"/>
  <c r="V144" i="15"/>
  <c r="N149" i="15"/>
  <c r="V179" i="15"/>
  <c r="Z185" i="15"/>
  <c r="V222" i="15"/>
  <c r="F268" i="18"/>
  <c r="F239" i="18"/>
  <c r="F238" i="18"/>
  <c r="F227" i="18"/>
  <c r="F219" i="18"/>
  <c r="F218" i="18"/>
  <c r="F191" i="18"/>
  <c r="F187" i="18"/>
  <c r="F267" i="18"/>
  <c r="F250" i="18"/>
  <c r="F249" i="18"/>
  <c r="F234" i="18"/>
  <c r="F233" i="18"/>
  <c r="F210" i="18"/>
  <c r="F209" i="18"/>
  <c r="F182" i="18"/>
  <c r="F178" i="18"/>
  <c r="F266" i="18"/>
  <c r="F257" i="18"/>
  <c r="F245" i="18"/>
  <c r="F221" i="18"/>
  <c r="F220" i="18"/>
  <c r="F201" i="18"/>
  <c r="F169" i="18"/>
  <c r="F165" i="18"/>
  <c r="F161" i="18"/>
  <c r="F157" i="18"/>
  <c r="F153" i="18"/>
  <c r="F149" i="18"/>
  <c r="F145" i="18"/>
  <c r="F141" i="18"/>
  <c r="F137" i="18"/>
  <c r="F133" i="18"/>
  <c r="F129" i="18"/>
  <c r="F125" i="18"/>
  <c r="F121" i="18"/>
  <c r="F265" i="18"/>
  <c r="F240" i="18"/>
  <c r="F228" i="18"/>
  <c r="F212" i="18"/>
  <c r="F211" i="18"/>
  <c r="F192" i="18"/>
  <c r="F188" i="18"/>
  <c r="F264" i="18"/>
  <c r="F259" i="18"/>
  <c r="F258" i="18"/>
  <c r="F251" i="18"/>
  <c r="F235" i="18"/>
  <c r="F223" i="18"/>
  <c r="F222" i="18"/>
  <c r="F203" i="18"/>
  <c r="F202" i="18"/>
  <c r="F183" i="18"/>
  <c r="F179" i="18"/>
  <c r="F175" i="18"/>
  <c r="F174" i="18"/>
  <c r="F263" i="18"/>
  <c r="F246" i="18"/>
  <c r="F242" i="18"/>
  <c r="F241" i="18"/>
  <c r="F230" i="18"/>
  <c r="F229" i="18"/>
  <c r="F194" i="18"/>
  <c r="F193" i="18"/>
  <c r="F173" i="18"/>
  <c r="F166" i="18"/>
  <c r="F162" i="18"/>
  <c r="F158" i="18"/>
  <c r="F154" i="18"/>
  <c r="F150" i="18"/>
  <c r="F146" i="18"/>
  <c r="F142" i="18"/>
  <c r="F138" i="18"/>
  <c r="F134" i="18"/>
  <c r="F130" i="18"/>
  <c r="F126" i="18"/>
  <c r="F122" i="18"/>
  <c r="F118" i="18"/>
  <c r="F117" i="18"/>
  <c r="F262" i="18"/>
  <c r="F253" i="18"/>
  <c r="F252" i="18"/>
  <c r="F225" i="18"/>
  <c r="F224" i="18"/>
  <c r="F213" i="18"/>
  <c r="F189" i="18"/>
  <c r="D171" i="18"/>
  <c r="F171" i="18" s="1"/>
  <c r="F255" i="18"/>
  <c r="F254" i="18"/>
  <c r="F247" i="18"/>
  <c r="F243" i="18"/>
  <c r="F231" i="18"/>
  <c r="F215" i="18"/>
  <c r="F214" i="18"/>
  <c r="F167" i="18"/>
  <c r="F163" i="18"/>
  <c r="F159" i="18"/>
  <c r="F155" i="18"/>
  <c r="F151" i="18"/>
  <c r="F147" i="18"/>
  <c r="F143" i="18"/>
  <c r="F139" i="18"/>
  <c r="F135" i="18"/>
  <c r="F131" i="18"/>
  <c r="F127" i="18"/>
  <c r="F123" i="18"/>
  <c r="F119" i="18"/>
  <c r="F271" i="18"/>
  <c r="F226" i="18"/>
  <c r="F206" i="18"/>
  <c r="F205" i="18"/>
  <c r="F198" i="18"/>
  <c r="F197" i="18"/>
  <c r="F190" i="18"/>
  <c r="F186" i="18"/>
  <c r="F185" i="18"/>
  <c r="F269" i="18"/>
  <c r="F256" i="18"/>
  <c r="F248" i="18"/>
  <c r="F244" i="18"/>
  <c r="F232" i="18"/>
  <c r="F208" i="18"/>
  <c r="F207" i="18"/>
  <c r="F200" i="18"/>
  <c r="F199" i="18"/>
  <c r="F168" i="18"/>
  <c r="F164" i="18"/>
  <c r="F160" i="18"/>
  <c r="F156" i="18"/>
  <c r="F152" i="18"/>
  <c r="F148" i="18"/>
  <c r="F144" i="18"/>
  <c r="F140" i="18"/>
  <c r="F136" i="18"/>
  <c r="F132" i="18"/>
  <c r="F128" i="18"/>
  <c r="F124" i="18"/>
  <c r="F120" i="18"/>
  <c r="F275" i="18"/>
  <c r="F204" i="18"/>
  <c r="F180" i="18"/>
  <c r="L12" i="18"/>
  <c r="F270" i="18"/>
  <c r="F217" i="18"/>
  <c r="F177" i="18"/>
  <c r="F237" i="18"/>
  <c r="F195" i="18"/>
  <c r="F184" i="18"/>
  <c r="F176" i="18"/>
  <c r="F181" i="18"/>
  <c r="F216" i="18"/>
  <c r="N30" i="18"/>
  <c r="N52" i="18"/>
  <c r="L80" i="18"/>
  <c r="N80" i="18" s="1"/>
  <c r="F196" i="18"/>
  <c r="V14" i="9"/>
  <c r="V16" i="9"/>
  <c r="V18" i="9"/>
  <c r="V38" i="9"/>
  <c r="V50" i="9"/>
  <c r="V58" i="9"/>
  <c r="R63" i="9"/>
  <c r="R64" i="9"/>
  <c r="F67" i="9"/>
  <c r="F75" i="9"/>
  <c r="R83" i="9"/>
  <c r="F88" i="9"/>
  <c r="N85" i="12"/>
  <c r="N88" i="12"/>
  <c r="N97" i="12"/>
  <c r="X183" i="12"/>
  <c r="N190" i="12"/>
  <c r="Z216" i="12"/>
  <c r="N247" i="12"/>
  <c r="L41" i="15"/>
  <c r="N41" i="15" s="1"/>
  <c r="V104" i="15"/>
  <c r="V124" i="15"/>
  <c r="V134" i="15"/>
  <c r="X171" i="15"/>
  <c r="V199" i="15"/>
  <c r="X225" i="15"/>
  <c r="L16" i="18"/>
  <c r="N16" i="18" s="1"/>
  <c r="L18" i="18"/>
  <c r="N18" i="18" s="1"/>
  <c r="X24" i="18"/>
  <c r="Z26" i="18"/>
  <c r="N43" i="18"/>
  <c r="L43" i="18"/>
  <c r="N45" i="21"/>
  <c r="X19" i="18"/>
  <c r="Z19" i="18" s="1"/>
  <c r="X77" i="18"/>
  <c r="L214" i="18"/>
  <c r="N214" i="18" s="1"/>
  <c r="L254" i="18"/>
  <c r="L269" i="18"/>
  <c r="N269" i="18" s="1"/>
  <c r="V57" i="21"/>
  <c r="V69" i="21"/>
  <c r="L190" i="15"/>
  <c r="X196" i="15"/>
  <c r="Z196" i="15" s="1"/>
  <c r="L230" i="15"/>
  <c r="N230" i="15" s="1"/>
  <c r="X242" i="15"/>
  <c r="Z242" i="15" s="1"/>
  <c r="L14" i="18"/>
  <c r="N14" i="18" s="1"/>
  <c r="N68" i="18"/>
  <c r="Z69" i="18"/>
  <c r="Z86" i="18"/>
  <c r="Z224" i="18"/>
  <c r="L262" i="18"/>
  <c r="D261" i="18"/>
  <c r="F261" i="18" s="1"/>
  <c r="P12" i="21"/>
  <c r="X22" i="21"/>
  <c r="Z22" i="21" s="1"/>
  <c r="V42" i="21"/>
  <c r="V78" i="21"/>
  <c r="Z101" i="24"/>
  <c r="N38" i="18"/>
  <c r="N50" i="18"/>
  <c r="N56" i="18"/>
  <c r="N62" i="18"/>
  <c r="L76" i="18"/>
  <c r="N76" i="18" s="1"/>
  <c r="N90" i="18"/>
  <c r="N92" i="18"/>
  <c r="N94" i="18"/>
  <c r="N98" i="18"/>
  <c r="N102" i="18"/>
  <c r="N104" i="18"/>
  <c r="N106" i="18"/>
  <c r="N108" i="18"/>
  <c r="N110" i="18"/>
  <c r="L114" i="18"/>
  <c r="N117" i="18"/>
  <c r="X220" i="18"/>
  <c r="Z220" i="18" s="1"/>
  <c r="Z238" i="18"/>
  <c r="N252" i="18"/>
  <c r="N262" i="18"/>
  <c r="L19" i="21"/>
  <c r="N19" i="21" s="1"/>
  <c r="Z29" i="21"/>
  <c r="L64" i="21"/>
  <c r="X43" i="24"/>
  <c r="Z14" i="27"/>
  <c r="T12" i="27"/>
  <c r="Z22" i="27"/>
  <c r="Z96" i="27"/>
  <c r="L238" i="15"/>
  <c r="N238" i="15" s="1"/>
  <c r="N114" i="18"/>
  <c r="P261" i="18"/>
  <c r="N64" i="21"/>
  <c r="R114" i="24"/>
  <c r="R104" i="24"/>
  <c r="R85" i="24"/>
  <c r="R84" i="24"/>
  <c r="R45" i="24"/>
  <c r="X12" i="24"/>
  <c r="R96" i="24"/>
  <c r="R95" i="24"/>
  <c r="R80" i="24"/>
  <c r="R79" i="24"/>
  <c r="R75" i="24"/>
  <c r="R87" i="24"/>
  <c r="R86" i="24"/>
  <c r="R71" i="24"/>
  <c r="R66" i="24"/>
  <c r="R62" i="24"/>
  <c r="R58" i="24"/>
  <c r="R54" i="24"/>
  <c r="R50" i="24"/>
  <c r="R46" i="24"/>
  <c r="R105" i="24"/>
  <c r="R98" i="24"/>
  <c r="R97" i="24"/>
  <c r="R81" i="24"/>
  <c r="R70" i="24"/>
  <c r="R89" i="24"/>
  <c r="R88" i="24"/>
  <c r="R76" i="24"/>
  <c r="R72" i="24"/>
  <c r="P68" i="24"/>
  <c r="R99" i="24"/>
  <c r="R63" i="24"/>
  <c r="R59" i="24"/>
  <c r="R55" i="24"/>
  <c r="R51" i="24"/>
  <c r="R47" i="24"/>
  <c r="R107" i="24"/>
  <c r="R106" i="24"/>
  <c r="R90" i="24"/>
  <c r="R82" i="24"/>
  <c r="R77" i="24"/>
  <c r="R73" i="24"/>
  <c r="R108" i="24"/>
  <c r="R101" i="24"/>
  <c r="R100" i="24"/>
  <c r="R64" i="24"/>
  <c r="R60" i="24"/>
  <c r="R56" i="24"/>
  <c r="R52" i="24"/>
  <c r="R48" i="24"/>
  <c r="R110" i="24"/>
  <c r="R92" i="24"/>
  <c r="R91" i="24"/>
  <c r="R83" i="24"/>
  <c r="R94" i="24"/>
  <c r="R93" i="24"/>
  <c r="R65" i="24"/>
  <c r="R61" i="24"/>
  <c r="R57" i="24"/>
  <c r="R53" i="24"/>
  <c r="R49" i="24"/>
  <c r="Z43" i="24"/>
  <c r="X13" i="15"/>
  <c r="X17" i="15"/>
  <c r="Z17" i="15" s="1"/>
  <c r="X21" i="15"/>
  <c r="X25" i="15"/>
  <c r="Z25" i="15" s="1"/>
  <c r="X29" i="15"/>
  <c r="Z29" i="15" s="1"/>
  <c r="X33" i="15"/>
  <c r="Z33" i="15" s="1"/>
  <c r="X37" i="15"/>
  <c r="Z37" i="15" s="1"/>
  <c r="X41" i="15"/>
  <c r="Z41" i="15" s="1"/>
  <c r="X45" i="15"/>
  <c r="Z45" i="15" s="1"/>
  <c r="X49" i="15"/>
  <c r="Z49" i="15" s="1"/>
  <c r="X53" i="15"/>
  <c r="Z53" i="15" s="1"/>
  <c r="X57" i="15"/>
  <c r="X61" i="15"/>
  <c r="X65" i="15"/>
  <c r="Z65" i="15" s="1"/>
  <c r="X69" i="15"/>
  <c r="Z69" i="15" s="1"/>
  <c r="X73" i="15"/>
  <c r="Z73" i="15" s="1"/>
  <c r="X77" i="15"/>
  <c r="X81" i="15"/>
  <c r="Z81" i="15" s="1"/>
  <c r="X85" i="15"/>
  <c r="Z85" i="15" s="1"/>
  <c r="X89" i="15"/>
  <c r="Z89" i="15" s="1"/>
  <c r="X93" i="15"/>
  <c r="Z93" i="15" s="1"/>
  <c r="L13" i="18"/>
  <c r="L17" i="18"/>
  <c r="N17" i="18" s="1"/>
  <c r="X18" i="18"/>
  <c r="Z18" i="18" s="1"/>
  <c r="X25" i="18"/>
  <c r="Z25" i="18" s="1"/>
  <c r="N34" i="18"/>
  <c r="N73" i="18"/>
  <c r="L78" i="18"/>
  <c r="N78" i="18" s="1"/>
  <c r="X81" i="18"/>
  <c r="X88" i="18"/>
  <c r="Z88" i="18" s="1"/>
  <c r="Z90" i="18"/>
  <c r="Z94" i="18"/>
  <c r="Z98" i="18"/>
  <c r="Z102" i="18"/>
  <c r="Z106" i="18"/>
  <c r="Z110" i="18"/>
  <c r="Z252" i="18"/>
  <c r="Z258" i="18"/>
  <c r="T261" i="18"/>
  <c r="N15" i="21"/>
  <c r="L15" i="21"/>
  <c r="N28" i="21"/>
  <c r="V49" i="21"/>
  <c r="N66" i="21"/>
  <c r="N68" i="21"/>
  <c r="V70" i="21"/>
  <c r="N85" i="21"/>
  <c r="T12" i="24"/>
  <c r="Z17" i="24"/>
  <c r="Z19" i="24"/>
  <c r="Z21" i="24"/>
  <c r="Z23" i="24"/>
  <c r="Z25" i="24"/>
  <c r="Z27" i="24"/>
  <c r="Z29" i="24"/>
  <c r="Z31" i="24"/>
  <c r="Z33" i="24"/>
  <c r="Z35" i="24"/>
  <c r="Z37" i="24"/>
  <c r="Z39" i="24"/>
  <c r="Z41" i="24"/>
  <c r="X31" i="18"/>
  <c r="Z31" i="18" s="1"/>
  <c r="X41" i="18"/>
  <c r="Z41" i="18" s="1"/>
  <c r="X47" i="18"/>
  <c r="Z47" i="18" s="1"/>
  <c r="X53" i="18"/>
  <c r="Z53" i="18" s="1"/>
  <c r="X59" i="18"/>
  <c r="Z59" i="18" s="1"/>
  <c r="X65" i="18"/>
  <c r="Z65" i="18" s="1"/>
  <c r="X78" i="18"/>
  <c r="Z78" i="18" s="1"/>
  <c r="Z81" i="18"/>
  <c r="N85" i="18"/>
  <c r="N54" i="21"/>
  <c r="R102" i="24"/>
  <c r="V94" i="21"/>
  <c r="V72" i="21"/>
  <c r="V64" i="21"/>
  <c r="V52" i="21"/>
  <c r="V28" i="21"/>
  <c r="V24" i="21"/>
  <c r="V83" i="21"/>
  <c r="V79" i="21"/>
  <c r="V63" i="21"/>
  <c r="V43" i="21"/>
  <c r="V39" i="21"/>
  <c r="T26" i="21"/>
  <c r="V66" i="21"/>
  <c r="V54" i="21"/>
  <c r="V34" i="21"/>
  <c r="V30" i="21"/>
  <c r="V85" i="21"/>
  <c r="V73" i="21"/>
  <c r="V65" i="21"/>
  <c r="V53" i="21"/>
  <c r="V45" i="21"/>
  <c r="V84" i="21"/>
  <c r="V80" i="21"/>
  <c r="V68" i="21"/>
  <c r="V56" i="21"/>
  <c r="V44" i="21"/>
  <c r="V40" i="21"/>
  <c r="V87" i="21"/>
  <c r="V67" i="21"/>
  <c r="V55" i="21"/>
  <c r="V47" i="21"/>
  <c r="V35" i="21"/>
  <c r="V31" i="21"/>
  <c r="V86" i="21"/>
  <c r="V74" i="21"/>
  <c r="V58" i="21"/>
  <c r="V46" i="21"/>
  <c r="V22" i="21"/>
  <c r="V81" i="21"/>
  <c r="V90" i="21"/>
  <c r="V88" i="21"/>
  <c r="V76" i="21"/>
  <c r="V60" i="21"/>
  <c r="V48" i="21"/>
  <c r="V36" i="21"/>
  <c r="V32" i="21"/>
  <c r="V75" i="21"/>
  <c r="V71" i="21"/>
  <c r="V59" i="21"/>
  <c r="V51" i="21"/>
  <c r="V23" i="21"/>
  <c r="V77" i="21"/>
  <c r="V61" i="21"/>
  <c r="V37" i="21"/>
  <c r="V33" i="21"/>
  <c r="V29" i="21"/>
  <c r="Z33" i="27"/>
  <c r="X27" i="18"/>
  <c r="Z27" i="18" s="1"/>
  <c r="Z73" i="18"/>
  <c r="L82" i="18"/>
  <c r="X85" i="18"/>
  <c r="Z174" i="18"/>
  <c r="Z266" i="18"/>
  <c r="N270" i="18"/>
  <c r="N20" i="21"/>
  <c r="V50" i="21"/>
  <c r="X58" i="21"/>
  <c r="Z58" i="21" s="1"/>
  <c r="Z62" i="21"/>
  <c r="J101" i="24"/>
  <c r="J91" i="24"/>
  <c r="J83" i="24"/>
  <c r="J110" i="24"/>
  <c r="J102" i="24"/>
  <c r="J92" i="24"/>
  <c r="J78" i="24"/>
  <c r="J74" i="24"/>
  <c r="J103" i="24"/>
  <c r="J93" i="24"/>
  <c r="J65" i="24"/>
  <c r="J61" i="24"/>
  <c r="J57" i="24"/>
  <c r="J53" i="24"/>
  <c r="J49" i="24"/>
  <c r="J114" i="24"/>
  <c r="J104" i="24"/>
  <c r="J94" i="24"/>
  <c r="J84" i="24"/>
  <c r="J95" i="24"/>
  <c r="J85" i="24"/>
  <c r="J79" i="24"/>
  <c r="J75" i="24"/>
  <c r="J45" i="24"/>
  <c r="J96" i="24"/>
  <c r="J86" i="24"/>
  <c r="J80" i="24"/>
  <c r="J66" i="24"/>
  <c r="J62" i="24"/>
  <c r="J58" i="24"/>
  <c r="J54" i="24"/>
  <c r="J50" i="24"/>
  <c r="J46" i="24"/>
  <c r="J105" i="24"/>
  <c r="J97" i="24"/>
  <c r="J87" i="24"/>
  <c r="J81" i="24"/>
  <c r="J71" i="24"/>
  <c r="J98" i="24"/>
  <c r="J88" i="24"/>
  <c r="J76" i="24"/>
  <c r="J72" i="24"/>
  <c r="J70" i="24"/>
  <c r="J99" i="24"/>
  <c r="J89" i="24"/>
  <c r="H68" i="24"/>
  <c r="J68" i="24" s="1"/>
  <c r="J63" i="24"/>
  <c r="J59" i="24"/>
  <c r="J55" i="24"/>
  <c r="J51" i="24"/>
  <c r="J47" i="24"/>
  <c r="J106" i="24"/>
  <c r="J90" i="24"/>
  <c r="J82" i="24"/>
  <c r="J108" i="24"/>
  <c r="J100" i="24"/>
  <c r="J64" i="24"/>
  <c r="J60" i="24"/>
  <c r="J56" i="24"/>
  <c r="J52" i="24"/>
  <c r="J48" i="24"/>
  <c r="N18" i="24"/>
  <c r="N22" i="24"/>
  <c r="N26" i="24"/>
  <c r="N30" i="24"/>
  <c r="N34" i="24"/>
  <c r="N38" i="24"/>
  <c r="N42" i="24"/>
  <c r="N26" i="18"/>
  <c r="N72" i="18"/>
  <c r="N82" i="18"/>
  <c r="Z85" i="18"/>
  <c r="N97" i="18"/>
  <c r="N105" i="18"/>
  <c r="N18" i="21"/>
  <c r="V41" i="21"/>
  <c r="V62" i="21"/>
  <c r="X23" i="18"/>
  <c r="Z23" i="18" s="1"/>
  <c r="X43" i="18"/>
  <c r="Z43" i="18" s="1"/>
  <c r="X49" i="18"/>
  <c r="Z49" i="18" s="1"/>
  <c r="X55" i="18"/>
  <c r="Z55" i="18" s="1"/>
  <c r="X61" i="18"/>
  <c r="Z61" i="18" s="1"/>
  <c r="N66" i="18"/>
  <c r="N77" i="18"/>
  <c r="X82" i="18"/>
  <c r="Z82" i="18" s="1"/>
  <c r="N84" i="18"/>
  <c r="L89" i="18"/>
  <c r="N89" i="18" s="1"/>
  <c r="L93" i="18"/>
  <c r="L97" i="18"/>
  <c r="L101" i="18"/>
  <c r="N101" i="18" s="1"/>
  <c r="L105" i="18"/>
  <c r="L109" i="18"/>
  <c r="N109" i="18" s="1"/>
  <c r="N113" i="18"/>
  <c r="L113" i="18"/>
  <c r="N173" i="18"/>
  <c r="Z195" i="18"/>
  <c r="L207" i="18"/>
  <c r="N207" i="18" s="1"/>
  <c r="N209" i="18"/>
  <c r="N233" i="18"/>
  <c r="X263" i="18"/>
  <c r="Z263" i="18" s="1"/>
  <c r="N16" i="21"/>
  <c r="V38" i="21"/>
  <c r="Z60" i="21"/>
  <c r="X71" i="21"/>
  <c r="R78" i="24"/>
  <c r="Z85" i="24"/>
  <c r="N22" i="18"/>
  <c r="N42" i="18"/>
  <c r="N48" i="18"/>
  <c r="N54" i="18"/>
  <c r="N60" i="18"/>
  <c r="N74" i="18"/>
  <c r="L86" i="18"/>
  <c r="N86" i="18" s="1"/>
  <c r="X173" i="18"/>
  <c r="Z173" i="18" s="1"/>
  <c r="N249" i="18"/>
  <c r="N267" i="18"/>
  <c r="N14" i="21"/>
  <c r="Z71" i="21"/>
  <c r="Z14" i="24"/>
  <c r="Z18" i="24"/>
  <c r="Z22" i="24"/>
  <c r="Z26" i="24"/>
  <c r="Z30" i="24"/>
  <c r="Z34" i="24"/>
  <c r="Z38" i="24"/>
  <c r="Z42" i="24"/>
  <c r="N13" i="21"/>
  <c r="N17" i="21"/>
  <c r="F45" i="21"/>
  <c r="F46" i="21"/>
  <c r="F74" i="21"/>
  <c r="F85" i="21"/>
  <c r="F86" i="21"/>
  <c r="N16" i="27"/>
  <c r="N18" i="27"/>
  <c r="X31" i="27"/>
  <c r="Z31" i="27" s="1"/>
  <c r="X33" i="27"/>
  <c r="F142" i="30"/>
  <c r="F137" i="30"/>
  <c r="F120" i="30"/>
  <c r="F119" i="30"/>
  <c r="F136" i="30"/>
  <c r="F126" i="30"/>
  <c r="F122" i="30"/>
  <c r="F121" i="30"/>
  <c r="F114" i="30"/>
  <c r="F128" i="30"/>
  <c r="F127" i="30"/>
  <c r="F123" i="30"/>
  <c r="F117" i="30"/>
  <c r="F109" i="30"/>
  <c r="F108" i="30"/>
  <c r="F132" i="30"/>
  <c r="F131" i="30"/>
  <c r="F124" i="30"/>
  <c r="F134" i="30"/>
  <c r="F133" i="30"/>
  <c r="F102" i="30"/>
  <c r="F93" i="30"/>
  <c r="F92" i="30"/>
  <c r="F76" i="30"/>
  <c r="F74" i="30"/>
  <c r="F69" i="30"/>
  <c r="F65" i="30"/>
  <c r="F61" i="30"/>
  <c r="F57" i="30"/>
  <c r="F103" i="30"/>
  <c r="F88" i="30"/>
  <c r="D74" i="30"/>
  <c r="L12" i="30"/>
  <c r="F118" i="30"/>
  <c r="F113" i="30"/>
  <c r="F95" i="30"/>
  <c r="F94" i="30"/>
  <c r="F83" i="30"/>
  <c r="F79" i="30"/>
  <c r="F104" i="30"/>
  <c r="F70" i="30"/>
  <c r="F66" i="30"/>
  <c r="F62" i="30"/>
  <c r="F58" i="30"/>
  <c r="F54" i="30"/>
  <c r="F53" i="30"/>
  <c r="F116" i="30"/>
  <c r="F105" i="30"/>
  <c r="F97" i="30"/>
  <c r="F96" i="30"/>
  <c r="F89" i="30"/>
  <c r="F129" i="30"/>
  <c r="F125" i="30"/>
  <c r="F110" i="30"/>
  <c r="F84" i="30"/>
  <c r="F80" i="30"/>
  <c r="F138" i="30"/>
  <c r="F111" i="30"/>
  <c r="F99" i="30"/>
  <c r="F98" i="30"/>
  <c r="F71" i="30"/>
  <c r="F67" i="30"/>
  <c r="F63" i="30"/>
  <c r="F59" i="30"/>
  <c r="F55" i="30"/>
  <c r="F106" i="30"/>
  <c r="F90" i="30"/>
  <c r="F100" i="30"/>
  <c r="F85" i="30"/>
  <c r="F81" i="30"/>
  <c r="F107" i="30"/>
  <c r="F101" i="30"/>
  <c r="F72" i="30"/>
  <c r="F68" i="30"/>
  <c r="F64" i="30"/>
  <c r="F60" i="30"/>
  <c r="F56" i="30"/>
  <c r="F115" i="30"/>
  <c r="F82" i="30"/>
  <c r="F78" i="30"/>
  <c r="F77" i="30"/>
  <c r="X32" i="30"/>
  <c r="F86" i="30"/>
  <c r="X262" i="18"/>
  <c r="L12" i="21"/>
  <c r="D26" i="21"/>
  <c r="F26" i="21" s="1"/>
  <c r="F40" i="21"/>
  <c r="F44" i="21"/>
  <c r="F80" i="21"/>
  <c r="F84" i="21"/>
  <c r="N14" i="24"/>
  <c r="X15" i="24"/>
  <c r="Z15" i="24" s="1"/>
  <c r="X45" i="24"/>
  <c r="Z45" i="24" s="1"/>
  <c r="X85" i="24"/>
  <c r="N24" i="27"/>
  <c r="Z35" i="27"/>
  <c r="D53" i="27"/>
  <c r="N73" i="27"/>
  <c r="N77" i="30"/>
  <c r="N133" i="30"/>
  <c r="Z83" i="33"/>
  <c r="X83" i="33"/>
  <c r="T80" i="33"/>
  <c r="Z262" i="18"/>
  <c r="F28" i="21"/>
  <c r="F53" i="21"/>
  <c r="F64" i="21"/>
  <c r="F65" i="21"/>
  <c r="F73" i="21"/>
  <c r="Z16" i="27"/>
  <c r="X20" i="27"/>
  <c r="Z20" i="27" s="1"/>
  <c r="X22" i="27"/>
  <c r="L24" i="27"/>
  <c r="N28" i="27"/>
  <c r="N30" i="27"/>
  <c r="X75" i="27"/>
  <c r="N19" i="30"/>
  <c r="N23" i="30"/>
  <c r="N43" i="30"/>
  <c r="Z51" i="30"/>
  <c r="X51" i="30"/>
  <c r="N32" i="27"/>
  <c r="Z75" i="27"/>
  <c r="Z15" i="30"/>
  <c r="X15" i="30"/>
  <c r="N27" i="33"/>
  <c r="H261" i="18"/>
  <c r="F38" i="21"/>
  <c r="F39" i="21"/>
  <c r="F43" i="21"/>
  <c r="F62" i="21"/>
  <c r="F63" i="21"/>
  <c r="F78" i="21"/>
  <c r="F79" i="21"/>
  <c r="F83" i="21"/>
  <c r="Z24" i="27"/>
  <c r="X28" i="27"/>
  <c r="X30" i="27"/>
  <c r="Z30" i="27" s="1"/>
  <c r="L32" i="27"/>
  <c r="N36" i="27"/>
  <c r="N104" i="27"/>
  <c r="X47" i="30"/>
  <c r="Z47" i="30" s="1"/>
  <c r="N53" i="30"/>
  <c r="F112" i="30"/>
  <c r="F24" i="21"/>
  <c r="F51" i="21"/>
  <c r="F52" i="21"/>
  <c r="F71" i="21"/>
  <c r="F72" i="21"/>
  <c r="F94" i="21"/>
  <c r="Z28" i="27"/>
  <c r="Z19" i="30"/>
  <c r="X19" i="30"/>
  <c r="Z23" i="30"/>
  <c r="X23" i="30"/>
  <c r="Z27" i="30"/>
  <c r="X27" i="30"/>
  <c r="X43" i="30"/>
  <c r="Z43" i="30" s="1"/>
  <c r="F87" i="30"/>
  <c r="F33" i="21"/>
  <c r="F37" i="21"/>
  <c r="F60" i="21"/>
  <c r="F61" i="21"/>
  <c r="F76" i="21"/>
  <c r="F77" i="21"/>
  <c r="F90" i="21"/>
  <c r="P12" i="27"/>
  <c r="X13" i="27"/>
  <c r="Z32" i="27"/>
  <c r="X35" i="30"/>
  <c r="Z35" i="30" s="1"/>
  <c r="X39" i="30"/>
  <c r="Z39" i="30" s="1"/>
  <c r="V120" i="36"/>
  <c r="V106" i="36"/>
  <c r="V105" i="36"/>
  <c r="V88" i="36"/>
  <c r="V84" i="36"/>
  <c r="V107" i="36"/>
  <c r="V99" i="36"/>
  <c r="V95" i="36"/>
  <c r="V90" i="36"/>
  <c r="V78" i="36"/>
  <c r="V108" i="36"/>
  <c r="V100" i="36"/>
  <c r="V96" i="36"/>
  <c r="V92" i="36"/>
  <c r="V116" i="36"/>
  <c r="V110" i="36"/>
  <c r="V102" i="36"/>
  <c r="V86" i="36"/>
  <c r="V70" i="36"/>
  <c r="V115" i="36"/>
  <c r="V109" i="36"/>
  <c r="V101" i="36"/>
  <c r="V97" i="36"/>
  <c r="V93" i="36"/>
  <c r="V113" i="36"/>
  <c r="V111" i="36"/>
  <c r="V87" i="36"/>
  <c r="V63" i="36"/>
  <c r="V55" i="36"/>
  <c r="V62" i="36"/>
  <c r="V54" i="36"/>
  <c r="V46" i="36"/>
  <c r="V42" i="36"/>
  <c r="V65" i="36"/>
  <c r="V37" i="36"/>
  <c r="V33" i="36"/>
  <c r="V104" i="36"/>
  <c r="V85" i="36"/>
  <c r="V82" i="36"/>
  <c r="V64" i="36"/>
  <c r="V56" i="36"/>
  <c r="V24" i="36"/>
  <c r="V75" i="36"/>
  <c r="V72" i="36"/>
  <c r="V71" i="36"/>
  <c r="V47" i="36"/>
  <c r="V43" i="36"/>
  <c r="V91" i="36"/>
  <c r="V79" i="36"/>
  <c r="V66" i="36"/>
  <c r="V38" i="36"/>
  <c r="V34" i="36"/>
  <c r="V76" i="36"/>
  <c r="V57" i="36"/>
  <c r="V49" i="36"/>
  <c r="V25" i="36"/>
  <c r="V98" i="36"/>
  <c r="V94" i="36"/>
  <c r="V83" i="36"/>
  <c r="V68" i="36"/>
  <c r="V67" i="36"/>
  <c r="V59" i="36"/>
  <c r="V51" i="36"/>
  <c r="V39" i="36"/>
  <c r="V35" i="36"/>
  <c r="V31" i="36"/>
  <c r="V81" i="36"/>
  <c r="V80" i="36"/>
  <c r="V73" i="36"/>
  <c r="V58" i="36"/>
  <c r="V50" i="36"/>
  <c r="V30" i="36"/>
  <c r="V26" i="36"/>
  <c r="V74" i="36"/>
  <c r="V69" i="36"/>
  <c r="V60" i="36"/>
  <c r="V52" i="36"/>
  <c r="V40" i="36"/>
  <c r="V36" i="36"/>
  <c r="V32" i="36"/>
  <c r="V61" i="36"/>
  <c r="V89" i="36"/>
  <c r="V77" i="36"/>
  <c r="T28" i="36"/>
  <c r="V114" i="36"/>
  <c r="V48" i="36"/>
  <c r="V45" i="36"/>
  <c r="V103" i="36"/>
  <c r="V53" i="36"/>
  <c r="V44" i="36"/>
  <c r="V41" i="36"/>
  <c r="L92" i="18"/>
  <c r="L96" i="18"/>
  <c r="N96" i="18" s="1"/>
  <c r="L100" i="18"/>
  <c r="L104" i="18"/>
  <c r="L14" i="21"/>
  <c r="L18" i="21"/>
  <c r="F42" i="21"/>
  <c r="F49" i="21"/>
  <c r="F50" i="21"/>
  <c r="F70" i="21"/>
  <c r="F82" i="21"/>
  <c r="X15" i="27"/>
  <c r="Z15" i="27" s="1"/>
  <c r="X17" i="27"/>
  <c r="Z17" i="27" s="1"/>
  <c r="N23" i="27"/>
  <c r="N25" i="27"/>
  <c r="Z36" i="27"/>
  <c r="X96" i="27"/>
  <c r="Z105" i="27"/>
  <c r="T104" i="27"/>
  <c r="Z31" i="30"/>
  <c r="X31" i="30"/>
  <c r="N48" i="30"/>
  <c r="F22" i="21"/>
  <c r="F23" i="21"/>
  <c r="X45" i="21"/>
  <c r="Z45" i="21" s="1"/>
  <c r="L51" i="21"/>
  <c r="N51" i="21" s="1"/>
  <c r="F58" i="21"/>
  <c r="F59" i="21"/>
  <c r="L71" i="21"/>
  <c r="N71" i="21" s="1"/>
  <c r="F75" i="21"/>
  <c r="X85" i="21"/>
  <c r="Z85" i="21" s="1"/>
  <c r="Z13" i="24"/>
  <c r="F130" i="30"/>
  <c r="R72" i="33"/>
  <c r="R57" i="33"/>
  <c r="R56" i="33"/>
  <c r="R44" i="33"/>
  <c r="R40" i="33"/>
  <c r="P36" i="33"/>
  <c r="R68" i="33"/>
  <c r="R67" i="33"/>
  <c r="R31" i="33"/>
  <c r="R59" i="33"/>
  <c r="R58" i="33"/>
  <c r="R50" i="33"/>
  <c r="R73" i="33"/>
  <c r="R69" i="33"/>
  <c r="R45" i="33"/>
  <c r="R41" i="33"/>
  <c r="R60" i="33"/>
  <c r="R32" i="33"/>
  <c r="R51" i="33"/>
  <c r="R85" i="33"/>
  <c r="R75" i="33"/>
  <c r="R74" i="33"/>
  <c r="R70" i="33"/>
  <c r="R46" i="33"/>
  <c r="R42" i="33"/>
  <c r="R83" i="33"/>
  <c r="R77" i="33"/>
  <c r="R76" i="33"/>
  <c r="R53" i="33"/>
  <c r="R52" i="33"/>
  <c r="R29" i="33"/>
  <c r="R89" i="33"/>
  <c r="R82" i="33"/>
  <c r="R71" i="33"/>
  <c r="R64" i="33"/>
  <c r="R63" i="33"/>
  <c r="R48" i="33"/>
  <c r="R47" i="33"/>
  <c r="R43" i="33"/>
  <c r="R80" i="33"/>
  <c r="R66" i="33"/>
  <c r="R65" i="33"/>
  <c r="R49" i="33"/>
  <c r="R38" i="33"/>
  <c r="R54" i="33"/>
  <c r="R34" i="33"/>
  <c r="R81" i="33"/>
  <c r="R84" i="33"/>
  <c r="R62" i="33"/>
  <c r="R55" i="33"/>
  <c r="R33" i="33"/>
  <c r="R78" i="33"/>
  <c r="R61" i="33"/>
  <c r="R39" i="33"/>
  <c r="F32" i="21"/>
  <c r="F36" i="21"/>
  <c r="F47" i="21"/>
  <c r="F48" i="21"/>
  <c r="F87" i="21"/>
  <c r="F88" i="21"/>
  <c r="L43" i="24"/>
  <c r="N43" i="24" s="1"/>
  <c r="Z19" i="27"/>
  <c r="Z21" i="27"/>
  <c r="X88" i="27"/>
  <c r="Z88" i="27" s="1"/>
  <c r="T12" i="30"/>
  <c r="Z48" i="30"/>
  <c r="F91" i="30"/>
  <c r="F41" i="21"/>
  <c r="F56" i="21"/>
  <c r="F57" i="21"/>
  <c r="F68" i="21"/>
  <c r="F69" i="21"/>
  <c r="N14" i="27"/>
  <c r="Z23" i="27"/>
  <c r="Z25" i="27"/>
  <c r="X27" i="27"/>
  <c r="Z27" i="27" s="1"/>
  <c r="X29" i="27"/>
  <c r="Z29" i="27" s="1"/>
  <c r="N35" i="27"/>
  <c r="Z80" i="27"/>
  <c r="X20" i="30"/>
  <c r="Z20" i="30" s="1"/>
  <c r="X24" i="30"/>
  <c r="Z24" i="30" s="1"/>
  <c r="X28" i="30"/>
  <c r="X36" i="30"/>
  <c r="Z36" i="30" s="1"/>
  <c r="X40" i="30"/>
  <c r="Z44" i="30"/>
  <c r="N24" i="36"/>
  <c r="F59" i="27"/>
  <c r="F63" i="27"/>
  <c r="F82" i="27"/>
  <c r="F83" i="27"/>
  <c r="L105" i="27"/>
  <c r="N105" i="27" s="1"/>
  <c r="P12" i="30"/>
  <c r="J57" i="30"/>
  <c r="J61" i="30"/>
  <c r="J65" i="30"/>
  <c r="J69" i="30"/>
  <c r="H74" i="30"/>
  <c r="J93" i="30"/>
  <c r="J108" i="30"/>
  <c r="L112" i="30"/>
  <c r="J134" i="30"/>
  <c r="L12" i="33"/>
  <c r="L27" i="33"/>
  <c r="F42" i="33"/>
  <c r="F66" i="36"/>
  <c r="F41" i="27"/>
  <c r="F45" i="27"/>
  <c r="F49" i="27"/>
  <c r="F80" i="27"/>
  <c r="F81" i="27"/>
  <c r="F92" i="27"/>
  <c r="F93" i="27"/>
  <c r="L76" i="30"/>
  <c r="N76" i="30" s="1"/>
  <c r="J77" i="30"/>
  <c r="J87" i="30"/>
  <c r="J91" i="30"/>
  <c r="N112" i="30"/>
  <c r="X115" i="30"/>
  <c r="Z115" i="30" s="1"/>
  <c r="N23" i="33"/>
  <c r="N57" i="33"/>
  <c r="F58" i="27"/>
  <c r="F62" i="27"/>
  <c r="F98" i="27"/>
  <c r="J56" i="30"/>
  <c r="J60" i="30"/>
  <c r="J64" i="30"/>
  <c r="J68" i="30"/>
  <c r="J72" i="30"/>
  <c r="J86" i="30"/>
  <c r="J101" i="30"/>
  <c r="L106" i="30"/>
  <c r="N106" i="30" s="1"/>
  <c r="J107" i="30"/>
  <c r="J112" i="30"/>
  <c r="J117" i="30"/>
  <c r="L15" i="33"/>
  <c r="N15" i="33" s="1"/>
  <c r="N19" i="33"/>
  <c r="N21" i="33"/>
  <c r="L22" i="36"/>
  <c r="N22" i="36" s="1"/>
  <c r="F33" i="36"/>
  <c r="L76" i="36"/>
  <c r="N76" i="36" s="1"/>
  <c r="P12" i="39"/>
  <c r="X13" i="39"/>
  <c r="Z13" i="39" s="1"/>
  <c r="J136" i="30"/>
  <c r="F85" i="33"/>
  <c r="F76" i="33"/>
  <c r="F75" i="33"/>
  <c r="F52" i="33"/>
  <c r="F89" i="33"/>
  <c r="F84" i="33"/>
  <c r="F71" i="33"/>
  <c r="F63" i="33"/>
  <c r="F62" i="33"/>
  <c r="F47" i="33"/>
  <c r="F43" i="33"/>
  <c r="F83" i="33"/>
  <c r="F78" i="33"/>
  <c r="F77" i="33"/>
  <c r="F54" i="33"/>
  <c r="F53" i="33"/>
  <c r="F34" i="33"/>
  <c r="F30" i="33"/>
  <c r="F29" i="33"/>
  <c r="F82" i="33"/>
  <c r="F65" i="33"/>
  <c r="F64" i="33"/>
  <c r="F49" i="33"/>
  <c r="F48" i="33"/>
  <c r="F81" i="33"/>
  <c r="F72" i="33"/>
  <c r="F56" i="33"/>
  <c r="F55" i="33"/>
  <c r="F44" i="33"/>
  <c r="F40" i="33"/>
  <c r="F39" i="33"/>
  <c r="F67" i="33"/>
  <c r="F66" i="33"/>
  <c r="F38" i="33"/>
  <c r="F36" i="33"/>
  <c r="F31" i="33"/>
  <c r="F58" i="33"/>
  <c r="F57" i="33"/>
  <c r="F50" i="33"/>
  <c r="D36" i="33"/>
  <c r="F60" i="33"/>
  <c r="F59" i="33"/>
  <c r="F32" i="33"/>
  <c r="F51" i="33"/>
  <c r="F61" i="33"/>
  <c r="F33" i="33"/>
  <c r="Z57" i="33"/>
  <c r="F68" i="33"/>
  <c r="F70" i="33"/>
  <c r="P80" i="33"/>
  <c r="X80" i="33" s="1"/>
  <c r="X82" i="33"/>
  <c r="Z82" i="33" s="1"/>
  <c r="L18" i="36"/>
  <c r="N18" i="36" s="1"/>
  <c r="F40" i="27"/>
  <c r="F44" i="27"/>
  <c r="F48" i="27"/>
  <c r="F53" i="27"/>
  <c r="F55" i="27"/>
  <c r="J90" i="30"/>
  <c r="J100" i="30"/>
  <c r="H12" i="33"/>
  <c r="Z25" i="33"/>
  <c r="X38" i="33"/>
  <c r="Z38" i="33" s="1"/>
  <c r="F46" i="33"/>
  <c r="F73" i="33"/>
  <c r="N14" i="36"/>
  <c r="L14" i="36"/>
  <c r="Z49" i="36"/>
  <c r="L72" i="36"/>
  <c r="N72" i="36" s="1"/>
  <c r="P12" i="42"/>
  <c r="F56" i="27"/>
  <c r="F57" i="27"/>
  <c r="F61" i="27"/>
  <c r="F65" i="27"/>
  <c r="F77" i="27"/>
  <c r="F88" i="27"/>
  <c r="F89" i="27"/>
  <c r="F96" i="27"/>
  <c r="F97" i="27"/>
  <c r="J55" i="30"/>
  <c r="J59" i="30"/>
  <c r="J63" i="30"/>
  <c r="J67" i="30"/>
  <c r="J71" i="30"/>
  <c r="J99" i="30"/>
  <c r="J106" i="30"/>
  <c r="Z112" i="30"/>
  <c r="L133" i="30"/>
  <c r="X66" i="33"/>
  <c r="Z66" i="33" s="1"/>
  <c r="L24" i="36"/>
  <c r="F65" i="36"/>
  <c r="F70" i="27"/>
  <c r="L41" i="30"/>
  <c r="L45" i="30"/>
  <c r="L49" i="30"/>
  <c r="N49" i="30" s="1"/>
  <c r="J80" i="30"/>
  <c r="J84" i="30"/>
  <c r="J98" i="30"/>
  <c r="J123" i="30"/>
  <c r="J138" i="30"/>
  <c r="T12" i="33"/>
  <c r="X12" i="33" s="1"/>
  <c r="X13" i="33"/>
  <c r="F41" i="33"/>
  <c r="Z53" i="33"/>
  <c r="X53" i="33"/>
  <c r="P12" i="36"/>
  <c r="F34" i="36"/>
  <c r="F38" i="27"/>
  <c r="F39" i="27"/>
  <c r="F43" i="27"/>
  <c r="F47" i="27"/>
  <c r="F51" i="27"/>
  <c r="F86" i="27"/>
  <c r="F87" i="27"/>
  <c r="F95" i="27"/>
  <c r="F104" i="27"/>
  <c r="J89" i="30"/>
  <c r="J97" i="30"/>
  <c r="X138" i="30"/>
  <c r="P136" i="30"/>
  <c r="X136" i="30" s="1"/>
  <c r="Z136" i="30" s="1"/>
  <c r="Z13" i="33"/>
  <c r="L26" i="33"/>
  <c r="N26" i="33" s="1"/>
  <c r="Z68" i="33"/>
  <c r="Z75" i="33"/>
  <c r="Z77" i="33"/>
  <c r="X77" i="33"/>
  <c r="F60" i="27"/>
  <c r="F64" i="27"/>
  <c r="F75" i="27"/>
  <c r="F76" i="27"/>
  <c r="F105" i="27"/>
  <c r="F110" i="27"/>
  <c r="J121" i="30"/>
  <c r="J126" i="30"/>
  <c r="J122" i="30"/>
  <c r="J114" i="30"/>
  <c r="J127" i="30"/>
  <c r="J115" i="30"/>
  <c r="J105" i="30"/>
  <c r="J128" i="30"/>
  <c r="J129" i="30"/>
  <c r="J130" i="30"/>
  <c r="J132" i="30"/>
  <c r="J124" i="30"/>
  <c r="J110" i="30"/>
  <c r="J133" i="30"/>
  <c r="J111" i="30"/>
  <c r="J137" i="30"/>
  <c r="J125" i="30"/>
  <c r="J119" i="30"/>
  <c r="J54" i="30"/>
  <c r="J58" i="30"/>
  <c r="J62" i="30"/>
  <c r="J66" i="30"/>
  <c r="J70" i="30"/>
  <c r="J96" i="30"/>
  <c r="J131" i="30"/>
  <c r="H136" i="30"/>
  <c r="N137" i="30"/>
  <c r="L22" i="33"/>
  <c r="N22" i="33" s="1"/>
  <c r="N19" i="36"/>
  <c r="L19" i="36"/>
  <c r="Z81" i="36"/>
  <c r="F69" i="27"/>
  <c r="F84" i="27"/>
  <c r="F85" i="27"/>
  <c r="F106" i="27"/>
  <c r="L32" i="30"/>
  <c r="L36" i="30"/>
  <c r="N36" i="30" s="1"/>
  <c r="L40" i="30"/>
  <c r="L44" i="30"/>
  <c r="N44" i="30" s="1"/>
  <c r="L48" i="30"/>
  <c r="J53" i="30"/>
  <c r="J79" i="30"/>
  <c r="J83" i="30"/>
  <c r="J95" i="30"/>
  <c r="J104" i="30"/>
  <c r="Z106" i="30"/>
  <c r="J109" i="30"/>
  <c r="J113" i="30"/>
  <c r="J118" i="30"/>
  <c r="Z133" i="30"/>
  <c r="L137" i="30"/>
  <c r="L18" i="33"/>
  <c r="N18" i="33" s="1"/>
  <c r="Z29" i="33"/>
  <c r="X29" i="33"/>
  <c r="F74" i="33"/>
  <c r="F109" i="36"/>
  <c r="F101" i="36"/>
  <c r="F97" i="36"/>
  <c r="F93" i="36"/>
  <c r="F92" i="36"/>
  <c r="F116" i="36"/>
  <c r="F111" i="36"/>
  <c r="F110" i="36"/>
  <c r="F103" i="36"/>
  <c r="F102" i="36"/>
  <c r="F87" i="36"/>
  <c r="F71" i="36"/>
  <c r="F70" i="36"/>
  <c r="F114" i="36"/>
  <c r="F105" i="36"/>
  <c r="F104" i="36"/>
  <c r="F73" i="36"/>
  <c r="F107" i="36"/>
  <c r="F106" i="36"/>
  <c r="F99" i="36"/>
  <c r="F95" i="36"/>
  <c r="F83" i="36"/>
  <c r="F75" i="36"/>
  <c r="F74" i="36"/>
  <c r="F108" i="36"/>
  <c r="F48" i="36"/>
  <c r="F44" i="36"/>
  <c r="L12" i="36"/>
  <c r="F80" i="36"/>
  <c r="F67" i="36"/>
  <c r="F39" i="36"/>
  <c r="F35" i="36"/>
  <c r="F120" i="36"/>
  <c r="F89" i="36"/>
  <c r="F77" i="36"/>
  <c r="F58" i="36"/>
  <c r="F50" i="36"/>
  <c r="F49" i="36"/>
  <c r="F26" i="36"/>
  <c r="F84" i="36"/>
  <c r="F68" i="36"/>
  <c r="F45" i="36"/>
  <c r="F69" i="36"/>
  <c r="F60" i="36"/>
  <c r="F59" i="36"/>
  <c r="F52" i="36"/>
  <c r="F51" i="36"/>
  <c r="F40" i="36"/>
  <c r="F36" i="36"/>
  <c r="F32" i="36"/>
  <c r="F31" i="36"/>
  <c r="F90" i="36"/>
  <c r="F81" i="36"/>
  <c r="F78" i="36"/>
  <c r="F30" i="36"/>
  <c r="F82" i="36"/>
  <c r="F62" i="36"/>
  <c r="F61" i="36"/>
  <c r="F54" i="36"/>
  <c r="F53" i="36"/>
  <c r="F46" i="36"/>
  <c r="F42" i="36"/>
  <c r="F41" i="36"/>
  <c r="D28" i="36"/>
  <c r="F28" i="36" s="1"/>
  <c r="F115" i="36"/>
  <c r="F85" i="36"/>
  <c r="F88" i="36"/>
  <c r="F64" i="36"/>
  <c r="F63" i="36"/>
  <c r="F56" i="36"/>
  <c r="F55" i="36"/>
  <c r="F100" i="36"/>
  <c r="F98" i="36"/>
  <c r="F96" i="36"/>
  <c r="F91" i="36"/>
  <c r="F79" i="36"/>
  <c r="F47" i="36"/>
  <c r="F43" i="36"/>
  <c r="F86" i="36"/>
  <c r="F76" i="36"/>
  <c r="F72" i="36"/>
  <c r="F57" i="36"/>
  <c r="F25" i="36"/>
  <c r="F24" i="36"/>
  <c r="L15" i="36"/>
  <c r="N15" i="36" s="1"/>
  <c r="N17" i="36"/>
  <c r="Z24" i="36"/>
  <c r="L55" i="36"/>
  <c r="N68" i="36"/>
  <c r="F94" i="36"/>
  <c r="F42" i="27"/>
  <c r="F46" i="27"/>
  <c r="F50" i="27"/>
  <c r="F73" i="27"/>
  <c r="F74" i="27"/>
  <c r="F94" i="27"/>
  <c r="F101" i="27"/>
  <c r="N12" i="30"/>
  <c r="J88" i="30"/>
  <c r="J94" i="30"/>
  <c r="J103" i="30"/>
  <c r="L115" i="30"/>
  <c r="N115" i="30" s="1"/>
  <c r="X129" i="30"/>
  <c r="Z129" i="30" s="1"/>
  <c r="L14" i="33"/>
  <c r="N14" i="33" s="1"/>
  <c r="L59" i="33"/>
  <c r="N59" i="33" s="1"/>
  <c r="F69" i="33"/>
  <c r="H12" i="36"/>
  <c r="F38" i="36"/>
  <c r="N55" i="36"/>
  <c r="X13" i="36"/>
  <c r="Z13" i="36" s="1"/>
  <c r="T113" i="36"/>
  <c r="X26" i="39"/>
  <c r="Z26" i="39" s="1"/>
  <c r="N95" i="39"/>
  <c r="N97" i="39"/>
  <c r="L14" i="42"/>
  <c r="N14" i="42" s="1"/>
  <c r="L18" i="42"/>
  <c r="N18" i="42" s="1"/>
  <c r="L138" i="30"/>
  <c r="X57" i="33"/>
  <c r="N84" i="33"/>
  <c r="N35" i="39"/>
  <c r="N79" i="39"/>
  <c r="F105" i="39"/>
  <c r="N111" i="39"/>
  <c r="X15" i="39"/>
  <c r="Z15" i="39" s="1"/>
  <c r="F73" i="39"/>
  <c r="Z97" i="39"/>
  <c r="Z14" i="42"/>
  <c r="Z18" i="42"/>
  <c r="Z48" i="42"/>
  <c r="T117" i="42"/>
  <c r="V117" i="42" s="1"/>
  <c r="H55" i="48"/>
  <c r="D80" i="33"/>
  <c r="L80" i="33" s="1"/>
  <c r="N80" i="33" s="1"/>
  <c r="X92" i="36"/>
  <c r="Z92" i="36" s="1"/>
  <c r="N104" i="36"/>
  <c r="N106" i="36"/>
  <c r="N14" i="39"/>
  <c r="Z19" i="39"/>
  <c r="X23" i="39"/>
  <c r="Z35" i="39"/>
  <c r="X77" i="39"/>
  <c r="Z77" i="39" s="1"/>
  <c r="Z79" i="39"/>
  <c r="F98" i="39"/>
  <c r="X109" i="39"/>
  <c r="Z111" i="39"/>
  <c r="F114" i="39"/>
  <c r="Z119" i="39"/>
  <c r="T118" i="39"/>
  <c r="Z72" i="36"/>
  <c r="X76" i="36"/>
  <c r="Z76" i="36" s="1"/>
  <c r="X104" i="36"/>
  <c r="Z23" i="39"/>
  <c r="X27" i="39"/>
  <c r="F50" i="39"/>
  <c r="Z109" i="39"/>
  <c r="H12" i="42"/>
  <c r="L15" i="42"/>
  <c r="N15" i="42" s="1"/>
  <c r="L19" i="42"/>
  <c r="N19" i="42" s="1"/>
  <c r="N74" i="36"/>
  <c r="N78" i="36"/>
  <c r="N90" i="36"/>
  <c r="Z102" i="36"/>
  <c r="Z104" i="36"/>
  <c r="L16" i="39"/>
  <c r="N16" i="39" s="1"/>
  <c r="Z27" i="39"/>
  <c r="F53" i="39"/>
  <c r="F72" i="39"/>
  <c r="F101" i="39"/>
  <c r="L13" i="33"/>
  <c r="L13" i="36"/>
  <c r="X115" i="36"/>
  <c r="Z115" i="36" s="1"/>
  <c r="H12" i="39"/>
  <c r="L12" i="39" s="1"/>
  <c r="T12" i="39"/>
  <c r="N18" i="39"/>
  <c r="L20" i="39"/>
  <c r="N20" i="39" s="1"/>
  <c r="L29" i="39"/>
  <c r="N29" i="39" s="1"/>
  <c r="F74" i="39"/>
  <c r="N118" i="39"/>
  <c r="N13" i="33"/>
  <c r="L38" i="33"/>
  <c r="N38" i="33" s="1"/>
  <c r="N13" i="36"/>
  <c r="X24" i="36"/>
  <c r="L30" i="36"/>
  <c r="N30" i="36" s="1"/>
  <c r="N84" i="36"/>
  <c r="L114" i="36"/>
  <c r="N114" i="36" s="1"/>
  <c r="D113" i="36"/>
  <c r="L24" i="39"/>
  <c r="N24" i="39" s="1"/>
  <c r="N69" i="42"/>
  <c r="L69" i="42"/>
  <c r="Z15" i="45"/>
  <c r="L84" i="36"/>
  <c r="H113" i="36"/>
  <c r="F121" i="39"/>
  <c r="F116" i="39"/>
  <c r="F115" i="39"/>
  <c r="F108" i="39"/>
  <c r="F107" i="39"/>
  <c r="F92" i="39"/>
  <c r="F76" i="39"/>
  <c r="F75" i="39"/>
  <c r="F35" i="39"/>
  <c r="F125" i="39"/>
  <c r="F120" i="39"/>
  <c r="F103" i="39"/>
  <c r="F99" i="39"/>
  <c r="F87" i="39"/>
  <c r="F86" i="39"/>
  <c r="F67" i="39"/>
  <c r="F66" i="39"/>
  <c r="F59" i="39"/>
  <c r="F58" i="39"/>
  <c r="F51" i="39"/>
  <c r="F47" i="39"/>
  <c r="F46" i="39"/>
  <c r="D33" i="39"/>
  <c r="F119" i="39"/>
  <c r="F110" i="39"/>
  <c r="F109" i="39"/>
  <c r="F78" i="39"/>
  <c r="F77" i="39"/>
  <c r="F42" i="39"/>
  <c r="F38" i="39"/>
  <c r="F118" i="39"/>
  <c r="F93" i="39"/>
  <c r="F69" i="39"/>
  <c r="F68" i="39"/>
  <c r="F61" i="39"/>
  <c r="F60" i="39"/>
  <c r="F112" i="39"/>
  <c r="F111" i="39"/>
  <c r="F104" i="39"/>
  <c r="F100" i="39"/>
  <c r="F88" i="39"/>
  <c r="F80" i="39"/>
  <c r="F79" i="39"/>
  <c r="F52" i="39"/>
  <c r="F48" i="39"/>
  <c r="F71" i="39"/>
  <c r="F70" i="39"/>
  <c r="F43" i="39"/>
  <c r="F39" i="39"/>
  <c r="F94" i="39"/>
  <c r="F90" i="39"/>
  <c r="F89" i="39"/>
  <c r="F82" i="39"/>
  <c r="F81" i="39"/>
  <c r="F62" i="39"/>
  <c r="F30" i="39"/>
  <c r="F29" i="39"/>
  <c r="F96" i="39"/>
  <c r="F95" i="39"/>
  <c r="F84" i="39"/>
  <c r="F83" i="39"/>
  <c r="F44" i="39"/>
  <c r="F40" i="39"/>
  <c r="F91" i="39"/>
  <c r="F63" i="39"/>
  <c r="F55" i="39"/>
  <c r="F54" i="39"/>
  <c r="F31" i="39"/>
  <c r="F85" i="39"/>
  <c r="F65" i="39"/>
  <c r="F64" i="39"/>
  <c r="F57" i="39"/>
  <c r="F56" i="39"/>
  <c r="F45" i="39"/>
  <c r="F41" i="39"/>
  <c r="F37" i="39"/>
  <c r="F36" i="39"/>
  <c r="X118" i="39"/>
  <c r="N52" i="45"/>
  <c r="Z78" i="36"/>
  <c r="X81" i="36"/>
  <c r="Z90" i="36"/>
  <c r="Z110" i="36"/>
  <c r="N13" i="39"/>
  <c r="X22" i="39"/>
  <c r="Z22" i="39" s="1"/>
  <c r="Z29" i="39"/>
  <c r="N58" i="39"/>
  <c r="N83" i="39"/>
  <c r="L95" i="39"/>
  <c r="F97" i="39"/>
  <c r="F113" i="39"/>
  <c r="L23" i="42"/>
  <c r="N23" i="42" s="1"/>
  <c r="L119" i="39"/>
  <c r="N119" i="39" s="1"/>
  <c r="F25" i="42"/>
  <c r="V32" i="42"/>
  <c r="V36" i="42"/>
  <c r="F38" i="42"/>
  <c r="V39" i="42"/>
  <c r="F58" i="42"/>
  <c r="F79" i="42"/>
  <c r="Z105" i="42"/>
  <c r="X15" i="45"/>
  <c r="Z36" i="45"/>
  <c r="N66" i="45"/>
  <c r="J25" i="48"/>
  <c r="X114" i="36"/>
  <c r="Z114" i="36" s="1"/>
  <c r="X29" i="39"/>
  <c r="L35" i="39"/>
  <c r="V115" i="42"/>
  <c r="V101" i="42"/>
  <c r="V93" i="42"/>
  <c r="V89" i="42"/>
  <c r="V77" i="42"/>
  <c r="V69" i="42"/>
  <c r="V100" i="42"/>
  <c r="V68" i="42"/>
  <c r="V60" i="42"/>
  <c r="V52" i="42"/>
  <c r="V44" i="42"/>
  <c r="V40" i="42"/>
  <c r="V83" i="42"/>
  <c r="V79" i="42"/>
  <c r="V71" i="42"/>
  <c r="V59" i="42"/>
  <c r="V102" i="42"/>
  <c r="V94" i="42"/>
  <c r="V90" i="42"/>
  <c r="V78" i="42"/>
  <c r="V70" i="42"/>
  <c r="V62" i="42"/>
  <c r="V54" i="42"/>
  <c r="V85" i="42"/>
  <c r="V73" i="42"/>
  <c r="V61" i="42"/>
  <c r="V53" i="42"/>
  <c r="V45" i="42"/>
  <c r="V41" i="42"/>
  <c r="V84" i="42"/>
  <c r="V80" i="42"/>
  <c r="V72" i="42"/>
  <c r="V103" i="42"/>
  <c r="V95" i="42"/>
  <c r="V91" i="42"/>
  <c r="V87" i="42"/>
  <c r="V63" i="42"/>
  <c r="V55" i="42"/>
  <c r="V113" i="42"/>
  <c r="V111" i="42"/>
  <c r="V105" i="42"/>
  <c r="V97" i="42"/>
  <c r="V81" i="42"/>
  <c r="V65" i="42"/>
  <c r="V110" i="42"/>
  <c r="V104" i="42"/>
  <c r="V96" i="42"/>
  <c r="V92" i="42"/>
  <c r="V88" i="42"/>
  <c r="V76" i="42"/>
  <c r="V64" i="42"/>
  <c r="V56" i="42"/>
  <c r="V48" i="42"/>
  <c r="V108" i="42"/>
  <c r="V106" i="42"/>
  <c r="V98" i="42"/>
  <c r="V82" i="42"/>
  <c r="V66" i="42"/>
  <c r="V58" i="42"/>
  <c r="V51" i="42"/>
  <c r="V75" i="42"/>
  <c r="V86" i="42"/>
  <c r="V99" i="42"/>
  <c r="V109" i="42"/>
  <c r="N42" i="48"/>
  <c r="F23" i="42"/>
  <c r="F24" i="42"/>
  <c r="V31" i="42"/>
  <c r="V35" i="42"/>
  <c r="F41" i="42"/>
  <c r="V42" i="42"/>
  <c r="F50" i="42"/>
  <c r="F55" i="42"/>
  <c r="Z58" i="42"/>
  <c r="Z111" i="42"/>
  <c r="N54" i="45"/>
  <c r="N19" i="48"/>
  <c r="X35" i="57"/>
  <c r="Z35" i="57"/>
  <c r="J47" i="48"/>
  <c r="J36" i="48"/>
  <c r="J26" i="48"/>
  <c r="J37" i="48"/>
  <c r="J48" i="48"/>
  <c r="J38" i="48"/>
  <c r="J49" i="48"/>
  <c r="J39" i="48"/>
  <c r="J55" i="48"/>
  <c r="J53" i="48"/>
  <c r="J41" i="48"/>
  <c r="J33" i="48"/>
  <c r="J52" i="48"/>
  <c r="J42" i="48"/>
  <c r="J28" i="48"/>
  <c r="J44" i="48"/>
  <c r="J34" i="48"/>
  <c r="J45" i="48"/>
  <c r="J35" i="48"/>
  <c r="J31" i="48"/>
  <c r="J22" i="48"/>
  <c r="J43" i="48"/>
  <c r="J29" i="48"/>
  <c r="J23" i="48"/>
  <c r="J46" i="48"/>
  <c r="J32" i="48"/>
  <c r="J27" i="48"/>
  <c r="J24" i="48"/>
  <c r="J30" i="48"/>
  <c r="J50" i="48"/>
  <c r="J20" i="48"/>
  <c r="J21" i="48"/>
  <c r="J19" i="48"/>
  <c r="J17" i="48"/>
  <c r="J15" i="48"/>
  <c r="J57" i="48"/>
  <c r="V25" i="42"/>
  <c r="V27" i="42"/>
  <c r="V29" i="42"/>
  <c r="V38" i="42"/>
  <c r="F40" i="42"/>
  <c r="F46" i="42"/>
  <c r="N14" i="45"/>
  <c r="D23" i="45"/>
  <c r="Z44" i="45"/>
  <c r="Z48" i="45"/>
  <c r="Z56" i="45"/>
  <c r="J65" i="45"/>
  <c r="R49" i="48"/>
  <c r="R48" i="48"/>
  <c r="R40" i="48"/>
  <c r="R39" i="48"/>
  <c r="R27" i="48"/>
  <c r="R53" i="48"/>
  <c r="R50" i="48"/>
  <c r="R52" i="48"/>
  <c r="R42" i="48"/>
  <c r="R41" i="48"/>
  <c r="R34" i="48"/>
  <c r="R46" i="48"/>
  <c r="R45" i="48"/>
  <c r="R30" i="48"/>
  <c r="R29" i="48"/>
  <c r="R47" i="48"/>
  <c r="R36" i="48"/>
  <c r="R35" i="48"/>
  <c r="R31" i="48"/>
  <c r="R43" i="48"/>
  <c r="R23" i="48"/>
  <c r="R32" i="48"/>
  <c r="R24" i="48"/>
  <c r="R44" i="48"/>
  <c r="R20" i="48"/>
  <c r="R19" i="48"/>
  <c r="R17" i="48"/>
  <c r="R15" i="48"/>
  <c r="R21" i="48"/>
  <c r="P17" i="48"/>
  <c r="R37" i="48"/>
  <c r="R28" i="48"/>
  <c r="R25" i="48"/>
  <c r="R57" i="48"/>
  <c r="R22" i="48"/>
  <c r="R26" i="48"/>
  <c r="X12" i="48"/>
  <c r="Z12" i="48" s="1"/>
  <c r="V30" i="42"/>
  <c r="V34" i="42"/>
  <c r="V47" i="42"/>
  <c r="F59" i="42"/>
  <c r="V67" i="42"/>
  <c r="F80" i="42"/>
  <c r="J29" i="45"/>
  <c r="F81" i="45"/>
  <c r="V99" i="51"/>
  <c r="V85" i="51"/>
  <c r="V73" i="51"/>
  <c r="V61" i="51"/>
  <c r="V57" i="51"/>
  <c r="V84" i="51"/>
  <c r="V76" i="51"/>
  <c r="V48" i="51"/>
  <c r="V44" i="51"/>
  <c r="V40" i="51"/>
  <c r="V75" i="51"/>
  <c r="V67" i="51"/>
  <c r="V86" i="51"/>
  <c r="V62" i="51"/>
  <c r="V58" i="51"/>
  <c r="V54" i="51"/>
  <c r="V77" i="51"/>
  <c r="V53" i="51"/>
  <c r="V49" i="51"/>
  <c r="V45" i="51"/>
  <c r="V41" i="51"/>
  <c r="V68" i="51"/>
  <c r="V64" i="51"/>
  <c r="T51" i="51"/>
  <c r="V87" i="51"/>
  <c r="V79" i="51"/>
  <c r="V63" i="51"/>
  <c r="V59" i="51"/>
  <c r="V55" i="51"/>
  <c r="V95" i="51"/>
  <c r="V89" i="51"/>
  <c r="V81" i="51"/>
  <c r="V69" i="51"/>
  <c r="V65" i="51"/>
  <c r="V94" i="51"/>
  <c r="V88" i="51"/>
  <c r="V80" i="51"/>
  <c r="V72" i="51"/>
  <c r="V60" i="51"/>
  <c r="V56" i="51"/>
  <c r="V92" i="51"/>
  <c r="V90" i="51"/>
  <c r="V82" i="51"/>
  <c r="V74" i="51"/>
  <c r="V66" i="51"/>
  <c r="V93" i="51"/>
  <c r="V43" i="51"/>
  <c r="V71" i="51"/>
  <c r="V42" i="51"/>
  <c r="V39" i="51"/>
  <c r="V70" i="51"/>
  <c r="V47" i="51"/>
  <c r="V38" i="51"/>
  <c r="V78" i="51"/>
  <c r="V83" i="51"/>
  <c r="V46" i="51"/>
  <c r="F63" i="56"/>
  <c r="F61" i="56"/>
  <c r="F65" i="56"/>
  <c r="F35" i="56"/>
  <c r="F34" i="56"/>
  <c r="F27" i="56"/>
  <c r="F23" i="56"/>
  <c r="F54" i="56"/>
  <c r="F46" i="56"/>
  <c r="F70" i="56"/>
  <c r="F67" i="56"/>
  <c r="F48" i="56"/>
  <c r="F47" i="56"/>
  <c r="F42" i="56"/>
  <c r="F24" i="56"/>
  <c r="F58" i="56"/>
  <c r="F55" i="56"/>
  <c r="F43" i="56"/>
  <c r="F39" i="56"/>
  <c r="F31" i="56"/>
  <c r="F21" i="56"/>
  <c r="F52" i="56"/>
  <c r="F28" i="56"/>
  <c r="F14" i="56"/>
  <c r="F59" i="56"/>
  <c r="F49" i="56"/>
  <c r="F29" i="56"/>
  <c r="F25" i="56"/>
  <c r="F22" i="56"/>
  <c r="F16" i="56"/>
  <c r="F53" i="56"/>
  <c r="F36" i="56"/>
  <c r="F32" i="56"/>
  <c r="D16" i="56"/>
  <c r="F56" i="56"/>
  <c r="F44" i="56"/>
  <c r="F40" i="56"/>
  <c r="F37" i="56"/>
  <c r="F18" i="56"/>
  <c r="F50" i="56"/>
  <c r="F26" i="56"/>
  <c r="F19" i="56"/>
  <c r="F57" i="56"/>
  <c r="F41" i="56"/>
  <c r="F33" i="56"/>
  <c r="F30" i="56"/>
  <c r="L12" i="56"/>
  <c r="F51" i="56"/>
  <c r="F45" i="56"/>
  <c r="F20" i="56"/>
  <c r="F38" i="56"/>
  <c r="F32" i="42"/>
  <c r="F36" i="42"/>
  <c r="F43" i="42"/>
  <c r="V57" i="42"/>
  <c r="F72" i="42"/>
  <c r="V24" i="42"/>
  <c r="D27" i="42"/>
  <c r="V50" i="42"/>
  <c r="F54" i="42"/>
  <c r="Z65" i="42"/>
  <c r="V74" i="42"/>
  <c r="Z108" i="42"/>
  <c r="T12" i="45"/>
  <c r="Z14" i="45"/>
  <c r="J53" i="45"/>
  <c r="N79" i="45"/>
  <c r="D55" i="48"/>
  <c r="F55" i="48" s="1"/>
  <c r="L17" i="48"/>
  <c r="N17" i="48" s="1"/>
  <c r="F17" i="48"/>
  <c r="F86" i="42"/>
  <c r="F85" i="42"/>
  <c r="F74" i="42"/>
  <c r="F73" i="42"/>
  <c r="F81" i="42"/>
  <c r="F104" i="42"/>
  <c r="F96" i="42"/>
  <c r="F92" i="42"/>
  <c r="F88" i="42"/>
  <c r="F87" i="42"/>
  <c r="F64" i="42"/>
  <c r="F75" i="42"/>
  <c r="F111" i="42"/>
  <c r="F106" i="42"/>
  <c r="F105" i="42"/>
  <c r="F98" i="42"/>
  <c r="F97" i="42"/>
  <c r="F82" i="42"/>
  <c r="F66" i="42"/>
  <c r="F65" i="42"/>
  <c r="F115" i="42"/>
  <c r="F110" i="42"/>
  <c r="F93" i="42"/>
  <c r="F89" i="42"/>
  <c r="F77" i="42"/>
  <c r="F76" i="42"/>
  <c r="F57" i="42"/>
  <c r="F49" i="42"/>
  <c r="F48" i="42"/>
  <c r="F109" i="42"/>
  <c r="F100" i="42"/>
  <c r="F99" i="42"/>
  <c r="F68" i="42"/>
  <c r="F67" i="42"/>
  <c r="F44" i="42"/>
  <c r="F102" i="42"/>
  <c r="F101" i="42"/>
  <c r="F94" i="42"/>
  <c r="F90" i="42"/>
  <c r="F78" i="42"/>
  <c r="F70" i="42"/>
  <c r="F69" i="42"/>
  <c r="F61" i="42"/>
  <c r="F60" i="42"/>
  <c r="F53" i="42"/>
  <c r="F52" i="42"/>
  <c r="F45" i="42"/>
  <c r="F103" i="42"/>
  <c r="F95" i="42"/>
  <c r="F91" i="42"/>
  <c r="F63" i="42"/>
  <c r="F62" i="42"/>
  <c r="N13" i="42"/>
  <c r="F27" i="42"/>
  <c r="F29" i="42"/>
  <c r="V33" i="42"/>
  <c r="V37" i="42"/>
  <c r="F39" i="42"/>
  <c r="V46" i="42"/>
  <c r="X50" i="42"/>
  <c r="Z50" i="42" s="1"/>
  <c r="L101" i="42"/>
  <c r="N101" i="42" s="1"/>
  <c r="J83" i="45"/>
  <c r="F30" i="42"/>
  <c r="F31" i="42"/>
  <c r="F35" i="42"/>
  <c r="F42" i="42"/>
  <c r="V49" i="42"/>
  <c r="F56" i="42"/>
  <c r="L62" i="42"/>
  <c r="N62" i="42" s="1"/>
  <c r="X87" i="42"/>
  <c r="Z87" i="42" s="1"/>
  <c r="L109" i="42"/>
  <c r="N109" i="42" s="1"/>
  <c r="D108" i="42"/>
  <c r="L108" i="42" s="1"/>
  <c r="N108" i="42" s="1"/>
  <c r="F84" i="45"/>
  <c r="F83" i="45"/>
  <c r="F76" i="45"/>
  <c r="F72" i="45"/>
  <c r="F20" i="45"/>
  <c r="F19" i="45"/>
  <c r="F67" i="45"/>
  <c r="F66" i="45"/>
  <c r="F55" i="45"/>
  <c r="F54" i="45"/>
  <c r="F43" i="45"/>
  <c r="F39" i="45"/>
  <c r="F34" i="45"/>
  <c r="F30" i="45"/>
  <c r="F86" i="45"/>
  <c r="F77" i="45"/>
  <c r="F73" i="45"/>
  <c r="F57" i="45"/>
  <c r="F56" i="45"/>
  <c r="F45" i="45"/>
  <c r="F44" i="45"/>
  <c r="F21" i="45"/>
  <c r="F90" i="45"/>
  <c r="F68" i="45"/>
  <c r="F40" i="45"/>
  <c r="L12" i="45"/>
  <c r="F59" i="45"/>
  <c r="F58" i="45"/>
  <c r="F47" i="45"/>
  <c r="F46" i="45"/>
  <c r="F35" i="45"/>
  <c r="F31" i="45"/>
  <c r="F27" i="45"/>
  <c r="F26" i="45"/>
  <c r="F78" i="45"/>
  <c r="F74" i="45"/>
  <c r="F25" i="45"/>
  <c r="F69" i="45"/>
  <c r="F61" i="45"/>
  <c r="F80" i="45"/>
  <c r="F79" i="45"/>
  <c r="F32" i="45"/>
  <c r="F28" i="45"/>
  <c r="F75" i="45"/>
  <c r="F71" i="45"/>
  <c r="F70" i="45"/>
  <c r="F63" i="45"/>
  <c r="F62" i="45"/>
  <c r="F51" i="45"/>
  <c r="F50" i="45"/>
  <c r="F65" i="45"/>
  <c r="F64" i="45"/>
  <c r="F53" i="45"/>
  <c r="F52" i="45"/>
  <c r="F33" i="45"/>
  <c r="F29" i="45"/>
  <c r="F41" i="45"/>
  <c r="V23" i="42"/>
  <c r="F51" i="42"/>
  <c r="J67" i="45"/>
  <c r="J55" i="45"/>
  <c r="J43" i="45"/>
  <c r="J39" i="45"/>
  <c r="J86" i="45"/>
  <c r="J56" i="45"/>
  <c r="J44" i="45"/>
  <c r="J34" i="45"/>
  <c r="J30" i="45"/>
  <c r="J77" i="45"/>
  <c r="J73" i="45"/>
  <c r="J57" i="45"/>
  <c r="J45" i="45"/>
  <c r="J21" i="45"/>
  <c r="J90" i="45"/>
  <c r="J68" i="45"/>
  <c r="J58" i="45"/>
  <c r="J46" i="45"/>
  <c r="J40" i="45"/>
  <c r="J26" i="45"/>
  <c r="N12" i="45"/>
  <c r="J59" i="45"/>
  <c r="J47" i="45"/>
  <c r="J35" i="45"/>
  <c r="J31" i="45"/>
  <c r="J27" i="45"/>
  <c r="J25" i="45"/>
  <c r="J23" i="45"/>
  <c r="J78" i="45"/>
  <c r="J74" i="45"/>
  <c r="J60" i="45"/>
  <c r="J48" i="45"/>
  <c r="J36" i="45"/>
  <c r="H23" i="45"/>
  <c r="J79" i="45"/>
  <c r="J69" i="45"/>
  <c r="J61" i="45"/>
  <c r="J49" i="45"/>
  <c r="J41" i="45"/>
  <c r="J37" i="45"/>
  <c r="J80" i="45"/>
  <c r="J70" i="45"/>
  <c r="J62" i="45"/>
  <c r="J81" i="45"/>
  <c r="J75" i="45"/>
  <c r="J71" i="45"/>
  <c r="J63" i="45"/>
  <c r="J51" i="45"/>
  <c r="J82" i="45"/>
  <c r="J64" i="45"/>
  <c r="J52" i="45"/>
  <c r="J42" i="45"/>
  <c r="J38" i="45"/>
  <c r="J84" i="45"/>
  <c r="J76" i="45"/>
  <c r="J72" i="45"/>
  <c r="J66" i="45"/>
  <c r="J54" i="45"/>
  <c r="J20" i="45"/>
  <c r="L64" i="45"/>
  <c r="N64" i="45" s="1"/>
  <c r="X51" i="51"/>
  <c r="P97" i="51"/>
  <c r="R21" i="45"/>
  <c r="R26" i="45"/>
  <c r="N44" i="45"/>
  <c r="R45" i="45"/>
  <c r="R46" i="45"/>
  <c r="Z50" i="45"/>
  <c r="N56" i="45"/>
  <c r="R57" i="45"/>
  <c r="R58" i="45"/>
  <c r="Z62" i="45"/>
  <c r="Z70" i="45"/>
  <c r="R73" i="45"/>
  <c r="R77" i="45"/>
  <c r="N86" i="45"/>
  <c r="F15" i="48"/>
  <c r="F19" i="48"/>
  <c r="V23" i="48"/>
  <c r="Z14" i="51"/>
  <c r="X16" i="51"/>
  <c r="Z16" i="51" s="1"/>
  <c r="L54" i="51"/>
  <c r="N54" i="51" s="1"/>
  <c r="X67" i="42"/>
  <c r="Z67" i="42" s="1"/>
  <c r="L73" i="42"/>
  <c r="N73" i="42" s="1"/>
  <c r="L85" i="42"/>
  <c r="N85" i="42" s="1"/>
  <c r="R39" i="45"/>
  <c r="R43" i="45"/>
  <c r="R44" i="45"/>
  <c r="R55" i="45"/>
  <c r="R56" i="45"/>
  <c r="R67" i="45"/>
  <c r="R86" i="45"/>
  <c r="V31" i="48"/>
  <c r="V35" i="48"/>
  <c r="Z38" i="48"/>
  <c r="V47" i="48"/>
  <c r="R56" i="51"/>
  <c r="R80" i="51"/>
  <c r="J80" i="68"/>
  <c r="J89" i="68"/>
  <c r="J82" i="68"/>
  <c r="J72" i="68"/>
  <c r="J66" i="68"/>
  <c r="J52" i="68"/>
  <c r="J48" i="68"/>
  <c r="J44" i="68"/>
  <c r="J40" i="68"/>
  <c r="J83" i="68"/>
  <c r="J90" i="68"/>
  <c r="J84" i="68"/>
  <c r="J92" i="68"/>
  <c r="J76" i="68"/>
  <c r="J79" i="68"/>
  <c r="J51" i="68"/>
  <c r="J47" i="68"/>
  <c r="J43" i="68"/>
  <c r="J39" i="68"/>
  <c r="J94" i="68"/>
  <c r="J91" i="68"/>
  <c r="J86" i="68"/>
  <c r="J81" i="68"/>
  <c r="J68" i="68"/>
  <c r="J64" i="68"/>
  <c r="J61" i="68"/>
  <c r="J58" i="68"/>
  <c r="J46" i="68"/>
  <c r="J38" i="68"/>
  <c r="J98" i="68"/>
  <c r="J49" i="68"/>
  <c r="J41" i="68"/>
  <c r="J73" i="68"/>
  <c r="J87" i="68"/>
  <c r="J69" i="68"/>
  <c r="J65" i="68"/>
  <c r="J62" i="68"/>
  <c r="J59" i="68"/>
  <c r="J85" i="68"/>
  <c r="J77" i="68"/>
  <c r="J74" i="68"/>
  <c r="J36" i="68"/>
  <c r="J88" i="68"/>
  <c r="J78" i="68"/>
  <c r="J75" i="68"/>
  <c r="J71" i="68"/>
  <c r="J57" i="68"/>
  <c r="J56" i="68"/>
  <c r="J42" i="68"/>
  <c r="J70" i="68"/>
  <c r="J63" i="68"/>
  <c r="H54" i="68"/>
  <c r="J60" i="68"/>
  <c r="J50" i="68"/>
  <c r="J67" i="68"/>
  <c r="J37" i="68"/>
  <c r="J45" i="68"/>
  <c r="R20" i="45"/>
  <c r="R72" i="45"/>
  <c r="R76" i="45"/>
  <c r="R84" i="45"/>
  <c r="L15" i="48"/>
  <c r="V22" i="48"/>
  <c r="N30" i="48"/>
  <c r="F44" i="48"/>
  <c r="F53" i="48"/>
  <c r="X72" i="51"/>
  <c r="Z72" i="51" s="1"/>
  <c r="N14" i="54"/>
  <c r="L14" i="54"/>
  <c r="N20" i="54"/>
  <c r="L20" i="54"/>
  <c r="Z16" i="56"/>
  <c r="T63" i="56"/>
  <c r="N44" i="48"/>
  <c r="X25" i="51"/>
  <c r="Z25" i="51" s="1"/>
  <c r="X29" i="51"/>
  <c r="Z29" i="51" s="1"/>
  <c r="Z33" i="51"/>
  <c r="X33" i="51"/>
  <c r="N13" i="45"/>
  <c r="R19" i="45"/>
  <c r="R38" i="45"/>
  <c r="R42" i="45"/>
  <c r="R82" i="45"/>
  <c r="R83" i="45"/>
  <c r="L13" i="48"/>
  <c r="V25" i="48"/>
  <c r="F27" i="48"/>
  <c r="V28" i="48"/>
  <c r="F34" i="48"/>
  <c r="V37" i="48"/>
  <c r="V40" i="48"/>
  <c r="L44" i="48"/>
  <c r="N46" i="48"/>
  <c r="X21" i="51"/>
  <c r="Z21" i="51" s="1"/>
  <c r="Z74" i="51"/>
  <c r="X94" i="51"/>
  <c r="Z94" i="51" s="1"/>
  <c r="Z26" i="54"/>
  <c r="T31" i="54"/>
  <c r="J37" i="55"/>
  <c r="J34" i="55"/>
  <c r="J20" i="55"/>
  <c r="J18" i="55"/>
  <c r="J16" i="55"/>
  <c r="J14" i="55"/>
  <c r="J21" i="55"/>
  <c r="H16" i="55"/>
  <c r="J32" i="55"/>
  <c r="J22" i="55"/>
  <c r="J23" i="55"/>
  <c r="J24" i="55"/>
  <c r="J25" i="55"/>
  <c r="J26" i="55"/>
  <c r="N12" i="55"/>
  <c r="J28" i="55"/>
  <c r="L12" i="55"/>
  <c r="J19" i="55"/>
  <c r="X23" i="55"/>
  <c r="R51" i="45"/>
  <c r="R52" i="45"/>
  <c r="R63" i="45"/>
  <c r="R64" i="45"/>
  <c r="R71" i="45"/>
  <c r="R75" i="45"/>
  <c r="F47" i="48"/>
  <c r="F46" i="48"/>
  <c r="F35" i="48"/>
  <c r="F31" i="48"/>
  <c r="F30" i="48"/>
  <c r="F37" i="48"/>
  <c r="F48" i="48"/>
  <c r="F32" i="48"/>
  <c r="F50" i="48"/>
  <c r="F49" i="48"/>
  <c r="F41" i="48"/>
  <c r="F40" i="48"/>
  <c r="F33" i="48"/>
  <c r="F57" i="48"/>
  <c r="F52" i="48"/>
  <c r="F43" i="48"/>
  <c r="F42" i="48"/>
  <c r="N13" i="48"/>
  <c r="V21" i="48"/>
  <c r="F36" i="48"/>
  <c r="X40" i="48"/>
  <c r="V48" i="48"/>
  <c r="R93" i="51"/>
  <c r="R90" i="51"/>
  <c r="R83" i="51"/>
  <c r="R82" i="51"/>
  <c r="R66" i="51"/>
  <c r="R99" i="51"/>
  <c r="R92" i="51"/>
  <c r="R74" i="51"/>
  <c r="R73" i="51"/>
  <c r="R61" i="51"/>
  <c r="R57" i="51"/>
  <c r="R85" i="51"/>
  <c r="R84" i="51"/>
  <c r="R48" i="51"/>
  <c r="R44" i="51"/>
  <c r="R40" i="51"/>
  <c r="R76" i="51"/>
  <c r="R75" i="51"/>
  <c r="R67" i="51"/>
  <c r="R86" i="51"/>
  <c r="R62" i="51"/>
  <c r="R58" i="51"/>
  <c r="R77" i="51"/>
  <c r="R54" i="51"/>
  <c r="R49" i="51"/>
  <c r="R45" i="51"/>
  <c r="R41" i="51"/>
  <c r="R68" i="51"/>
  <c r="R53" i="51"/>
  <c r="R51" i="51"/>
  <c r="X12" i="51"/>
  <c r="Z12" i="51" s="1"/>
  <c r="R79" i="51"/>
  <c r="R78" i="51"/>
  <c r="R46" i="51"/>
  <c r="R42" i="51"/>
  <c r="R70" i="51"/>
  <c r="R69" i="51"/>
  <c r="R65" i="51"/>
  <c r="R38" i="51"/>
  <c r="R94" i="51"/>
  <c r="R72" i="51"/>
  <c r="R71" i="51"/>
  <c r="R47" i="51"/>
  <c r="R43" i="51"/>
  <c r="R39" i="51"/>
  <c r="X17" i="51"/>
  <c r="Z17" i="51" s="1"/>
  <c r="Z92" i="51"/>
  <c r="Z23" i="55"/>
  <c r="L16" i="45"/>
  <c r="N16" i="45" s="1"/>
  <c r="R28" i="45"/>
  <c r="R32" i="45"/>
  <c r="R80" i="45"/>
  <c r="R81" i="45"/>
  <c r="T17" i="48"/>
  <c r="V34" i="48"/>
  <c r="V39" i="48"/>
  <c r="Z13" i="51"/>
  <c r="X13" i="51"/>
  <c r="N30" i="51"/>
  <c r="R59" i="51"/>
  <c r="L85" i="51"/>
  <c r="N85" i="51" s="1"/>
  <c r="L93" i="51"/>
  <c r="N93" i="51" s="1"/>
  <c r="D92" i="51"/>
  <c r="H22" i="54"/>
  <c r="R37" i="45"/>
  <c r="R41" i="45"/>
  <c r="R49" i="45"/>
  <c r="R50" i="45"/>
  <c r="R61" i="45"/>
  <c r="R62" i="45"/>
  <c r="R69" i="45"/>
  <c r="R70" i="45"/>
  <c r="L12" i="48"/>
  <c r="N12" i="48" s="1"/>
  <c r="V15" i="48"/>
  <c r="V17" i="48"/>
  <c r="V19" i="48"/>
  <c r="F29" i="48"/>
  <c r="V30" i="48"/>
  <c r="L52" i="48"/>
  <c r="N52" i="48" s="1"/>
  <c r="X26" i="51"/>
  <c r="Z26" i="51" s="1"/>
  <c r="X30" i="51"/>
  <c r="Z30" i="51" s="1"/>
  <c r="X34" i="51"/>
  <c r="N64" i="51"/>
  <c r="R87" i="51"/>
  <c r="Z22" i="54"/>
  <c r="R74" i="45"/>
  <c r="R78" i="45"/>
  <c r="R79" i="45"/>
  <c r="V24" i="48"/>
  <c r="V27" i="48"/>
  <c r="V32" i="48"/>
  <c r="X36" i="51"/>
  <c r="Z36" i="51" s="1"/>
  <c r="R89" i="51"/>
  <c r="X14" i="56"/>
  <c r="P16" i="56"/>
  <c r="J38" i="61"/>
  <c r="J24" i="61"/>
  <c r="J20" i="61"/>
  <c r="J18" i="61"/>
  <c r="J16" i="61"/>
  <c r="J14" i="61"/>
  <c r="J42" i="61"/>
  <c r="H16" i="61"/>
  <c r="J50" i="61"/>
  <c r="J30" i="61"/>
  <c r="J25" i="61"/>
  <c r="J21" i="61"/>
  <c r="J53" i="61"/>
  <c r="J44" i="61"/>
  <c r="J39" i="61"/>
  <c r="J31" i="61"/>
  <c r="J46" i="61"/>
  <c r="J32" i="61"/>
  <c r="J26" i="61"/>
  <c r="J22" i="61"/>
  <c r="J33" i="61"/>
  <c r="J27" i="61"/>
  <c r="J40" i="61"/>
  <c r="J34" i="61"/>
  <c r="J28" i="61"/>
  <c r="N12" i="61"/>
  <c r="J35" i="61"/>
  <c r="J23" i="61"/>
  <c r="L12" i="61"/>
  <c r="J41" i="61"/>
  <c r="J37" i="61"/>
  <c r="J29" i="61"/>
  <c r="J19" i="61"/>
  <c r="J36" i="61"/>
  <c r="J48" i="61"/>
  <c r="P23" i="45"/>
  <c r="R27" i="45"/>
  <c r="R31" i="45"/>
  <c r="R35" i="45"/>
  <c r="R36" i="45"/>
  <c r="R47" i="45"/>
  <c r="R48" i="45"/>
  <c r="R59" i="45"/>
  <c r="R60" i="45"/>
  <c r="F22" i="48"/>
  <c r="F38" i="48"/>
  <c r="F45" i="48"/>
  <c r="N49" i="48"/>
  <c r="L49" i="48"/>
  <c r="N14" i="51"/>
  <c r="Z22" i="51"/>
  <c r="X24" i="51"/>
  <c r="Z24" i="51" s="1"/>
  <c r="X28" i="51"/>
  <c r="Z28" i="51" s="1"/>
  <c r="X32" i="51"/>
  <c r="Z32" i="51" s="1"/>
  <c r="R55" i="51"/>
  <c r="Z79" i="51"/>
  <c r="X79" i="51"/>
  <c r="Z89" i="51"/>
  <c r="N18" i="54"/>
  <c r="L18" i="54"/>
  <c r="X39" i="60"/>
  <c r="Z39" i="60" s="1"/>
  <c r="X12" i="45"/>
  <c r="R23" i="45"/>
  <c r="R25" i="45"/>
  <c r="R40" i="45"/>
  <c r="R68" i="45"/>
  <c r="V49" i="48"/>
  <c r="V53" i="48"/>
  <c r="V52" i="48"/>
  <c r="V50" i="48"/>
  <c r="V42" i="48"/>
  <c r="V41" i="48"/>
  <c r="V33" i="48"/>
  <c r="V44" i="48"/>
  <c r="V57" i="48"/>
  <c r="V43" i="48"/>
  <c r="V45" i="48"/>
  <c r="V29" i="48"/>
  <c r="V36" i="48"/>
  <c r="V38" i="48"/>
  <c r="N38" i="48"/>
  <c r="X49" i="48"/>
  <c r="Z49" i="48" s="1"/>
  <c r="X14" i="51"/>
  <c r="Z18" i="51"/>
  <c r="X20" i="51"/>
  <c r="Z20" i="51" s="1"/>
  <c r="R60" i="51"/>
  <c r="R64" i="51"/>
  <c r="R81" i="51"/>
  <c r="H12" i="51"/>
  <c r="N38" i="51"/>
  <c r="F54" i="51"/>
  <c r="F55" i="51"/>
  <c r="F59" i="51"/>
  <c r="F63" i="51"/>
  <c r="N70" i="51"/>
  <c r="Z76" i="51"/>
  <c r="F87" i="51"/>
  <c r="X12" i="54"/>
  <c r="X14" i="54"/>
  <c r="N21" i="55"/>
  <c r="R22" i="55"/>
  <c r="R23" i="55"/>
  <c r="F28" i="55"/>
  <c r="L14" i="56"/>
  <c r="V18" i="56"/>
  <c r="Z19" i="56"/>
  <c r="V22" i="56"/>
  <c r="V29" i="56"/>
  <c r="Z32" i="56"/>
  <c r="V39" i="56"/>
  <c r="V44" i="56"/>
  <c r="R49" i="56"/>
  <c r="D60" i="57"/>
  <c r="L16" i="57"/>
  <c r="L53" i="57"/>
  <c r="V19" i="58"/>
  <c r="Z46" i="58"/>
  <c r="T55" i="59"/>
  <c r="Z16" i="59"/>
  <c r="F41" i="51"/>
  <c r="F45" i="51"/>
  <c r="F49" i="51"/>
  <c r="F76" i="51"/>
  <c r="F77" i="51"/>
  <c r="X93" i="51"/>
  <c r="Z93" i="51" s="1"/>
  <c r="D16" i="54"/>
  <c r="F24" i="54"/>
  <c r="P16" i="55"/>
  <c r="R20" i="55"/>
  <c r="R21" i="55"/>
  <c r="V16" i="56"/>
  <c r="V31" i="56"/>
  <c r="R45" i="57"/>
  <c r="R29" i="57"/>
  <c r="R18" i="57"/>
  <c r="R16" i="57"/>
  <c r="R14" i="57"/>
  <c r="R53" i="57"/>
  <c r="R52" i="57"/>
  <c r="R37" i="57"/>
  <c r="R36" i="57"/>
  <c r="R24" i="57"/>
  <c r="R20" i="57"/>
  <c r="P16" i="57"/>
  <c r="R55" i="57"/>
  <c r="R54" i="57"/>
  <c r="R47" i="57"/>
  <c r="R46" i="57"/>
  <c r="R38" i="57"/>
  <c r="R30" i="57"/>
  <c r="R25" i="57"/>
  <c r="R21" i="57"/>
  <c r="R56" i="57"/>
  <c r="R49" i="57"/>
  <c r="R48" i="57"/>
  <c r="R42" i="57"/>
  <c r="R41" i="57"/>
  <c r="H60" i="57"/>
  <c r="N16" i="57"/>
  <c r="R32" i="57"/>
  <c r="N53" i="57"/>
  <c r="V66" i="58"/>
  <c r="Z19" i="61"/>
  <c r="F58" i="51"/>
  <c r="F62" i="51"/>
  <c r="F85" i="51"/>
  <c r="F86" i="51"/>
  <c r="F14" i="54"/>
  <c r="F16" i="54"/>
  <c r="F18" i="54"/>
  <c r="F20" i="54"/>
  <c r="F22" i="54"/>
  <c r="J24" i="54"/>
  <c r="R14" i="55"/>
  <c r="R16" i="55"/>
  <c r="R18" i="55"/>
  <c r="V20" i="55"/>
  <c r="V53" i="57"/>
  <c r="V45" i="57"/>
  <c r="V52" i="57"/>
  <c r="V36" i="57"/>
  <c r="V24" i="57"/>
  <c r="V20" i="57"/>
  <c r="V55" i="57"/>
  <c r="V47" i="57"/>
  <c r="V54" i="57"/>
  <c r="V46" i="57"/>
  <c r="V38" i="57"/>
  <c r="V30" i="57"/>
  <c r="V49" i="57"/>
  <c r="V25" i="57"/>
  <c r="V21" i="57"/>
  <c r="V60" i="57"/>
  <c r="V58" i="57"/>
  <c r="V56" i="57"/>
  <c r="V48" i="57"/>
  <c r="V40" i="57"/>
  <c r="V39" i="57"/>
  <c r="V31" i="57"/>
  <c r="V67" i="57"/>
  <c r="V64" i="57"/>
  <c r="V62" i="57"/>
  <c r="V44" i="57"/>
  <c r="V32" i="57"/>
  <c r="V28" i="57"/>
  <c r="Z12" i="57"/>
  <c r="T16" i="57"/>
  <c r="R27" i="57"/>
  <c r="V37" i="57"/>
  <c r="R40" i="57"/>
  <c r="R51" i="57"/>
  <c r="R60" i="57"/>
  <c r="N36" i="58"/>
  <c r="D16" i="59"/>
  <c r="X37" i="59"/>
  <c r="Z37" i="59" s="1"/>
  <c r="Z43" i="59"/>
  <c r="V14" i="60"/>
  <c r="X19" i="60"/>
  <c r="T16" i="55"/>
  <c r="R19" i="55"/>
  <c r="R30" i="55"/>
  <c r="D44" i="60"/>
  <c r="Z19" i="60"/>
  <c r="F40" i="51"/>
  <c r="F44" i="51"/>
  <c r="F48" i="51"/>
  <c r="F83" i="51"/>
  <c r="F84" i="51"/>
  <c r="F93" i="51"/>
  <c r="J14" i="54"/>
  <c r="J16" i="54"/>
  <c r="J18" i="54"/>
  <c r="J20" i="54"/>
  <c r="R26" i="54"/>
  <c r="R28" i="54"/>
  <c r="R29" i="54"/>
  <c r="R31" i="54"/>
  <c r="V14" i="55"/>
  <c r="V16" i="55"/>
  <c r="V18" i="55"/>
  <c r="R28" i="55"/>
  <c r="R48" i="56"/>
  <c r="R56" i="56"/>
  <c r="R55" i="56"/>
  <c r="R40" i="56"/>
  <c r="R39" i="56"/>
  <c r="R30" i="56"/>
  <c r="X12" i="56"/>
  <c r="R20" i="56"/>
  <c r="L32" i="56"/>
  <c r="N32" i="56" s="1"/>
  <c r="R34" i="56"/>
  <c r="R38" i="56"/>
  <c r="R42" i="56"/>
  <c r="L47" i="56"/>
  <c r="N47" i="56" s="1"/>
  <c r="R51" i="56"/>
  <c r="R54" i="56"/>
  <c r="L14" i="57"/>
  <c r="X19" i="57"/>
  <c r="Z19" i="57" s="1"/>
  <c r="V23" i="57"/>
  <c r="V34" i="57"/>
  <c r="Z42" i="57"/>
  <c r="V14" i="58"/>
  <c r="N29" i="58"/>
  <c r="V34" i="58"/>
  <c r="N38" i="58"/>
  <c r="L61" i="58"/>
  <c r="N61" i="58" s="1"/>
  <c r="N19" i="59"/>
  <c r="Z45" i="59"/>
  <c r="V16" i="60"/>
  <c r="V38" i="60"/>
  <c r="N32" i="61"/>
  <c r="F57" i="51"/>
  <c r="F61" i="51"/>
  <c r="F72" i="51"/>
  <c r="F73" i="51"/>
  <c r="F94" i="51"/>
  <c r="F99" i="51"/>
  <c r="R24" i="54"/>
  <c r="X12" i="55"/>
  <c r="X14" i="55"/>
  <c r="X18" i="55"/>
  <c r="Z18" i="55" s="1"/>
  <c r="V55" i="56"/>
  <c r="V58" i="56"/>
  <c r="V50" i="56"/>
  <c r="V42" i="56"/>
  <c r="V30" i="56"/>
  <c r="V57" i="56"/>
  <c r="V49" i="56"/>
  <c r="V41" i="56"/>
  <c r="V25" i="56"/>
  <c r="V63" i="56"/>
  <c r="V61" i="56"/>
  <c r="V59" i="56"/>
  <c r="V51" i="56"/>
  <c r="V43" i="56"/>
  <c r="V70" i="56"/>
  <c r="V67" i="56"/>
  <c r="V65" i="56"/>
  <c r="V47" i="56"/>
  <c r="V35" i="56"/>
  <c r="V27" i="56"/>
  <c r="V23" i="56"/>
  <c r="V19" i="56"/>
  <c r="N18" i="56"/>
  <c r="V20" i="56"/>
  <c r="V54" i="56"/>
  <c r="R19" i="57"/>
  <c r="R39" i="57"/>
  <c r="R44" i="57"/>
  <c r="R62" i="57"/>
  <c r="X94" i="63"/>
  <c r="P93" i="63"/>
  <c r="X93" i="63" s="1"/>
  <c r="X44" i="48"/>
  <c r="Z44" i="48" s="1"/>
  <c r="L14" i="51"/>
  <c r="L18" i="51"/>
  <c r="L22" i="51"/>
  <c r="N22" i="51" s="1"/>
  <c r="L26" i="51"/>
  <c r="N26" i="51" s="1"/>
  <c r="L30" i="51"/>
  <c r="L34" i="51"/>
  <c r="F66" i="51"/>
  <c r="F81" i="51"/>
  <c r="F82" i="51"/>
  <c r="F89" i="51"/>
  <c r="F90" i="51"/>
  <c r="F95" i="51"/>
  <c r="V24" i="54"/>
  <c r="V26" i="54"/>
  <c r="V28" i="54"/>
  <c r="V29" i="54"/>
  <c r="V31" i="54"/>
  <c r="R26" i="55"/>
  <c r="R37" i="55"/>
  <c r="Z12" i="56"/>
  <c r="V33" i="56"/>
  <c r="V34" i="56"/>
  <c r="V38" i="56"/>
  <c r="V45" i="56"/>
  <c r="D70" i="58"/>
  <c r="Z38" i="58"/>
  <c r="F38" i="51"/>
  <c r="F39" i="51"/>
  <c r="F43" i="51"/>
  <c r="F47" i="51"/>
  <c r="F70" i="51"/>
  <c r="F71" i="51"/>
  <c r="L12" i="54"/>
  <c r="P16" i="54"/>
  <c r="D16" i="55"/>
  <c r="F21" i="55"/>
  <c r="F22" i="55"/>
  <c r="V26" i="55"/>
  <c r="F32" i="55"/>
  <c r="H16" i="56"/>
  <c r="Z34" i="56"/>
  <c r="R37" i="56"/>
  <c r="R47" i="56"/>
  <c r="L52" i="56"/>
  <c r="N52" i="56" s="1"/>
  <c r="X61" i="56"/>
  <c r="N18" i="57"/>
  <c r="R31" i="57"/>
  <c r="R50" i="57"/>
  <c r="V23" i="58"/>
  <c r="Z51" i="58"/>
  <c r="N18" i="59"/>
  <c r="Z18" i="61"/>
  <c r="F56" i="51"/>
  <c r="F60" i="51"/>
  <c r="F79" i="51"/>
  <c r="F80" i="51"/>
  <c r="F88" i="51"/>
  <c r="R14" i="54"/>
  <c r="R16" i="54"/>
  <c r="R18" i="54"/>
  <c r="R20" i="54"/>
  <c r="R34" i="55"/>
  <c r="V26" i="56"/>
  <c r="V37" i="56"/>
  <c r="R26" i="57"/>
  <c r="R64" i="57"/>
  <c r="V44" i="60"/>
  <c r="V42" i="60"/>
  <c r="V40" i="60"/>
  <c r="V32" i="60"/>
  <c r="V24" i="60"/>
  <c r="V20" i="60"/>
  <c r="V31" i="60"/>
  <c r="V33" i="60"/>
  <c r="V25" i="60"/>
  <c r="V21" i="60"/>
  <c r="V51" i="60"/>
  <c r="V48" i="60"/>
  <c r="V46" i="60"/>
  <c r="V35" i="60"/>
  <c r="V34" i="60"/>
  <c r="V26" i="60"/>
  <c r="V22" i="60"/>
  <c r="V37" i="60"/>
  <c r="V36" i="60"/>
  <c r="V28" i="60"/>
  <c r="Z12" i="60"/>
  <c r="V39" i="60"/>
  <c r="V27" i="60"/>
  <c r="V23" i="60"/>
  <c r="V19" i="60"/>
  <c r="V29" i="60"/>
  <c r="T16" i="60"/>
  <c r="F64" i="51"/>
  <c r="F65" i="51"/>
  <c r="F69" i="51"/>
  <c r="R24" i="55"/>
  <c r="R25" i="55"/>
  <c r="Z18" i="57"/>
  <c r="R22" i="57"/>
  <c r="R33" i="57"/>
  <c r="R43" i="57"/>
  <c r="L49" i="57"/>
  <c r="N49" i="57" s="1"/>
  <c r="R58" i="57"/>
  <c r="V61" i="58"/>
  <c r="V53" i="58"/>
  <c r="V45" i="58"/>
  <c r="V33" i="58"/>
  <c r="V29" i="58"/>
  <c r="T16" i="58"/>
  <c r="V60" i="58"/>
  <c r="V56" i="58"/>
  <c r="V48" i="58"/>
  <c r="V36" i="58"/>
  <c r="V28" i="58"/>
  <c r="V24" i="58"/>
  <c r="V20" i="58"/>
  <c r="V63" i="58"/>
  <c r="V55" i="58"/>
  <c r="V47" i="58"/>
  <c r="V35" i="58"/>
  <c r="V62" i="58"/>
  <c r="V38" i="58"/>
  <c r="V30" i="58"/>
  <c r="V65" i="58"/>
  <c r="V57" i="58"/>
  <c r="V49" i="58"/>
  <c r="V37" i="58"/>
  <c r="V25" i="58"/>
  <c r="V21" i="58"/>
  <c r="V64" i="58"/>
  <c r="V40" i="58"/>
  <c r="V51" i="58"/>
  <c r="V39" i="58"/>
  <c r="V31" i="58"/>
  <c r="V41" i="58"/>
  <c r="V52" i="58"/>
  <c r="V44" i="58"/>
  <c r="V32" i="58"/>
  <c r="Z12" i="58"/>
  <c r="V77" i="58"/>
  <c r="V74" i="58"/>
  <c r="V72" i="58"/>
  <c r="V54" i="58"/>
  <c r="V46" i="58"/>
  <c r="Z42" i="58"/>
  <c r="N48" i="58"/>
  <c r="V18" i="60"/>
  <c r="F42" i="51"/>
  <c r="F46" i="51"/>
  <c r="F51" i="51"/>
  <c r="F53" i="51"/>
  <c r="V14" i="54"/>
  <c r="V16" i="54"/>
  <c r="V18" i="54"/>
  <c r="V20" i="54"/>
  <c r="F26" i="54"/>
  <c r="F28" i="54"/>
  <c r="F29" i="54"/>
  <c r="L28" i="55"/>
  <c r="V40" i="56"/>
  <c r="V53" i="56"/>
  <c r="V56" i="56"/>
  <c r="R59" i="56"/>
  <c r="X14" i="57"/>
  <c r="R28" i="57"/>
  <c r="N37" i="57"/>
  <c r="N40" i="57"/>
  <c r="Z19" i="58"/>
  <c r="X19" i="58"/>
  <c r="V42" i="58"/>
  <c r="V50" i="58"/>
  <c r="V68" i="58"/>
  <c r="Z48" i="59"/>
  <c r="R19" i="60"/>
  <c r="F22" i="60"/>
  <c r="F26" i="60"/>
  <c r="F34" i="60"/>
  <c r="J35" i="60"/>
  <c r="N37" i="60"/>
  <c r="R38" i="60"/>
  <c r="R39" i="60"/>
  <c r="F53" i="61"/>
  <c r="F50" i="61"/>
  <c r="F42" i="61"/>
  <c r="F41" i="61"/>
  <c r="Z27" i="61"/>
  <c r="R30" i="61"/>
  <c r="F48" i="61"/>
  <c r="V53" i="61"/>
  <c r="T16" i="63"/>
  <c r="Z46" i="63"/>
  <c r="Z51" i="63"/>
  <c r="L55" i="63"/>
  <c r="R69" i="63"/>
  <c r="R89" i="63"/>
  <c r="J41" i="67"/>
  <c r="J52" i="67"/>
  <c r="J40" i="67"/>
  <c r="J28" i="67"/>
  <c r="J24" i="67"/>
  <c r="J20" i="67"/>
  <c r="J18" i="67"/>
  <c r="J16" i="67"/>
  <c r="J14" i="67"/>
  <c r="J29" i="67"/>
  <c r="H16" i="67"/>
  <c r="J34" i="67"/>
  <c r="J30" i="67"/>
  <c r="J25" i="67"/>
  <c r="J21" i="67"/>
  <c r="J43" i="67"/>
  <c r="J45" i="67"/>
  <c r="J35" i="67"/>
  <c r="J31" i="67"/>
  <c r="J26" i="67"/>
  <c r="J22" i="67"/>
  <c r="J36" i="67"/>
  <c r="J47" i="67"/>
  <c r="J32" i="67"/>
  <c r="N12" i="67"/>
  <c r="J49" i="67"/>
  <c r="J39" i="67"/>
  <c r="J33" i="67"/>
  <c r="J19" i="67"/>
  <c r="T16" i="67"/>
  <c r="L66" i="68"/>
  <c r="N66" i="68" s="1"/>
  <c r="J31" i="56"/>
  <c r="J43" i="56"/>
  <c r="J51" i="56"/>
  <c r="J59" i="56"/>
  <c r="F21" i="57"/>
  <c r="F25" i="57"/>
  <c r="J48" i="57"/>
  <c r="J56" i="57"/>
  <c r="F21" i="58"/>
  <c r="F25" i="58"/>
  <c r="F36" i="58"/>
  <c r="F37" i="58"/>
  <c r="J38" i="58"/>
  <c r="R41" i="58"/>
  <c r="R42" i="58"/>
  <c r="F48" i="58"/>
  <c r="F49" i="58"/>
  <c r="F56" i="58"/>
  <c r="F57" i="58"/>
  <c r="J64" i="58"/>
  <c r="L65" i="58"/>
  <c r="N65" i="58" s="1"/>
  <c r="R68" i="58"/>
  <c r="R70" i="58"/>
  <c r="J30" i="59"/>
  <c r="R31" i="59"/>
  <c r="J34" i="59"/>
  <c r="L35" i="59"/>
  <c r="N35" i="59" s="1"/>
  <c r="V38" i="59"/>
  <c r="J42" i="59"/>
  <c r="L43" i="59"/>
  <c r="N43" i="59" s="1"/>
  <c r="V46" i="59"/>
  <c r="F50" i="59"/>
  <c r="F51" i="59"/>
  <c r="L53" i="59"/>
  <c r="R57" i="59"/>
  <c r="X12" i="60"/>
  <c r="X14" i="60"/>
  <c r="X18" i="60"/>
  <c r="Z18" i="60" s="1"/>
  <c r="R36" i="60"/>
  <c r="R37" i="60"/>
  <c r="F46" i="60"/>
  <c r="P16" i="61"/>
  <c r="R20" i="61"/>
  <c r="R24" i="61"/>
  <c r="F27" i="61"/>
  <c r="F28" i="61"/>
  <c r="F40" i="61"/>
  <c r="N41" i="63"/>
  <c r="R53" i="63"/>
  <c r="Z65" i="63"/>
  <c r="R91" i="63"/>
  <c r="R94" i="63"/>
  <c r="R25" i="67"/>
  <c r="R21" i="67"/>
  <c r="R43" i="67"/>
  <c r="R45" i="67"/>
  <c r="R35" i="67"/>
  <c r="R31" i="67"/>
  <c r="R36" i="67"/>
  <c r="R26" i="67"/>
  <c r="R22" i="67"/>
  <c r="R47" i="67"/>
  <c r="R32" i="67"/>
  <c r="X12" i="67"/>
  <c r="R38" i="67"/>
  <c r="R37" i="67"/>
  <c r="R27" i="67"/>
  <c r="R23" i="67"/>
  <c r="R49" i="67"/>
  <c r="R52" i="67"/>
  <c r="R40" i="67"/>
  <c r="R39" i="67"/>
  <c r="R33" i="67"/>
  <c r="R18" i="67"/>
  <c r="R16" i="67"/>
  <c r="R14" i="67"/>
  <c r="R41" i="67"/>
  <c r="R34" i="67"/>
  <c r="R30" i="67"/>
  <c r="Z26" i="68"/>
  <c r="N28" i="68"/>
  <c r="Z66" i="68"/>
  <c r="T62" i="69"/>
  <c r="F69" i="70"/>
  <c r="F96" i="70"/>
  <c r="F95" i="70"/>
  <c r="F88" i="70"/>
  <c r="F87" i="70"/>
  <c r="F76" i="70"/>
  <c r="F64" i="70"/>
  <c r="F60" i="70"/>
  <c r="F56" i="70"/>
  <c r="F55" i="70"/>
  <c r="F54" i="70"/>
  <c r="F47" i="70"/>
  <c r="F43" i="70"/>
  <c r="F39" i="70"/>
  <c r="F90" i="70"/>
  <c r="F89" i="70"/>
  <c r="F78" i="70"/>
  <c r="F77" i="70"/>
  <c r="F70" i="70"/>
  <c r="F66" i="70"/>
  <c r="F65" i="70"/>
  <c r="D52" i="70"/>
  <c r="F52" i="70" s="1"/>
  <c r="F97" i="70"/>
  <c r="F61" i="70"/>
  <c r="F57" i="70"/>
  <c r="F92" i="70"/>
  <c r="F91" i="70"/>
  <c r="F80" i="70"/>
  <c r="F79" i="70"/>
  <c r="F48" i="70"/>
  <c r="F44" i="70"/>
  <c r="F40" i="70"/>
  <c r="F99" i="70"/>
  <c r="F98" i="70"/>
  <c r="F71" i="70"/>
  <c r="F67" i="70"/>
  <c r="F82" i="70"/>
  <c r="F81" i="70"/>
  <c r="F62" i="70"/>
  <c r="F58" i="70"/>
  <c r="F101" i="70"/>
  <c r="F100" i="70"/>
  <c r="F93" i="70"/>
  <c r="F73" i="70"/>
  <c r="F72" i="70"/>
  <c r="F49" i="70"/>
  <c r="F45" i="70"/>
  <c r="F41" i="70"/>
  <c r="F103" i="70"/>
  <c r="F94" i="70"/>
  <c r="F86" i="70"/>
  <c r="F85" i="70"/>
  <c r="F50" i="70"/>
  <c r="F46" i="70"/>
  <c r="F42" i="70"/>
  <c r="F38" i="70"/>
  <c r="F37" i="70"/>
  <c r="F63" i="70"/>
  <c r="F83" i="70"/>
  <c r="F74" i="70"/>
  <c r="F109" i="70"/>
  <c r="F104" i="70"/>
  <c r="F59" i="70"/>
  <c r="F105" i="70"/>
  <c r="F75" i="70"/>
  <c r="L12" i="70"/>
  <c r="R50" i="58"/>
  <c r="R51" i="58"/>
  <c r="J57" i="58"/>
  <c r="R58" i="58"/>
  <c r="F61" i="58"/>
  <c r="F62" i="58"/>
  <c r="J63" i="58"/>
  <c r="R66" i="58"/>
  <c r="H16" i="59"/>
  <c r="R36" i="59"/>
  <c r="R37" i="59"/>
  <c r="R44" i="59"/>
  <c r="R45" i="59"/>
  <c r="J51" i="59"/>
  <c r="J46" i="60"/>
  <c r="R14" i="61"/>
  <c r="R16" i="61"/>
  <c r="R18" i="61"/>
  <c r="R29" i="61"/>
  <c r="R37" i="61"/>
  <c r="N19" i="63"/>
  <c r="R22" i="63"/>
  <c r="N29" i="63"/>
  <c r="R55" i="63"/>
  <c r="N57" i="63"/>
  <c r="R77" i="63"/>
  <c r="Z94" i="63"/>
  <c r="Z40" i="67"/>
  <c r="X26" i="68"/>
  <c r="V20" i="69"/>
  <c r="T16" i="61"/>
  <c r="R19" i="61"/>
  <c r="R41" i="61"/>
  <c r="D12" i="72"/>
  <c r="L13" i="72"/>
  <c r="F19" i="57"/>
  <c r="F20" i="57"/>
  <c r="F24" i="57"/>
  <c r="F35" i="57"/>
  <c r="F36" i="57"/>
  <c r="F52" i="57"/>
  <c r="H16" i="58"/>
  <c r="F19" i="58"/>
  <c r="F20" i="58"/>
  <c r="F24" i="58"/>
  <c r="F28" i="58"/>
  <c r="J29" i="58"/>
  <c r="J35" i="58"/>
  <c r="J47" i="58"/>
  <c r="J55" i="58"/>
  <c r="F60" i="58"/>
  <c r="J61" i="58"/>
  <c r="R64" i="58"/>
  <c r="R65" i="58"/>
  <c r="J19" i="59"/>
  <c r="V21" i="59"/>
  <c r="V25" i="59"/>
  <c r="R30" i="59"/>
  <c r="J33" i="59"/>
  <c r="R34" i="59"/>
  <c r="R35" i="59"/>
  <c r="V37" i="59"/>
  <c r="J41" i="59"/>
  <c r="R42" i="59"/>
  <c r="R43" i="59"/>
  <c r="V45" i="59"/>
  <c r="J49" i="59"/>
  <c r="R53" i="59"/>
  <c r="R55" i="59"/>
  <c r="F14" i="60"/>
  <c r="F16" i="60"/>
  <c r="F18" i="60"/>
  <c r="F30" i="60"/>
  <c r="F31" i="60"/>
  <c r="J32" i="60"/>
  <c r="J42" i="60"/>
  <c r="J44" i="60"/>
  <c r="R48" i="60"/>
  <c r="R51" i="60"/>
  <c r="V46" i="61"/>
  <c r="V44" i="61"/>
  <c r="V42" i="61"/>
  <c r="V37" i="61"/>
  <c r="V14" i="61"/>
  <c r="V16" i="61"/>
  <c r="V18" i="61"/>
  <c r="R23" i="61"/>
  <c r="F31" i="61"/>
  <c r="R35" i="61"/>
  <c r="R36" i="61"/>
  <c r="R40" i="61"/>
  <c r="F44" i="61"/>
  <c r="R104" i="63"/>
  <c r="R101" i="63"/>
  <c r="R85" i="63"/>
  <c r="R84" i="63"/>
  <c r="R72" i="63"/>
  <c r="R57" i="63"/>
  <c r="R56" i="63"/>
  <c r="R37" i="63"/>
  <c r="R36" i="63"/>
  <c r="R32" i="63"/>
  <c r="R79" i="63"/>
  <c r="R67" i="63"/>
  <c r="R47" i="63"/>
  <c r="R27" i="63"/>
  <c r="R23" i="63"/>
  <c r="R87" i="63"/>
  <c r="R86" i="63"/>
  <c r="R59" i="63"/>
  <c r="R58" i="63"/>
  <c r="R39" i="63"/>
  <c r="R38" i="63"/>
  <c r="R19" i="63"/>
  <c r="R74" i="63"/>
  <c r="R73" i="63"/>
  <c r="R88" i="63"/>
  <c r="R80" i="63"/>
  <c r="R68" i="63"/>
  <c r="R61" i="63"/>
  <c r="R60" i="63"/>
  <c r="R49" i="63"/>
  <c r="R48" i="63"/>
  <c r="R41" i="63"/>
  <c r="R40" i="63"/>
  <c r="R29" i="63"/>
  <c r="R28" i="63"/>
  <c r="R24" i="63"/>
  <c r="R20" i="63"/>
  <c r="R76" i="63"/>
  <c r="R75" i="63"/>
  <c r="R63" i="63"/>
  <c r="R62" i="63"/>
  <c r="R51" i="63"/>
  <c r="R50" i="63"/>
  <c r="R43" i="63"/>
  <c r="R42" i="63"/>
  <c r="R34" i="63"/>
  <c r="R30" i="63"/>
  <c r="R97" i="63"/>
  <c r="R95" i="63"/>
  <c r="R65" i="63"/>
  <c r="R64" i="63"/>
  <c r="R99" i="63"/>
  <c r="R46" i="63"/>
  <c r="R45" i="63"/>
  <c r="N18" i="63"/>
  <c r="X41" i="63"/>
  <c r="Z41" i="63" s="1"/>
  <c r="N49" i="63"/>
  <c r="R52" i="63"/>
  <c r="N59" i="63"/>
  <c r="R66" i="63"/>
  <c r="X83" i="63"/>
  <c r="Z83" i="63" s="1"/>
  <c r="R93" i="63"/>
  <c r="D45" i="67"/>
  <c r="Z18" i="67"/>
  <c r="X19" i="68"/>
  <c r="Z19" i="68" s="1"/>
  <c r="Z79" i="70"/>
  <c r="X79" i="70"/>
  <c r="F84" i="70"/>
  <c r="J62" i="72"/>
  <c r="J56" i="72"/>
  <c r="J44" i="72"/>
  <c r="J63" i="72"/>
  <c r="J57" i="72"/>
  <c r="J65" i="72"/>
  <c r="J48" i="72"/>
  <c r="J54" i="72"/>
  <c r="J45" i="72"/>
  <c r="J50" i="72"/>
  <c r="J39" i="72"/>
  <c r="J34" i="72"/>
  <c r="J30" i="72"/>
  <c r="J60" i="72"/>
  <c r="J46" i="72"/>
  <c r="J35" i="72"/>
  <c r="J21" i="72"/>
  <c r="J55" i="72"/>
  <c r="J36" i="72"/>
  <c r="J26" i="72"/>
  <c r="J51" i="72"/>
  <c r="J47" i="72"/>
  <c r="J40" i="72"/>
  <c r="J31" i="72"/>
  <c r="J27" i="72"/>
  <c r="J25" i="72"/>
  <c r="J23" i="72"/>
  <c r="J58" i="72"/>
  <c r="J41" i="72"/>
  <c r="H23" i="72"/>
  <c r="J69" i="72"/>
  <c r="J42" i="72"/>
  <c r="J37" i="72"/>
  <c r="J61" i="72"/>
  <c r="J52" i="72"/>
  <c r="J32" i="72"/>
  <c r="J28" i="72"/>
  <c r="J43" i="72"/>
  <c r="J20" i="72"/>
  <c r="J49" i="72"/>
  <c r="J19" i="72"/>
  <c r="J53" i="72"/>
  <c r="J29" i="72"/>
  <c r="J38" i="72"/>
  <c r="J59" i="72"/>
  <c r="J39" i="56"/>
  <c r="J55" i="56"/>
  <c r="J14" i="57"/>
  <c r="J16" i="57"/>
  <c r="J18" i="57"/>
  <c r="J20" i="57"/>
  <c r="J24" i="57"/>
  <c r="F28" i="57"/>
  <c r="F29" i="57"/>
  <c r="J36" i="57"/>
  <c r="F44" i="57"/>
  <c r="F45" i="57"/>
  <c r="J52" i="57"/>
  <c r="F64" i="57"/>
  <c r="F67" i="57"/>
  <c r="J14" i="58"/>
  <c r="J16" i="58"/>
  <c r="J18" i="58"/>
  <c r="J20" i="58"/>
  <c r="R21" i="58"/>
  <c r="J24" i="58"/>
  <c r="R25" i="58"/>
  <c r="J28" i="58"/>
  <c r="F33" i="58"/>
  <c r="J34" i="58"/>
  <c r="R37" i="58"/>
  <c r="R38" i="58"/>
  <c r="F44" i="58"/>
  <c r="F45" i="58"/>
  <c r="J46" i="58"/>
  <c r="R49" i="58"/>
  <c r="F53" i="58"/>
  <c r="J54" i="58"/>
  <c r="R57" i="58"/>
  <c r="J60" i="58"/>
  <c r="J74" i="58"/>
  <c r="J77" i="58"/>
  <c r="V42" i="59"/>
  <c r="F47" i="59"/>
  <c r="J48" i="59"/>
  <c r="R51" i="59"/>
  <c r="H16" i="60"/>
  <c r="F19" i="60"/>
  <c r="F20" i="60"/>
  <c r="F24" i="60"/>
  <c r="J31" i="60"/>
  <c r="F39" i="60"/>
  <c r="F40" i="60"/>
  <c r="R46" i="60"/>
  <c r="X12" i="61"/>
  <c r="V19" i="61"/>
  <c r="V23" i="61"/>
  <c r="R28" i="61"/>
  <c r="V35" i="61"/>
  <c r="V40" i="61"/>
  <c r="V41" i="61"/>
  <c r="D16" i="63"/>
  <c r="X29" i="63"/>
  <c r="X55" i="63"/>
  <c r="N74" i="63"/>
  <c r="Z93" i="63"/>
  <c r="R20" i="67"/>
  <c r="P12" i="68"/>
  <c r="D12" i="68"/>
  <c r="L14" i="68"/>
  <c r="N14" i="68" s="1"/>
  <c r="Z34" i="68"/>
  <c r="F33" i="57"/>
  <c r="F34" i="57"/>
  <c r="J45" i="57"/>
  <c r="R30" i="58"/>
  <c r="J33" i="58"/>
  <c r="J45" i="58"/>
  <c r="J53" i="58"/>
  <c r="R62" i="58"/>
  <c r="R63" i="58"/>
  <c r="F72" i="58"/>
  <c r="L12" i="59"/>
  <c r="P16" i="59"/>
  <c r="R20" i="59"/>
  <c r="J23" i="59"/>
  <c r="R24" i="59"/>
  <c r="J27" i="59"/>
  <c r="R28" i="59"/>
  <c r="R29" i="59"/>
  <c r="F32" i="59"/>
  <c r="V35" i="59"/>
  <c r="F39" i="59"/>
  <c r="F40" i="59"/>
  <c r="V43" i="59"/>
  <c r="J47" i="59"/>
  <c r="V51" i="59"/>
  <c r="V53" i="59"/>
  <c r="V55" i="59"/>
  <c r="F59" i="59"/>
  <c r="F62" i="59"/>
  <c r="J14" i="60"/>
  <c r="J16" i="60"/>
  <c r="J18" i="60"/>
  <c r="J20" i="60"/>
  <c r="R21" i="60"/>
  <c r="J24" i="60"/>
  <c r="R25" i="60"/>
  <c r="F28" i="60"/>
  <c r="F29" i="60"/>
  <c r="J30" i="60"/>
  <c r="R33" i="60"/>
  <c r="J40" i="60"/>
  <c r="F21" i="61"/>
  <c r="F25" i="61"/>
  <c r="V28" i="61"/>
  <c r="R33" i="61"/>
  <c r="R34" i="61"/>
  <c r="V36" i="61"/>
  <c r="F38" i="61"/>
  <c r="R26" i="63"/>
  <c r="Z29" i="63"/>
  <c r="R54" i="63"/>
  <c r="R82" i="63"/>
  <c r="R29" i="67"/>
  <c r="T12" i="68"/>
  <c r="J29" i="56"/>
  <c r="J37" i="56"/>
  <c r="J47" i="56"/>
  <c r="J67" i="56"/>
  <c r="J70" i="56"/>
  <c r="F23" i="57"/>
  <c r="F27" i="57"/>
  <c r="J28" i="57"/>
  <c r="J34" i="57"/>
  <c r="F42" i="57"/>
  <c r="F43" i="57"/>
  <c r="J44" i="57"/>
  <c r="F51" i="57"/>
  <c r="J64" i="57"/>
  <c r="J67" i="57"/>
  <c r="F23" i="58"/>
  <c r="F27" i="58"/>
  <c r="R35" i="58"/>
  <c r="R36" i="58"/>
  <c r="F42" i="58"/>
  <c r="F43" i="58"/>
  <c r="J44" i="58"/>
  <c r="R47" i="58"/>
  <c r="R48" i="58"/>
  <c r="R55" i="58"/>
  <c r="R56" i="58"/>
  <c r="F59" i="58"/>
  <c r="F68" i="58"/>
  <c r="F70" i="58"/>
  <c r="J72" i="58"/>
  <c r="R14" i="59"/>
  <c r="R16" i="59"/>
  <c r="R18" i="59"/>
  <c r="V28" i="59"/>
  <c r="J32" i="59"/>
  <c r="R33" i="59"/>
  <c r="J40" i="59"/>
  <c r="R41" i="59"/>
  <c r="R49" i="59"/>
  <c r="R50" i="59"/>
  <c r="J19" i="60"/>
  <c r="J29" i="60"/>
  <c r="F37" i="60"/>
  <c r="F38" i="60"/>
  <c r="J39" i="60"/>
  <c r="D16" i="61"/>
  <c r="R22" i="61"/>
  <c r="R26" i="61"/>
  <c r="R27" i="61"/>
  <c r="F30" i="61"/>
  <c r="V33" i="61"/>
  <c r="R46" i="61"/>
  <c r="H16" i="63"/>
  <c r="R18" i="63"/>
  <c r="R31" i="63"/>
  <c r="X49" i="63"/>
  <c r="R70" i="63"/>
  <c r="R78" i="63"/>
  <c r="X14" i="67"/>
  <c r="R24" i="67"/>
  <c r="Z29" i="67"/>
  <c r="N31" i="68"/>
  <c r="J38" i="69"/>
  <c r="J32" i="69"/>
  <c r="J18" i="69"/>
  <c r="J49" i="69"/>
  <c r="J39" i="69"/>
  <c r="J33" i="69"/>
  <c r="J23" i="69"/>
  <c r="J56" i="69"/>
  <c r="J50" i="69"/>
  <c r="J40" i="69"/>
  <c r="J28" i="69"/>
  <c r="J24" i="69"/>
  <c r="J22" i="69"/>
  <c r="J57" i="69"/>
  <c r="J51" i="69"/>
  <c r="J41" i="69"/>
  <c r="H20" i="69"/>
  <c r="J20" i="69" s="1"/>
  <c r="J58" i="69"/>
  <c r="J42" i="69"/>
  <c r="J34" i="69"/>
  <c r="J43" i="69"/>
  <c r="J29" i="69"/>
  <c r="J25" i="69"/>
  <c r="J60" i="69"/>
  <c r="J52" i="69"/>
  <c r="J44" i="69"/>
  <c r="J64" i="69"/>
  <c r="J55" i="69"/>
  <c r="J37" i="69"/>
  <c r="J31" i="69"/>
  <c r="J27" i="69"/>
  <c r="J30" i="69"/>
  <c r="J47" i="69"/>
  <c r="J45" i="69"/>
  <c r="J36" i="69"/>
  <c r="J16" i="69"/>
  <c r="J54" i="69"/>
  <c r="J26" i="69"/>
  <c r="J35" i="69"/>
  <c r="J53" i="69"/>
  <c r="J28" i="56"/>
  <c r="J36" i="56"/>
  <c r="J46" i="56"/>
  <c r="J54" i="56"/>
  <c r="L12" i="57"/>
  <c r="J23" i="57"/>
  <c r="J27" i="57"/>
  <c r="F32" i="57"/>
  <c r="J33" i="57"/>
  <c r="J43" i="57"/>
  <c r="J51" i="57"/>
  <c r="F62" i="57"/>
  <c r="L12" i="58"/>
  <c r="P16" i="58"/>
  <c r="R20" i="58"/>
  <c r="J23" i="58"/>
  <c r="R24" i="58"/>
  <c r="J27" i="58"/>
  <c r="R28" i="58"/>
  <c r="R29" i="58"/>
  <c r="F32" i="58"/>
  <c r="X38" i="58"/>
  <c r="J43" i="58"/>
  <c r="L44" i="58"/>
  <c r="F51" i="58"/>
  <c r="F52" i="58"/>
  <c r="J59" i="58"/>
  <c r="R60" i="58"/>
  <c r="R61" i="58"/>
  <c r="R19" i="59"/>
  <c r="V33" i="59"/>
  <c r="F37" i="59"/>
  <c r="F38" i="59"/>
  <c r="J39" i="59"/>
  <c r="V41" i="59"/>
  <c r="F45" i="59"/>
  <c r="F46" i="59"/>
  <c r="V49" i="59"/>
  <c r="J59" i="59"/>
  <c r="J62" i="59"/>
  <c r="J28" i="60"/>
  <c r="R31" i="60"/>
  <c r="R32" i="60"/>
  <c r="J38" i="60"/>
  <c r="R42" i="60"/>
  <c r="R44" i="60"/>
  <c r="R31" i="61"/>
  <c r="R32" i="61"/>
  <c r="R39" i="61"/>
  <c r="N37" i="63"/>
  <c r="Z49" i="63"/>
  <c r="R90" i="63"/>
  <c r="N36" i="68"/>
  <c r="L36" i="68"/>
  <c r="N12" i="57"/>
  <c r="J32" i="57"/>
  <c r="F40" i="57"/>
  <c r="F41" i="57"/>
  <c r="J42" i="57"/>
  <c r="F58" i="57"/>
  <c r="F60" i="57"/>
  <c r="N12" i="58"/>
  <c r="R14" i="58"/>
  <c r="R16" i="58"/>
  <c r="R18" i="58"/>
  <c r="J32" i="58"/>
  <c r="R33" i="58"/>
  <c r="R34" i="58"/>
  <c r="F40" i="58"/>
  <c r="F41" i="58"/>
  <c r="J42" i="58"/>
  <c r="R45" i="58"/>
  <c r="R46" i="58"/>
  <c r="J52" i="58"/>
  <c r="R53" i="58"/>
  <c r="R54" i="58"/>
  <c r="J68" i="58"/>
  <c r="J70" i="58"/>
  <c r="R74" i="58"/>
  <c r="R77" i="58"/>
  <c r="V14" i="59"/>
  <c r="V16" i="59"/>
  <c r="V18" i="59"/>
  <c r="J22" i="59"/>
  <c r="R23" i="59"/>
  <c r="J26" i="59"/>
  <c r="R27" i="59"/>
  <c r="F31" i="59"/>
  <c r="J38" i="59"/>
  <c r="J46" i="59"/>
  <c r="R47" i="59"/>
  <c r="R48" i="59"/>
  <c r="L12" i="60"/>
  <c r="P16" i="60"/>
  <c r="R20" i="60"/>
  <c r="J23" i="60"/>
  <c r="R24" i="60"/>
  <c r="J27" i="60"/>
  <c r="F35" i="60"/>
  <c r="F36" i="60"/>
  <c r="J37" i="60"/>
  <c r="R40" i="60"/>
  <c r="F19" i="61"/>
  <c r="F20" i="61"/>
  <c r="F24" i="61"/>
  <c r="V27" i="61"/>
  <c r="V31" i="61"/>
  <c r="R38" i="61"/>
  <c r="Z39" i="61"/>
  <c r="R44" i="61"/>
  <c r="P16" i="63"/>
  <c r="R35" i="63"/>
  <c r="Z43" i="63"/>
  <c r="X61" i="63"/>
  <c r="Z95" i="63"/>
  <c r="Z29" i="68"/>
  <c r="R51" i="69"/>
  <c r="R58" i="69"/>
  <c r="R43" i="69"/>
  <c r="R42" i="69"/>
  <c r="R34" i="69"/>
  <c r="R62" i="69"/>
  <c r="R60" i="69"/>
  <c r="R29" i="69"/>
  <c r="R25" i="69"/>
  <c r="R53" i="69"/>
  <c r="R52" i="69"/>
  <c r="R45" i="69"/>
  <c r="R44" i="69"/>
  <c r="R35" i="69"/>
  <c r="R16" i="69"/>
  <c r="R64" i="69"/>
  <c r="R54" i="69"/>
  <c r="R47" i="69"/>
  <c r="R46" i="69"/>
  <c r="R30" i="69"/>
  <c r="R26" i="69"/>
  <c r="R69" i="69"/>
  <c r="R66" i="69"/>
  <c r="R17" i="69"/>
  <c r="R57" i="69"/>
  <c r="R56" i="69"/>
  <c r="R41" i="69"/>
  <c r="R40" i="69"/>
  <c r="R28" i="69"/>
  <c r="R24" i="69"/>
  <c r="P20" i="69"/>
  <c r="R36" i="69"/>
  <c r="R49" i="69"/>
  <c r="R27" i="69"/>
  <c r="R18" i="69"/>
  <c r="R39" i="69"/>
  <c r="R37" i="69"/>
  <c r="R22" i="69"/>
  <c r="R50" i="69"/>
  <c r="R48" i="69"/>
  <c r="R33" i="69"/>
  <c r="R31" i="69"/>
  <c r="R23" i="69"/>
  <c r="X12" i="69"/>
  <c r="R55" i="69"/>
  <c r="R38" i="69"/>
  <c r="R20" i="69"/>
  <c r="J48" i="69"/>
  <c r="F68" i="70"/>
  <c r="X14" i="71"/>
  <c r="P16" i="71"/>
  <c r="F49" i="57"/>
  <c r="R19" i="58"/>
  <c r="F22" i="58"/>
  <c r="F26" i="58"/>
  <c r="J41" i="58"/>
  <c r="F50" i="58"/>
  <c r="F58" i="58"/>
  <c r="F65" i="58"/>
  <c r="J45" i="59"/>
  <c r="R14" i="60"/>
  <c r="R16" i="60"/>
  <c r="R18" i="60"/>
  <c r="R29" i="60"/>
  <c r="F48" i="60"/>
  <c r="R21" i="61"/>
  <c r="R25" i="61"/>
  <c r="F29" i="61"/>
  <c r="F36" i="61"/>
  <c r="F37" i="61"/>
  <c r="V38" i="61"/>
  <c r="V39" i="61"/>
  <c r="R53" i="61"/>
  <c r="R16" i="63"/>
  <c r="N39" i="63"/>
  <c r="Z61" i="63"/>
  <c r="L87" i="63"/>
  <c r="N87" i="63" s="1"/>
  <c r="P16" i="67"/>
  <c r="J23" i="67"/>
  <c r="R28" i="67"/>
  <c r="J38" i="67"/>
  <c r="V62" i="69"/>
  <c r="V60" i="69"/>
  <c r="V58" i="69"/>
  <c r="V42" i="69"/>
  <c r="V34" i="69"/>
  <c r="V53" i="69"/>
  <c r="V45" i="69"/>
  <c r="V29" i="69"/>
  <c r="V25" i="69"/>
  <c r="V52" i="69"/>
  <c r="V44" i="69"/>
  <c r="V16" i="69"/>
  <c r="V47" i="69"/>
  <c r="V35" i="69"/>
  <c r="V64" i="69"/>
  <c r="V54" i="69"/>
  <c r="V46" i="69"/>
  <c r="V30" i="69"/>
  <c r="V26" i="69"/>
  <c r="V37" i="69"/>
  <c r="V17" i="69"/>
  <c r="V48" i="69"/>
  <c r="V36" i="69"/>
  <c r="V32" i="69"/>
  <c r="Z12" i="69"/>
  <c r="V55" i="69"/>
  <c r="V51" i="69"/>
  <c r="V43" i="69"/>
  <c r="V49" i="69"/>
  <c r="V27" i="69"/>
  <c r="V39" i="69"/>
  <c r="V18" i="69"/>
  <c r="V41" i="69"/>
  <c r="V22" i="69"/>
  <c r="V50" i="69"/>
  <c r="V24" i="69"/>
  <c r="V33" i="69"/>
  <c r="V31" i="69"/>
  <c r="V56" i="69"/>
  <c r="V23" i="69"/>
  <c r="V28" i="69"/>
  <c r="J44" i="63"/>
  <c r="J52" i="63"/>
  <c r="V56" i="63"/>
  <c r="J64" i="63"/>
  <c r="F69" i="63"/>
  <c r="J70" i="63"/>
  <c r="V72" i="63"/>
  <c r="F76" i="63"/>
  <c r="F77" i="63"/>
  <c r="F81" i="63"/>
  <c r="V84" i="63"/>
  <c r="F89" i="63"/>
  <c r="J90" i="63"/>
  <c r="L14" i="67"/>
  <c r="Z16" i="68"/>
  <c r="Z23" i="68"/>
  <c r="D12" i="69"/>
  <c r="L14" i="69"/>
  <c r="N14" i="69" s="1"/>
  <c r="X32" i="69"/>
  <c r="Z32" i="69" s="1"/>
  <c r="Z57" i="69"/>
  <c r="H22" i="71"/>
  <c r="N16" i="71"/>
  <c r="V39" i="72"/>
  <c r="J75" i="63"/>
  <c r="F80" i="63"/>
  <c r="V83" i="63"/>
  <c r="F87" i="63"/>
  <c r="F88" i="63"/>
  <c r="V91" i="63"/>
  <c r="V93" i="63"/>
  <c r="N27" i="70"/>
  <c r="X29" i="70"/>
  <c r="Z29" i="70" s="1"/>
  <c r="Z33" i="70"/>
  <c r="Z35" i="70"/>
  <c r="Z105" i="70"/>
  <c r="N17" i="72"/>
  <c r="Z32" i="68"/>
  <c r="Z78" i="68"/>
  <c r="Z23" i="69"/>
  <c r="V65" i="72"/>
  <c r="V63" i="72"/>
  <c r="V48" i="72"/>
  <c r="V69" i="72"/>
  <c r="V59" i="72"/>
  <c r="V51" i="72"/>
  <c r="V53" i="72"/>
  <c r="V60" i="72"/>
  <c r="V52" i="72"/>
  <c r="V40" i="72"/>
  <c r="V31" i="72"/>
  <c r="V27" i="72"/>
  <c r="V58" i="72"/>
  <c r="V43" i="72"/>
  <c r="V42" i="72"/>
  <c r="V37" i="72"/>
  <c r="V32" i="72"/>
  <c r="V28" i="72"/>
  <c r="V61" i="72"/>
  <c r="V19" i="72"/>
  <c r="V62" i="72"/>
  <c r="V56" i="72"/>
  <c r="V49" i="72"/>
  <c r="V38" i="72"/>
  <c r="V33" i="72"/>
  <c r="V29" i="72"/>
  <c r="V45" i="72"/>
  <c r="V44" i="72"/>
  <c r="V20" i="72"/>
  <c r="V54" i="72"/>
  <c r="V35" i="72"/>
  <c r="V47" i="72"/>
  <c r="V46" i="72"/>
  <c r="V41" i="72"/>
  <c r="V36" i="72"/>
  <c r="T23" i="72"/>
  <c r="Z35" i="72"/>
  <c r="X35" i="72"/>
  <c r="F47" i="78"/>
  <c r="F46" i="78"/>
  <c r="F26" i="78"/>
  <c r="F24" i="78"/>
  <c r="F19" i="78"/>
  <c r="F38" i="78"/>
  <c r="F58" i="78"/>
  <c r="F56" i="78"/>
  <c r="F54" i="78"/>
  <c r="F21" i="78"/>
  <c r="F34" i="78"/>
  <c r="F40" i="78"/>
  <c r="F37" i="78"/>
  <c r="F52" i="78"/>
  <c r="F44" i="78"/>
  <c r="F29" i="78"/>
  <c r="F65" i="78"/>
  <c r="F41" i="78"/>
  <c r="F32" i="78"/>
  <c r="F20" i="78"/>
  <c r="F48" i="78"/>
  <c r="F42" i="78"/>
  <c r="F17" i="78"/>
  <c r="F60" i="78"/>
  <c r="F53" i="78"/>
  <c r="F35" i="78"/>
  <c r="F30" i="78"/>
  <c r="D24" i="78"/>
  <c r="F45" i="78"/>
  <c r="F18" i="78"/>
  <c r="F49" i="78"/>
  <c r="F36" i="78"/>
  <c r="F55" i="78"/>
  <c r="F50" i="78"/>
  <c r="F33" i="78"/>
  <c r="L12" i="78"/>
  <c r="F62" i="78"/>
  <c r="F22" i="78"/>
  <c r="F43" i="78"/>
  <c r="F39" i="78"/>
  <c r="F31" i="78"/>
  <c r="F27" i="78"/>
  <c r="F28" i="78"/>
  <c r="L39" i="78"/>
  <c r="N39" i="78"/>
  <c r="J19" i="63"/>
  <c r="V21" i="63"/>
  <c r="V25" i="63"/>
  <c r="J33" i="63"/>
  <c r="F37" i="63"/>
  <c r="F38" i="63"/>
  <c r="J39" i="63"/>
  <c r="V53" i="63"/>
  <c r="F57" i="63"/>
  <c r="F58" i="63"/>
  <c r="J59" i="63"/>
  <c r="V65" i="63"/>
  <c r="V69" i="63"/>
  <c r="J73" i="63"/>
  <c r="V77" i="63"/>
  <c r="V81" i="63"/>
  <c r="F85" i="63"/>
  <c r="F86" i="63"/>
  <c r="J87" i="63"/>
  <c r="V89" i="63"/>
  <c r="V95" i="63"/>
  <c r="V97" i="63"/>
  <c r="F101" i="63"/>
  <c r="F104" i="63"/>
  <c r="V52" i="67"/>
  <c r="V49" i="67"/>
  <c r="V47" i="67"/>
  <c r="V14" i="67"/>
  <c r="V16" i="67"/>
  <c r="V18" i="67"/>
  <c r="F31" i="67"/>
  <c r="F35" i="67"/>
  <c r="V40" i="67"/>
  <c r="F43" i="67"/>
  <c r="X15" i="68"/>
  <c r="Z15" i="68" s="1"/>
  <c r="N22" i="69"/>
  <c r="L45" i="69"/>
  <c r="N15" i="70"/>
  <c r="N19" i="70"/>
  <c r="X21" i="70"/>
  <c r="Z21" i="70" s="1"/>
  <c r="Z25" i="70"/>
  <c r="Z27" i="70"/>
  <c r="N37" i="70"/>
  <c r="L37" i="70"/>
  <c r="Z54" i="70"/>
  <c r="L103" i="70"/>
  <c r="N103" i="70" s="1"/>
  <c r="X15" i="72"/>
  <c r="Z15" i="72" s="1"/>
  <c r="X21" i="73"/>
  <c r="Z21" i="73" s="1"/>
  <c r="V34" i="63"/>
  <c r="J38" i="63"/>
  <c r="V42" i="63"/>
  <c r="F46" i="63"/>
  <c r="F47" i="63"/>
  <c r="V50" i="63"/>
  <c r="J58" i="63"/>
  <c r="V62" i="63"/>
  <c r="F67" i="63"/>
  <c r="V70" i="63"/>
  <c r="F79" i="63"/>
  <c r="J86" i="63"/>
  <c r="V90" i="63"/>
  <c r="Z28" i="68"/>
  <c r="L87" i="68"/>
  <c r="N87" i="68" s="1"/>
  <c r="P12" i="70"/>
  <c r="X13" i="70"/>
  <c r="X17" i="70"/>
  <c r="V21" i="72"/>
  <c r="L53" i="72"/>
  <c r="N53" i="72" s="1"/>
  <c r="N43" i="74"/>
  <c r="L43" i="74"/>
  <c r="H12" i="74"/>
  <c r="Z48" i="74"/>
  <c r="X48" i="74"/>
  <c r="Z76" i="76"/>
  <c r="X76" i="76"/>
  <c r="J23" i="63"/>
  <c r="J27" i="63"/>
  <c r="F32" i="63"/>
  <c r="F36" i="63"/>
  <c r="J37" i="63"/>
  <c r="V43" i="63"/>
  <c r="J47" i="63"/>
  <c r="V51" i="63"/>
  <c r="F55" i="63"/>
  <c r="F56" i="63"/>
  <c r="J57" i="63"/>
  <c r="V63" i="63"/>
  <c r="J67" i="63"/>
  <c r="F72" i="63"/>
  <c r="V75" i="63"/>
  <c r="J79" i="63"/>
  <c r="F83" i="63"/>
  <c r="F84" i="63"/>
  <c r="J85" i="63"/>
  <c r="F93" i="63"/>
  <c r="J101" i="63"/>
  <c r="J104" i="63"/>
  <c r="F21" i="67"/>
  <c r="F25" i="67"/>
  <c r="Z80" i="68"/>
  <c r="N16" i="69"/>
  <c r="N45" i="69"/>
  <c r="T12" i="70"/>
  <c r="Z13" i="70"/>
  <c r="Z17" i="70"/>
  <c r="N32" i="70"/>
  <c r="X91" i="70"/>
  <c r="Z91" i="70" s="1"/>
  <c r="L104" i="70"/>
  <c r="N104" i="70" s="1"/>
  <c r="X57" i="72"/>
  <c r="Z57" i="72" s="1"/>
  <c r="H12" i="75"/>
  <c r="J84" i="63"/>
  <c r="V88" i="63"/>
  <c r="F94" i="63"/>
  <c r="F99" i="63"/>
  <c r="F34" i="67"/>
  <c r="Z24" i="68"/>
  <c r="N28" i="70"/>
  <c r="L74" i="70"/>
  <c r="N74" i="70" s="1"/>
  <c r="N85" i="70"/>
  <c r="L85" i="70"/>
  <c r="V23" i="72"/>
  <c r="X26" i="72"/>
  <c r="Z26" i="72" s="1"/>
  <c r="V57" i="72"/>
  <c r="J68" i="73"/>
  <c r="J60" i="73"/>
  <c r="J46" i="73"/>
  <c r="J42" i="73"/>
  <c r="J38" i="73"/>
  <c r="J34" i="73"/>
  <c r="J69" i="73"/>
  <c r="J61" i="73"/>
  <c r="J56" i="73"/>
  <c r="J71" i="73"/>
  <c r="J47" i="73"/>
  <c r="J43" i="73"/>
  <c r="J39" i="73"/>
  <c r="J35" i="73"/>
  <c r="J62" i="73"/>
  <c r="J52" i="73"/>
  <c r="J75" i="73"/>
  <c r="J63" i="73"/>
  <c r="J57" i="73"/>
  <c r="J53" i="73"/>
  <c r="J51" i="73"/>
  <c r="J64" i="73"/>
  <c r="H49" i="73"/>
  <c r="J49" i="73" s="1"/>
  <c r="J44" i="73"/>
  <c r="J40" i="73"/>
  <c r="J36" i="73"/>
  <c r="J58" i="73"/>
  <c r="J54" i="73"/>
  <c r="J65" i="73"/>
  <c r="J45" i="73"/>
  <c r="J41" i="73"/>
  <c r="J37" i="73"/>
  <c r="J66" i="73"/>
  <c r="J55" i="73"/>
  <c r="J33" i="73"/>
  <c r="F26" i="63"/>
  <c r="V29" i="63"/>
  <c r="V33" i="63"/>
  <c r="V41" i="63"/>
  <c r="J45" i="63"/>
  <c r="V49" i="63"/>
  <c r="F53" i="63"/>
  <c r="F54" i="63"/>
  <c r="J55" i="63"/>
  <c r="V61" i="63"/>
  <c r="F65" i="63"/>
  <c r="F66" i="63"/>
  <c r="V73" i="63"/>
  <c r="F78" i="63"/>
  <c r="F82" i="63"/>
  <c r="J83" i="63"/>
  <c r="J93" i="63"/>
  <c r="F95" i="63"/>
  <c r="F97" i="63"/>
  <c r="J99" i="63"/>
  <c r="F14" i="67"/>
  <c r="F16" i="67"/>
  <c r="F18" i="67"/>
  <c r="F40" i="67"/>
  <c r="F41" i="67"/>
  <c r="F52" i="67"/>
  <c r="L16" i="68"/>
  <c r="N16" i="68" s="1"/>
  <c r="X17" i="68"/>
  <c r="Z17" i="68" s="1"/>
  <c r="X31" i="68"/>
  <c r="Z31" i="68" s="1"/>
  <c r="X66" i="68"/>
  <c r="N84" i="68"/>
  <c r="L16" i="69"/>
  <c r="Z39" i="69"/>
  <c r="L47" i="69"/>
  <c r="N47" i="69" s="1"/>
  <c r="X50" i="69"/>
  <c r="Z50" i="69" s="1"/>
  <c r="L28" i="70"/>
  <c r="N72" i="70"/>
  <c r="Z104" i="70"/>
  <c r="V26" i="72"/>
  <c r="V34" i="72"/>
  <c r="V14" i="63"/>
  <c r="V16" i="63"/>
  <c r="V18" i="63"/>
  <c r="J22" i="63"/>
  <c r="J26" i="63"/>
  <c r="F31" i="63"/>
  <c r="F35" i="63"/>
  <c r="V38" i="63"/>
  <c r="J54" i="63"/>
  <c r="V58" i="63"/>
  <c r="J66" i="63"/>
  <c r="F70" i="63"/>
  <c r="F71" i="63"/>
  <c r="V74" i="63"/>
  <c r="J78" i="63"/>
  <c r="J82" i="63"/>
  <c r="V86" i="63"/>
  <c r="F90" i="63"/>
  <c r="F91" i="63"/>
  <c r="J94" i="63"/>
  <c r="F19" i="67"/>
  <c r="F20" i="67"/>
  <c r="F24" i="67"/>
  <c r="F28" i="67"/>
  <c r="V31" i="67"/>
  <c r="V35" i="67"/>
  <c r="V36" i="67"/>
  <c r="F49" i="67"/>
  <c r="Z20" i="68"/>
  <c r="Z27" i="68"/>
  <c r="X34" i="68"/>
  <c r="X22" i="69"/>
  <c r="Z22" i="69" s="1"/>
  <c r="X41" i="69"/>
  <c r="Z41" i="69" s="1"/>
  <c r="N57" i="69"/>
  <c r="N16" i="70"/>
  <c r="N20" i="70"/>
  <c r="L24" i="70"/>
  <c r="N24" i="70" s="1"/>
  <c r="N65" i="70"/>
  <c r="Z74" i="70"/>
  <c r="Z89" i="70"/>
  <c r="R57" i="72"/>
  <c r="R56" i="72"/>
  <c r="R63" i="72"/>
  <c r="R67" i="72"/>
  <c r="R65" i="72"/>
  <c r="R49" i="72"/>
  <c r="R48" i="72"/>
  <c r="R74" i="72"/>
  <c r="R71" i="72"/>
  <c r="R55" i="72"/>
  <c r="R51" i="72"/>
  <c r="R46" i="72"/>
  <c r="R36" i="72"/>
  <c r="R25" i="72"/>
  <c r="R23" i="72"/>
  <c r="X12" i="72"/>
  <c r="Z12" i="72" s="1"/>
  <c r="R47" i="72"/>
  <c r="R41" i="72"/>
  <c r="R40" i="72"/>
  <c r="R31" i="72"/>
  <c r="R27" i="72"/>
  <c r="P23" i="72"/>
  <c r="R69" i="72"/>
  <c r="R58" i="72"/>
  <c r="R42" i="72"/>
  <c r="R37" i="72"/>
  <c r="R52" i="72"/>
  <c r="R43" i="72"/>
  <c r="R32" i="72"/>
  <c r="R28" i="72"/>
  <c r="R61" i="72"/>
  <c r="R53" i="72"/>
  <c r="R59" i="72"/>
  <c r="R19" i="72"/>
  <c r="R62" i="72"/>
  <c r="R38" i="72"/>
  <c r="R33" i="72"/>
  <c r="R29" i="72"/>
  <c r="R44" i="72"/>
  <c r="R20" i="72"/>
  <c r="R60" i="72"/>
  <c r="R50" i="72"/>
  <c r="R26" i="72"/>
  <c r="R21" i="72"/>
  <c r="V55" i="72"/>
  <c r="L109" i="74"/>
  <c r="N109" i="74" s="1"/>
  <c r="D108" i="74"/>
  <c r="J35" i="63"/>
  <c r="F51" i="63"/>
  <c r="F52" i="63"/>
  <c r="J53" i="63"/>
  <c r="V59" i="63"/>
  <c r="F63" i="63"/>
  <c r="J65" i="63"/>
  <c r="V67" i="63"/>
  <c r="J71" i="63"/>
  <c r="V79" i="63"/>
  <c r="J91" i="63"/>
  <c r="J95" i="63"/>
  <c r="F33" i="67"/>
  <c r="F38" i="67"/>
  <c r="N56" i="68"/>
  <c r="L94" i="68"/>
  <c r="N53" i="69"/>
  <c r="H12" i="70"/>
  <c r="Z85" i="70"/>
  <c r="R39" i="72"/>
  <c r="N14" i="71"/>
  <c r="V24" i="71"/>
  <c r="V26" i="71"/>
  <c r="V29" i="71"/>
  <c r="T16" i="71"/>
  <c r="N57" i="75"/>
  <c r="L57" i="75"/>
  <c r="N92" i="76"/>
  <c r="V14" i="71"/>
  <c r="V16" i="71"/>
  <c r="V18" i="71"/>
  <c r="V20" i="71"/>
  <c r="V22" i="71"/>
  <c r="L93" i="74"/>
  <c r="N93" i="74" s="1"/>
  <c r="P103" i="70"/>
  <c r="X103" i="70" s="1"/>
  <c r="Z103" i="70" s="1"/>
  <c r="X12" i="71"/>
  <c r="N13" i="72"/>
  <c r="X14" i="72"/>
  <c r="Z14" i="72" s="1"/>
  <c r="Z62" i="72"/>
  <c r="P12" i="73"/>
  <c r="L20" i="73"/>
  <c r="N20" i="73" s="1"/>
  <c r="Z63" i="73"/>
  <c r="Z14" i="74"/>
  <c r="T12" i="74"/>
  <c r="X14" i="74"/>
  <c r="N22" i="74"/>
  <c r="Z36" i="74"/>
  <c r="N89" i="76"/>
  <c r="L89" i="76"/>
  <c r="J26" i="71"/>
  <c r="J29" i="71"/>
  <c r="X43" i="72"/>
  <c r="Z43" i="72" s="1"/>
  <c r="T12" i="73"/>
  <c r="Z13" i="73"/>
  <c r="Z25" i="73"/>
  <c r="D12" i="74"/>
  <c r="L13" i="74"/>
  <c r="Z16" i="74"/>
  <c r="X16" i="74"/>
  <c r="D16" i="71"/>
  <c r="X13" i="72"/>
  <c r="X17" i="72"/>
  <c r="Z17" i="72" s="1"/>
  <c r="L66" i="73"/>
  <c r="X37" i="70"/>
  <c r="Z37" i="70" s="1"/>
  <c r="L79" i="70"/>
  <c r="N79" i="70" s="1"/>
  <c r="X85" i="70"/>
  <c r="L91" i="70"/>
  <c r="N91" i="70" s="1"/>
  <c r="Z13" i="72"/>
  <c r="L26" i="72"/>
  <c r="N26" i="72" s="1"/>
  <c r="D12" i="73"/>
  <c r="L14" i="73"/>
  <c r="N14" i="73" s="1"/>
  <c r="N66" i="73"/>
  <c r="P12" i="74"/>
  <c r="X13" i="74"/>
  <c r="J14" i="71"/>
  <c r="J16" i="71"/>
  <c r="J18" i="71"/>
  <c r="J20" i="71"/>
  <c r="R26" i="71"/>
  <c r="R29" i="71"/>
  <c r="L49" i="72"/>
  <c r="N49" i="72" s="1"/>
  <c r="X51" i="72"/>
  <c r="Z51" i="72" s="1"/>
  <c r="X55" i="72"/>
  <c r="Z55" i="72" s="1"/>
  <c r="Z17" i="73"/>
  <c r="Z29" i="73"/>
  <c r="Z52" i="73"/>
  <c r="X71" i="73"/>
  <c r="N19" i="74"/>
  <c r="N110" i="74"/>
  <c r="H108" i="74"/>
  <c r="X60" i="73"/>
  <c r="Z60" i="73" s="1"/>
  <c r="X68" i="73"/>
  <c r="Z68" i="73" s="1"/>
  <c r="X28" i="74"/>
  <c r="Z30" i="75"/>
  <c r="N55" i="75"/>
  <c r="N20" i="76"/>
  <c r="Z32" i="76"/>
  <c r="N81" i="76"/>
  <c r="L81" i="76"/>
  <c r="J38" i="78"/>
  <c r="J39" i="78"/>
  <c r="J33" i="78"/>
  <c r="J60" i="78"/>
  <c r="J54" i="78"/>
  <c r="J50" i="78"/>
  <c r="J42" i="78"/>
  <c r="J34" i="78"/>
  <c r="J30" i="78"/>
  <c r="J52" i="78"/>
  <c r="J36" i="78"/>
  <c r="N12" i="78"/>
  <c r="J47" i="78"/>
  <c r="J44" i="78"/>
  <c r="J40" i="78"/>
  <c r="J37" i="78"/>
  <c r="J41" i="78"/>
  <c r="J29" i="78"/>
  <c r="J32" i="78"/>
  <c r="J20" i="78"/>
  <c r="J17" i="78"/>
  <c r="J53" i="78"/>
  <c r="J48" i="78"/>
  <c r="J35" i="78"/>
  <c r="J24" i="78"/>
  <c r="H24" i="78"/>
  <c r="J49" i="78"/>
  <c r="J45" i="78"/>
  <c r="J18" i="78"/>
  <c r="J55" i="78"/>
  <c r="J26" i="78"/>
  <c r="J56" i="78"/>
  <c r="J27" i="78"/>
  <c r="J21" i="78"/>
  <c r="J46" i="78"/>
  <c r="J28" i="78"/>
  <c r="J19" i="78"/>
  <c r="Z14" i="78"/>
  <c r="Z71" i="83"/>
  <c r="H54" i="100"/>
  <c r="Z85" i="74"/>
  <c r="Z40" i="75"/>
  <c r="F47" i="75"/>
  <c r="N16" i="76"/>
  <c r="Z28" i="76"/>
  <c r="N85" i="76"/>
  <c r="N26" i="78"/>
  <c r="X19" i="74"/>
  <c r="Z19" i="74" s="1"/>
  <c r="Z22" i="74"/>
  <c r="V73" i="75"/>
  <c r="V55" i="75"/>
  <c r="V43" i="75"/>
  <c r="V54" i="75"/>
  <c r="V46" i="75"/>
  <c r="V38" i="75"/>
  <c r="V34" i="75"/>
  <c r="V61" i="75"/>
  <c r="V57" i="75"/>
  <c r="V45" i="75"/>
  <c r="V56" i="75"/>
  <c r="V48" i="75"/>
  <c r="V40" i="75"/>
  <c r="V63" i="75"/>
  <c r="V47" i="75"/>
  <c r="V39" i="75"/>
  <c r="V35" i="75"/>
  <c r="V31" i="75"/>
  <c r="V62" i="75"/>
  <c r="V58" i="75"/>
  <c r="V50" i="75"/>
  <c r="V30" i="75"/>
  <c r="V26" i="75"/>
  <c r="V65" i="75"/>
  <c r="V49" i="75"/>
  <c r="V41" i="75"/>
  <c r="T28" i="75"/>
  <c r="V64" i="75"/>
  <c r="V36" i="75"/>
  <c r="V32" i="75"/>
  <c r="V69" i="75"/>
  <c r="V59" i="75"/>
  <c r="V51" i="75"/>
  <c r="V60" i="75"/>
  <c r="V52" i="75"/>
  <c r="V44" i="75"/>
  <c r="N15" i="75"/>
  <c r="L19" i="75"/>
  <c r="N19" i="75" s="1"/>
  <c r="V33" i="75"/>
  <c r="Z69" i="75"/>
  <c r="X69" i="75"/>
  <c r="Z20" i="76"/>
  <c r="L33" i="76"/>
  <c r="N64" i="76"/>
  <c r="Z89" i="76"/>
  <c r="L95" i="76"/>
  <c r="N95" i="76" s="1"/>
  <c r="N46" i="78"/>
  <c r="L46" i="78"/>
  <c r="L46" i="79"/>
  <c r="V68" i="76"/>
  <c r="V64" i="76"/>
  <c r="T51" i="76"/>
  <c r="V87" i="76"/>
  <c r="V79" i="76"/>
  <c r="V63" i="76"/>
  <c r="V59" i="76"/>
  <c r="V55" i="76"/>
  <c r="V78" i="76"/>
  <c r="V70" i="76"/>
  <c r="V46" i="76"/>
  <c r="V42" i="76"/>
  <c r="V38" i="76"/>
  <c r="V95" i="76"/>
  <c r="V89" i="76"/>
  <c r="V81" i="76"/>
  <c r="V69" i="76"/>
  <c r="V65" i="76"/>
  <c r="V94" i="76"/>
  <c r="V88" i="76"/>
  <c r="V80" i="76"/>
  <c r="V72" i="76"/>
  <c r="V60" i="76"/>
  <c r="V56" i="76"/>
  <c r="V93" i="76"/>
  <c r="V83" i="76"/>
  <c r="V71" i="76"/>
  <c r="V47" i="76"/>
  <c r="V43" i="76"/>
  <c r="V39" i="76"/>
  <c r="V92" i="76"/>
  <c r="V90" i="76"/>
  <c r="V82" i="76"/>
  <c r="V74" i="76"/>
  <c r="V66" i="76"/>
  <c r="V99" i="76"/>
  <c r="V85" i="76"/>
  <c r="V73" i="76"/>
  <c r="V61" i="76"/>
  <c r="V57" i="76"/>
  <c r="V84" i="76"/>
  <c r="V76" i="76"/>
  <c r="V48" i="76"/>
  <c r="V44" i="76"/>
  <c r="V40" i="76"/>
  <c r="V77" i="76"/>
  <c r="V53" i="76"/>
  <c r="V51" i="76"/>
  <c r="V49" i="76"/>
  <c r="V45" i="76"/>
  <c r="V41" i="76"/>
  <c r="N33" i="76"/>
  <c r="N38" i="76"/>
  <c r="L38" i="76"/>
  <c r="V75" i="76"/>
  <c r="X41" i="78"/>
  <c r="Z41" i="78" s="1"/>
  <c r="Z40" i="74"/>
  <c r="Z15" i="75"/>
  <c r="V53" i="75"/>
  <c r="D12" i="76"/>
  <c r="L13" i="76"/>
  <c r="L21" i="76"/>
  <c r="N25" i="76"/>
  <c r="N29" i="76"/>
  <c r="Z83" i="76"/>
  <c r="Z85" i="76"/>
  <c r="Z24" i="74"/>
  <c r="X35" i="74"/>
  <c r="N42" i="74"/>
  <c r="H12" i="76"/>
  <c r="N13" i="76"/>
  <c r="L17" i="76"/>
  <c r="N21" i="76"/>
  <c r="V54" i="76"/>
  <c r="L16" i="79"/>
  <c r="X70" i="74"/>
  <c r="Z70" i="74" s="1"/>
  <c r="F64" i="75"/>
  <c r="F63" i="75"/>
  <c r="F36" i="75"/>
  <c r="F32" i="75"/>
  <c r="F31" i="75"/>
  <c r="F59" i="75"/>
  <c r="F51" i="75"/>
  <c r="F50" i="75"/>
  <c r="F30" i="75"/>
  <c r="F26" i="75"/>
  <c r="F66" i="75"/>
  <c r="F65" i="75"/>
  <c r="F42" i="75"/>
  <c r="D28" i="75"/>
  <c r="F37" i="75"/>
  <c r="F33" i="75"/>
  <c r="F69" i="75"/>
  <c r="F60" i="75"/>
  <c r="F52" i="75"/>
  <c r="F73" i="75"/>
  <c r="F68" i="75"/>
  <c r="F43" i="75"/>
  <c r="F54" i="75"/>
  <c r="F53" i="75"/>
  <c r="F38" i="75"/>
  <c r="F34" i="75"/>
  <c r="F61" i="75"/>
  <c r="F45" i="75"/>
  <c r="F44" i="75"/>
  <c r="F56" i="75"/>
  <c r="F55" i="75"/>
  <c r="L12" i="75"/>
  <c r="F49" i="75"/>
  <c r="F48" i="75"/>
  <c r="F41" i="75"/>
  <c r="F40" i="75"/>
  <c r="Z68" i="75"/>
  <c r="P12" i="76"/>
  <c r="V62" i="76"/>
  <c r="V60" i="78"/>
  <c r="V50" i="78"/>
  <c r="V42" i="78"/>
  <c r="V34" i="78"/>
  <c r="V30" i="78"/>
  <c r="V46" i="78"/>
  <c r="V26" i="78"/>
  <c r="V24" i="78"/>
  <c r="V22" i="78"/>
  <c r="V18" i="78"/>
  <c r="V32" i="78"/>
  <c r="V28" i="78"/>
  <c r="V49" i="78"/>
  <c r="V48" i="78"/>
  <c r="V55" i="78"/>
  <c r="V54" i="78"/>
  <c r="V27" i="78"/>
  <c r="V45" i="78"/>
  <c r="V38" i="78"/>
  <c r="V56" i="78"/>
  <c r="V21" i="78"/>
  <c r="V39" i="78"/>
  <c r="V36" i="78"/>
  <c r="V33" i="78"/>
  <c r="V43" i="78"/>
  <c r="V31" i="78"/>
  <c r="X12" i="78"/>
  <c r="Z12" i="78" s="1"/>
  <c r="V19" i="78"/>
  <c r="V47" i="78"/>
  <c r="V44" i="78"/>
  <c r="V41" i="78"/>
  <c r="V40" i="78"/>
  <c r="V53" i="78"/>
  <c r="V35" i="78"/>
  <c r="T24" i="78"/>
  <c r="V20" i="78"/>
  <c r="J22" i="78"/>
  <c r="N16" i="79"/>
  <c r="J16" i="79"/>
  <c r="T64" i="79"/>
  <c r="X21" i="74"/>
  <c r="Z21" i="74" s="1"/>
  <c r="L23" i="74"/>
  <c r="N23" i="74" s="1"/>
  <c r="X32" i="74"/>
  <c r="Z32" i="74" s="1"/>
  <c r="N34" i="74"/>
  <c r="N16" i="75"/>
  <c r="V68" i="75"/>
  <c r="V67" i="76"/>
  <c r="J31" i="78"/>
  <c r="Z44" i="78"/>
  <c r="N38" i="79"/>
  <c r="L49" i="79"/>
  <c r="N49" i="79" s="1"/>
  <c r="X49" i="83"/>
  <c r="Z49" i="83" s="1"/>
  <c r="N13" i="84"/>
  <c r="H12" i="84"/>
  <c r="L23" i="84"/>
  <c r="N23" i="84" s="1"/>
  <c r="X18" i="74"/>
  <c r="L39" i="74"/>
  <c r="Z42" i="74"/>
  <c r="X47" i="74"/>
  <c r="N98" i="74"/>
  <c r="P12" i="75"/>
  <c r="N20" i="75"/>
  <c r="N24" i="75"/>
  <c r="V37" i="75"/>
  <c r="F46" i="75"/>
  <c r="L48" i="75"/>
  <c r="N48" i="75" s="1"/>
  <c r="V86" i="76"/>
  <c r="J38" i="79"/>
  <c r="Z42" i="79"/>
  <c r="L13" i="84"/>
  <c r="V15" i="85"/>
  <c r="V21" i="85"/>
  <c r="V20" i="85"/>
  <c r="V18" i="85"/>
  <c r="V16" i="85"/>
  <c r="T18" i="85"/>
  <c r="V24" i="85"/>
  <c r="V22" i="85"/>
  <c r="V28" i="85"/>
  <c r="X12" i="85"/>
  <c r="Z12" i="85" s="1"/>
  <c r="X23" i="74"/>
  <c r="Z23" i="74" s="1"/>
  <c r="Z44" i="74"/>
  <c r="Z47" i="74"/>
  <c r="Z50" i="74"/>
  <c r="F35" i="75"/>
  <c r="N46" i="75"/>
  <c r="N70" i="76"/>
  <c r="L70" i="76"/>
  <c r="L12" i="82"/>
  <c r="F18" i="82"/>
  <c r="F17" i="82"/>
  <c r="F19" i="82"/>
  <c r="F25" i="82"/>
  <c r="F23" i="82"/>
  <c r="F21" i="82"/>
  <c r="F29" i="82"/>
  <c r="D21" i="82"/>
  <c r="Z20" i="74"/>
  <c r="Z34" i="74"/>
  <c r="X39" i="74"/>
  <c r="N46" i="74"/>
  <c r="Z98" i="74"/>
  <c r="X98" i="74"/>
  <c r="N40" i="75"/>
  <c r="L40" i="75"/>
  <c r="F57" i="75"/>
  <c r="N36" i="76"/>
  <c r="Z74" i="76"/>
  <c r="V29" i="78"/>
  <c r="V53" i="79"/>
  <c r="V45" i="79"/>
  <c r="V62" i="79"/>
  <c r="V60" i="79"/>
  <c r="V36" i="79"/>
  <c r="V32" i="79"/>
  <c r="V47" i="79"/>
  <c r="V31" i="79"/>
  <c r="V27" i="79"/>
  <c r="V23" i="79"/>
  <c r="V66" i="79"/>
  <c r="V48" i="79"/>
  <c r="V40" i="79"/>
  <c r="V28" i="79"/>
  <c r="V24" i="79"/>
  <c r="V50" i="79"/>
  <c r="V42" i="79"/>
  <c r="V34" i="79"/>
  <c r="V57" i="79"/>
  <c r="V41" i="79"/>
  <c r="V29" i="79"/>
  <c r="V25" i="79"/>
  <c r="V55" i="79"/>
  <c r="V39" i="79"/>
  <c r="V22" i="79"/>
  <c r="V58" i="79"/>
  <c r="V51" i="79"/>
  <c r="V49" i="79"/>
  <c r="V43" i="79"/>
  <c r="V37" i="79"/>
  <c r="V35" i="79"/>
  <c r="V59" i="79"/>
  <c r="V33" i="79"/>
  <c r="V30" i="79"/>
  <c r="V16" i="79"/>
  <c r="V56" i="79"/>
  <c r="V46" i="79"/>
  <c r="V18" i="79"/>
  <c r="V52" i="79"/>
  <c r="V44" i="79"/>
  <c r="V38" i="79"/>
  <c r="V54" i="79"/>
  <c r="V17" i="79"/>
  <c r="X13" i="78"/>
  <c r="Z13" i="78" s="1"/>
  <c r="L15" i="78"/>
  <c r="N15" i="78" s="1"/>
  <c r="R17" i="78"/>
  <c r="R32" i="78"/>
  <c r="P52" i="78"/>
  <c r="X52" i="78" s="1"/>
  <c r="Z55" i="78"/>
  <c r="R65" i="78"/>
  <c r="L13" i="79"/>
  <c r="N13" i="79" s="1"/>
  <c r="P20" i="79"/>
  <c r="F23" i="79"/>
  <c r="F38" i="79"/>
  <c r="J41" i="79"/>
  <c r="R42" i="79"/>
  <c r="X57" i="79"/>
  <c r="Z57" i="79" s="1"/>
  <c r="P20" i="80"/>
  <c r="L47" i="83"/>
  <c r="N47" i="83" s="1"/>
  <c r="X15" i="78"/>
  <c r="Z15" i="78" s="1"/>
  <c r="R19" i="78"/>
  <c r="N56" i="78"/>
  <c r="L22" i="79"/>
  <c r="F30" i="79"/>
  <c r="X38" i="79"/>
  <c r="R41" i="79"/>
  <c r="R44" i="79"/>
  <c r="J49" i="79"/>
  <c r="R52" i="79"/>
  <c r="J59" i="79"/>
  <c r="D12" i="80"/>
  <c r="L13" i="80"/>
  <c r="N13" i="80" s="1"/>
  <c r="R19" i="82"/>
  <c r="R25" i="82"/>
  <c r="R23" i="82"/>
  <c r="R21" i="82"/>
  <c r="P21" i="82"/>
  <c r="R29" i="82"/>
  <c r="R17" i="82"/>
  <c r="X12" i="82"/>
  <c r="P12" i="83"/>
  <c r="X13" i="83"/>
  <c r="Z40" i="83"/>
  <c r="X21" i="84"/>
  <c r="T92" i="76"/>
  <c r="R54" i="78"/>
  <c r="R60" i="78"/>
  <c r="R53" i="78"/>
  <c r="R50" i="78"/>
  <c r="R42" i="78"/>
  <c r="R35" i="78"/>
  <c r="R34" i="78"/>
  <c r="R44" i="78"/>
  <c r="R43" i="78"/>
  <c r="R31" i="78"/>
  <c r="R46" i="78"/>
  <c r="R45" i="78"/>
  <c r="R37" i="78"/>
  <c r="R26" i="78"/>
  <c r="R24" i="78"/>
  <c r="R62" i="78"/>
  <c r="F22" i="79"/>
  <c r="F33" i="79"/>
  <c r="F35" i="79"/>
  <c r="Z38" i="79"/>
  <c r="F43" i="79"/>
  <c r="Z44" i="79"/>
  <c r="F51" i="79"/>
  <c r="Z52" i="79"/>
  <c r="F62" i="79"/>
  <c r="X66" i="80"/>
  <c r="V25" i="82"/>
  <c r="V23" i="82"/>
  <c r="V19" i="82"/>
  <c r="T21" i="82"/>
  <c r="V29" i="82"/>
  <c r="V17" i="82"/>
  <c r="Z12" i="82"/>
  <c r="T12" i="83"/>
  <c r="Z13" i="83"/>
  <c r="Z21" i="84"/>
  <c r="N14" i="78"/>
  <c r="F50" i="79"/>
  <c r="F49" i="79"/>
  <c r="F41" i="79"/>
  <c r="F40" i="79"/>
  <c r="F29" i="79"/>
  <c r="F25" i="79"/>
  <c r="F56" i="79"/>
  <c r="F53" i="79"/>
  <c r="F52" i="79"/>
  <c r="F45" i="79"/>
  <c r="F44" i="79"/>
  <c r="F17" i="79"/>
  <c r="F16" i="79"/>
  <c r="F47" i="79"/>
  <c r="F46" i="79"/>
  <c r="F31" i="79"/>
  <c r="F27" i="79"/>
  <c r="F54" i="79"/>
  <c r="F18" i="79"/>
  <c r="N22" i="79"/>
  <c r="F37" i="79"/>
  <c r="F48" i="79"/>
  <c r="F58" i="79"/>
  <c r="R58" i="80"/>
  <c r="R34" i="80"/>
  <c r="R53" i="80"/>
  <c r="R46" i="80"/>
  <c r="R45" i="80"/>
  <c r="R29" i="80"/>
  <c r="R25" i="80"/>
  <c r="R70" i="80"/>
  <c r="R75" i="80"/>
  <c r="R72" i="80"/>
  <c r="R59" i="80"/>
  <c r="R48" i="80"/>
  <c r="R47" i="80"/>
  <c r="R36" i="80"/>
  <c r="R35" i="80"/>
  <c r="R55" i="80"/>
  <c r="R54" i="80"/>
  <c r="R49" i="80"/>
  <c r="R38" i="80"/>
  <c r="R37" i="80"/>
  <c r="R17" i="80"/>
  <c r="R61" i="80"/>
  <c r="R60" i="80"/>
  <c r="R56" i="80"/>
  <c r="R40" i="80"/>
  <c r="R39" i="80"/>
  <c r="R32" i="80"/>
  <c r="R31" i="80"/>
  <c r="R27" i="80"/>
  <c r="R63" i="80"/>
  <c r="R62" i="80"/>
  <c r="R51" i="80"/>
  <c r="R50" i="80"/>
  <c r="R23" i="80"/>
  <c r="R18" i="80"/>
  <c r="R68" i="80"/>
  <c r="R66" i="80"/>
  <c r="R44" i="80"/>
  <c r="R43" i="80"/>
  <c r="L17" i="78"/>
  <c r="N17" i="78" s="1"/>
  <c r="R28" i="78"/>
  <c r="R33" i="78"/>
  <c r="R36" i="78"/>
  <c r="R56" i="78"/>
  <c r="L12" i="79"/>
  <c r="Z16" i="79"/>
  <c r="J22" i="79"/>
  <c r="Z23" i="79"/>
  <c r="R25" i="79"/>
  <c r="J27" i="79"/>
  <c r="R30" i="79"/>
  <c r="J48" i="79"/>
  <c r="J58" i="79"/>
  <c r="Z59" i="79"/>
  <c r="T12" i="80"/>
  <c r="Z13" i="80"/>
  <c r="R30" i="80"/>
  <c r="N18" i="84"/>
  <c r="L30" i="84"/>
  <c r="X13" i="76"/>
  <c r="L53" i="76"/>
  <c r="N53" i="76" s="1"/>
  <c r="X83" i="76"/>
  <c r="X93" i="76"/>
  <c r="Z93" i="76" s="1"/>
  <c r="R21" i="78"/>
  <c r="N54" i="78"/>
  <c r="Z56" i="78"/>
  <c r="R59" i="79"/>
  <c r="R58" i="79"/>
  <c r="R53" i="79"/>
  <c r="R46" i="79"/>
  <c r="R45" i="79"/>
  <c r="R17" i="79"/>
  <c r="R60" i="79"/>
  <c r="R36" i="79"/>
  <c r="X12" i="79"/>
  <c r="Z12" i="79" s="1"/>
  <c r="R38" i="79"/>
  <c r="R37" i="79"/>
  <c r="R33" i="79"/>
  <c r="R22" i="79"/>
  <c r="R20" i="79"/>
  <c r="R55" i="79"/>
  <c r="R40" i="79"/>
  <c r="R39" i="79"/>
  <c r="R50" i="79"/>
  <c r="R34" i="79"/>
  <c r="F32" i="79"/>
  <c r="R35" i="79"/>
  <c r="F39" i="79"/>
  <c r="R43" i="79"/>
  <c r="J45" i="79"/>
  <c r="R51" i="79"/>
  <c r="J53" i="79"/>
  <c r="F55" i="79"/>
  <c r="R66" i="79"/>
  <c r="N16" i="80"/>
  <c r="R22" i="80"/>
  <c r="R26" i="80"/>
  <c r="R52" i="80"/>
  <c r="J17" i="82"/>
  <c r="J18" i="82"/>
  <c r="J19" i="82"/>
  <c r="J25" i="82"/>
  <c r="J23" i="82"/>
  <c r="H21" i="82"/>
  <c r="J29" i="82"/>
  <c r="N12" i="82"/>
  <c r="N14" i="83"/>
  <c r="N30" i="84"/>
  <c r="N91" i="84"/>
  <c r="L91" i="84"/>
  <c r="R18" i="78"/>
  <c r="R27" i="78"/>
  <c r="R38" i="78"/>
  <c r="X46" i="78"/>
  <c r="Z46" i="78" s="1"/>
  <c r="D52" i="78"/>
  <c r="L52" i="78" s="1"/>
  <c r="N52" i="78" s="1"/>
  <c r="R55" i="78"/>
  <c r="D20" i="79"/>
  <c r="F20" i="79" s="1"/>
  <c r="Z22" i="79"/>
  <c r="F24" i="79"/>
  <c r="J29" i="79"/>
  <c r="N32" i="79"/>
  <c r="J39" i="79"/>
  <c r="F42" i="79"/>
  <c r="J55" i="79"/>
  <c r="R62" i="79"/>
  <c r="Z22" i="80"/>
  <c r="R28" i="80"/>
  <c r="N36" i="80"/>
  <c r="N38" i="80"/>
  <c r="N44" i="80"/>
  <c r="R57" i="80"/>
  <c r="N15" i="82"/>
  <c r="J71" i="83"/>
  <c r="J65" i="83"/>
  <c r="J57" i="83"/>
  <c r="J47" i="83"/>
  <c r="J37" i="83"/>
  <c r="J33" i="83"/>
  <c r="J59" i="83"/>
  <c r="J49" i="83"/>
  <c r="J39" i="83"/>
  <c r="J78" i="83"/>
  <c r="J60" i="83"/>
  <c r="J52" i="83"/>
  <c r="J61" i="83"/>
  <c r="J55" i="83"/>
  <c r="J45" i="83"/>
  <c r="J48" i="83"/>
  <c r="J23" i="83"/>
  <c r="J22" i="83"/>
  <c r="J20" i="83"/>
  <c r="J68" i="83"/>
  <c r="H20" i="83"/>
  <c r="J56" i="83"/>
  <c r="J41" i="83"/>
  <c r="J34" i="83"/>
  <c r="J27" i="83"/>
  <c r="J62" i="83"/>
  <c r="J53" i="83"/>
  <c r="J30" i="83"/>
  <c r="J24" i="83"/>
  <c r="J69" i="83"/>
  <c r="J66" i="83"/>
  <c r="J72" i="83"/>
  <c r="J50" i="83"/>
  <c r="J46" i="83"/>
  <c r="J42" i="83"/>
  <c r="J38" i="83"/>
  <c r="J43" i="83"/>
  <c r="J35" i="83"/>
  <c r="J31" i="83"/>
  <c r="J25" i="83"/>
  <c r="J16" i="83"/>
  <c r="J63" i="83"/>
  <c r="J51" i="83"/>
  <c r="J28" i="83"/>
  <c r="J17" i="83"/>
  <c r="J74" i="83"/>
  <c r="J70" i="83"/>
  <c r="J67" i="83"/>
  <c r="J54" i="83"/>
  <c r="J32" i="83"/>
  <c r="N12" i="83"/>
  <c r="J40" i="83"/>
  <c r="J36" i="83"/>
  <c r="J26" i="83"/>
  <c r="Z34" i="84"/>
  <c r="R30" i="78"/>
  <c r="R49" i="78"/>
  <c r="T52" i="78"/>
  <c r="J24" i="79"/>
  <c r="R27" i="79"/>
  <c r="R48" i="79"/>
  <c r="R24" i="80"/>
  <c r="N55" i="80"/>
  <c r="V18" i="82"/>
  <c r="Z16" i="84"/>
  <c r="X15" i="75"/>
  <c r="X19" i="75"/>
  <c r="Z19" i="75" s="1"/>
  <c r="X23" i="75"/>
  <c r="Z23" i="75" s="1"/>
  <c r="X16" i="76"/>
  <c r="Z16" i="76" s="1"/>
  <c r="X20" i="76"/>
  <c r="X24" i="76"/>
  <c r="Z24" i="76" s="1"/>
  <c r="X28" i="76"/>
  <c r="X32" i="76"/>
  <c r="X36" i="76"/>
  <c r="Z36" i="76" s="1"/>
  <c r="X70" i="76"/>
  <c r="Z70" i="76" s="1"/>
  <c r="L76" i="76"/>
  <c r="N44" i="78"/>
  <c r="R48" i="78"/>
  <c r="J17" i="79"/>
  <c r="H20" i="79"/>
  <c r="F26" i="79"/>
  <c r="F34" i="79"/>
  <c r="F57" i="79"/>
  <c r="F60" i="79"/>
  <c r="R16" i="80"/>
  <c r="X32" i="80"/>
  <c r="Z32" i="80" s="1"/>
  <c r="X38" i="80"/>
  <c r="Z44" i="80"/>
  <c r="J44" i="83"/>
  <c r="J64" i="83"/>
  <c r="T12" i="84"/>
  <c r="X17" i="78"/>
  <c r="Z17" i="78" s="1"/>
  <c r="R20" i="78"/>
  <c r="P24" i="78"/>
  <c r="X54" i="78"/>
  <c r="Z54" i="78" s="1"/>
  <c r="J56" i="79"/>
  <c r="J42" i="79"/>
  <c r="J57" i="79"/>
  <c r="J51" i="79"/>
  <c r="J43" i="79"/>
  <c r="J35" i="79"/>
  <c r="J60" i="79"/>
  <c r="J46" i="79"/>
  <c r="J36" i="79"/>
  <c r="N12" i="79"/>
  <c r="J62" i="79"/>
  <c r="J54" i="79"/>
  <c r="J32" i="79"/>
  <c r="J18" i="79"/>
  <c r="J37" i="79"/>
  <c r="J33" i="79"/>
  <c r="J23" i="79"/>
  <c r="Z14" i="79"/>
  <c r="J20" i="79"/>
  <c r="L23" i="79"/>
  <c r="N23" i="79" s="1"/>
  <c r="R24" i="79"/>
  <c r="J26" i="79"/>
  <c r="R29" i="79"/>
  <c r="J31" i="79"/>
  <c r="R32" i="79"/>
  <c r="J34" i="79"/>
  <c r="F36" i="79"/>
  <c r="L38" i="79"/>
  <c r="L44" i="79"/>
  <c r="N44" i="79" s="1"/>
  <c r="J50" i="79"/>
  <c r="L52" i="79"/>
  <c r="N52" i="79" s="1"/>
  <c r="L57" i="79"/>
  <c r="N57" i="79" s="1"/>
  <c r="Z38" i="80"/>
  <c r="Z40" i="80"/>
  <c r="R42" i="80"/>
  <c r="R64" i="80"/>
  <c r="J18" i="83"/>
  <c r="N71" i="84"/>
  <c r="X96" i="84"/>
  <c r="Z96" i="84" s="1"/>
  <c r="J18" i="80"/>
  <c r="J32" i="80"/>
  <c r="J40" i="80"/>
  <c r="J50" i="80"/>
  <c r="J62" i="80"/>
  <c r="F70" i="83"/>
  <c r="F69" i="83"/>
  <c r="F46" i="83"/>
  <c r="F72" i="83"/>
  <c r="F71" i="83"/>
  <c r="F48" i="83"/>
  <c r="F47" i="83"/>
  <c r="F28" i="83"/>
  <c r="F24" i="83"/>
  <c r="F23" i="83"/>
  <c r="F76" i="83"/>
  <c r="F74" i="83"/>
  <c r="F54" i="83"/>
  <c r="F53" i="83"/>
  <c r="F30" i="83"/>
  <c r="F26" i="83"/>
  <c r="F18" i="83"/>
  <c r="F29" i="83"/>
  <c r="F44" i="83"/>
  <c r="F58" i="83"/>
  <c r="F64" i="83"/>
  <c r="F103" i="84"/>
  <c r="F94" i="84"/>
  <c r="F93" i="84"/>
  <c r="F86" i="84"/>
  <c r="F85" i="84"/>
  <c r="F74" i="84"/>
  <c r="F73" i="84"/>
  <c r="F66" i="84"/>
  <c r="F107" i="84"/>
  <c r="F88" i="84"/>
  <c r="F87" i="84"/>
  <c r="F76" i="84"/>
  <c r="F75" i="84"/>
  <c r="F48" i="84"/>
  <c r="F44" i="84"/>
  <c r="F40" i="84"/>
  <c r="F95" i="84"/>
  <c r="F67" i="84"/>
  <c r="F78" i="84"/>
  <c r="F77" i="84"/>
  <c r="F62" i="84"/>
  <c r="F58" i="84"/>
  <c r="F97" i="84"/>
  <c r="F96" i="84"/>
  <c r="F89" i="84"/>
  <c r="F49" i="84"/>
  <c r="F45" i="84"/>
  <c r="F41" i="84"/>
  <c r="F99" i="84"/>
  <c r="F98" i="84"/>
  <c r="F90" i="84"/>
  <c r="F82" i="84"/>
  <c r="F81" i="84"/>
  <c r="F70" i="84"/>
  <c r="F69" i="84"/>
  <c r="F53" i="84"/>
  <c r="F51" i="84"/>
  <c r="F46" i="84"/>
  <c r="F42" i="84"/>
  <c r="F38" i="84"/>
  <c r="F37" i="84"/>
  <c r="F47" i="84"/>
  <c r="F43" i="84"/>
  <c r="F39" i="84"/>
  <c r="X26" i="84"/>
  <c r="X33" i="84"/>
  <c r="Z33" i="84" s="1"/>
  <c r="P30" i="85"/>
  <c r="N38" i="87"/>
  <c r="L38" i="87"/>
  <c r="J17" i="80"/>
  <c r="J37" i="80"/>
  <c r="J49" i="80"/>
  <c r="J55" i="80"/>
  <c r="F16" i="83"/>
  <c r="F17" i="83"/>
  <c r="F39" i="83"/>
  <c r="N51" i="83"/>
  <c r="F63" i="83"/>
  <c r="N32" i="84"/>
  <c r="F55" i="84"/>
  <c r="F64" i="84"/>
  <c r="J69" i="87"/>
  <c r="J65" i="87"/>
  <c r="J51" i="87"/>
  <c r="J41" i="87"/>
  <c r="J70" i="87"/>
  <c r="J71" i="87"/>
  <c r="J73" i="87"/>
  <c r="J61" i="87"/>
  <c r="J53" i="87"/>
  <c r="J75" i="87"/>
  <c r="J81" i="87"/>
  <c r="J72" i="87"/>
  <c r="J47" i="87"/>
  <c r="J28" i="87"/>
  <c r="J24" i="87"/>
  <c r="J22" i="87"/>
  <c r="J64" i="87"/>
  <c r="H20" i="87"/>
  <c r="J48" i="87"/>
  <c r="J42" i="87"/>
  <c r="J34" i="87"/>
  <c r="J29" i="87"/>
  <c r="J25" i="87"/>
  <c r="J77" i="87"/>
  <c r="J67" i="87"/>
  <c r="J62" i="87"/>
  <c r="J58" i="87"/>
  <c r="J54" i="87"/>
  <c r="J49" i="87"/>
  <c r="J43" i="87"/>
  <c r="J35" i="87"/>
  <c r="J55" i="87"/>
  <c r="J50" i="87"/>
  <c r="J36" i="87"/>
  <c r="J30" i="87"/>
  <c r="J26" i="87"/>
  <c r="J16" i="87"/>
  <c r="J59" i="87"/>
  <c r="J17" i="87"/>
  <c r="J74" i="87"/>
  <c r="J63" i="87"/>
  <c r="J44" i="87"/>
  <c r="J37" i="87"/>
  <c r="J66" i="87"/>
  <c r="J57" i="87"/>
  <c r="J46" i="87"/>
  <c r="J40" i="87"/>
  <c r="J33" i="87"/>
  <c r="J23" i="87"/>
  <c r="J18" i="87"/>
  <c r="Z40" i="87"/>
  <c r="Z42" i="87"/>
  <c r="X42" i="87"/>
  <c r="J16" i="80"/>
  <c r="J26" i="80"/>
  <c r="J30" i="80"/>
  <c r="J36" i="80"/>
  <c r="J48" i="80"/>
  <c r="J54" i="80"/>
  <c r="F25" i="83"/>
  <c r="F31" i="83"/>
  <c r="F35" i="83"/>
  <c r="F38" i="83"/>
  <c r="F42" i="83"/>
  <c r="F43" i="83"/>
  <c r="F57" i="83"/>
  <c r="F60" i="83"/>
  <c r="L15" i="84"/>
  <c r="N15" i="84" s="1"/>
  <c r="N20" i="84"/>
  <c r="N25" i="84"/>
  <c r="L32" i="84"/>
  <c r="L34" i="84"/>
  <c r="L37" i="84"/>
  <c r="N37" i="84" s="1"/>
  <c r="F72" i="84"/>
  <c r="X75" i="84"/>
  <c r="Z75" i="84" s="1"/>
  <c r="F84" i="84"/>
  <c r="X87" i="84"/>
  <c r="Z87" i="84" s="1"/>
  <c r="F20" i="85"/>
  <c r="D18" i="85"/>
  <c r="L12" i="85"/>
  <c r="N12" i="85" s="1"/>
  <c r="F24" i="85"/>
  <c r="F28" i="85"/>
  <c r="F22" i="85"/>
  <c r="F21" i="85"/>
  <c r="F16" i="85"/>
  <c r="L12" i="87"/>
  <c r="N12" i="87" s="1"/>
  <c r="N56" i="87"/>
  <c r="L56" i="87"/>
  <c r="J47" i="80"/>
  <c r="J59" i="80"/>
  <c r="F50" i="83"/>
  <c r="N27" i="84"/>
  <c r="N34" i="84"/>
  <c r="D51" i="84"/>
  <c r="F57" i="84"/>
  <c r="F59" i="84"/>
  <c r="D20" i="87"/>
  <c r="L16" i="87"/>
  <c r="N45" i="87"/>
  <c r="L45" i="87"/>
  <c r="J46" i="80"/>
  <c r="J70" i="80"/>
  <c r="L53" i="83"/>
  <c r="N53" i="83" s="1"/>
  <c r="X55" i="83"/>
  <c r="Z55" i="83" s="1"/>
  <c r="F62" i="83"/>
  <c r="F66" i="83"/>
  <c r="N69" i="83"/>
  <c r="F78" i="83"/>
  <c r="N17" i="84"/>
  <c r="X20" i="84"/>
  <c r="Z20" i="84" s="1"/>
  <c r="X25" i="84"/>
  <c r="Z25" i="84" s="1"/>
  <c r="L27" i="84"/>
  <c r="X34" i="84"/>
  <c r="F79" i="84"/>
  <c r="N16" i="87"/>
  <c r="J32" i="87"/>
  <c r="J45" i="87"/>
  <c r="J52" i="87"/>
  <c r="P12" i="88"/>
  <c r="J53" i="80"/>
  <c r="L42" i="83"/>
  <c r="N42" i="83" s="1"/>
  <c r="L12" i="84"/>
  <c r="F54" i="84"/>
  <c r="F61" i="84"/>
  <c r="H33" i="85"/>
  <c r="V51" i="88"/>
  <c r="V39" i="88"/>
  <c r="V58" i="88"/>
  <c r="V42" i="88"/>
  <c r="V34" i="88"/>
  <c r="V53" i="88"/>
  <c r="V41" i="88"/>
  <c r="V29" i="88"/>
  <c r="V25" i="88"/>
  <c r="V70" i="88"/>
  <c r="V52" i="88"/>
  <c r="V44" i="88"/>
  <c r="V16" i="88"/>
  <c r="V59" i="88"/>
  <c r="V55" i="88"/>
  <c r="V43" i="88"/>
  <c r="V54" i="88"/>
  <c r="V46" i="88"/>
  <c r="V30" i="88"/>
  <c r="V26" i="88"/>
  <c r="V61" i="88"/>
  <c r="V60" i="88"/>
  <c r="V56" i="88"/>
  <c r="V48" i="88"/>
  <c r="V36" i="88"/>
  <c r="V32" i="88"/>
  <c r="V63" i="88"/>
  <c r="V47" i="88"/>
  <c r="V31" i="88"/>
  <c r="V27" i="88"/>
  <c r="V23" i="88"/>
  <c r="V66" i="88"/>
  <c r="V64" i="88"/>
  <c r="V40" i="88"/>
  <c r="V28" i="88"/>
  <c r="V24" i="88"/>
  <c r="V33" i="88"/>
  <c r="V20" i="88"/>
  <c r="T20" i="88"/>
  <c r="V49" i="88"/>
  <c r="V35" i="88"/>
  <c r="V45" i="88"/>
  <c r="V37" i="88"/>
  <c r="V18" i="88"/>
  <c r="V62" i="88"/>
  <c r="V50" i="88"/>
  <c r="V22" i="88"/>
  <c r="V57" i="88"/>
  <c r="V17" i="88"/>
  <c r="J34" i="80"/>
  <c r="J44" i="80"/>
  <c r="J58" i="80"/>
  <c r="J66" i="80"/>
  <c r="L13" i="82"/>
  <c r="L14" i="83"/>
  <c r="D20" i="83"/>
  <c r="F27" i="83"/>
  <c r="F34" i="83"/>
  <c r="F37" i="83"/>
  <c r="F41" i="83"/>
  <c r="F49" i="83"/>
  <c r="F56" i="83"/>
  <c r="X64" i="83"/>
  <c r="Z64" i="83" s="1"/>
  <c r="P12" i="84"/>
  <c r="X22" i="84"/>
  <c r="Z22" i="84" s="1"/>
  <c r="L29" i="84"/>
  <c r="L54" i="84"/>
  <c r="N54" i="84" s="1"/>
  <c r="F63" i="84"/>
  <c r="N69" i="84"/>
  <c r="F71" i="84"/>
  <c r="N81" i="84"/>
  <c r="F83" i="84"/>
  <c r="F100" i="84"/>
  <c r="L21" i="85"/>
  <c r="N21" i="85" s="1"/>
  <c r="P12" i="87"/>
  <c r="X13" i="87"/>
  <c r="Z13" i="87" s="1"/>
  <c r="Z23" i="87"/>
  <c r="Z45" i="87"/>
  <c r="J68" i="87"/>
  <c r="Z44" i="88"/>
  <c r="H20" i="80"/>
  <c r="J43" i="80"/>
  <c r="N13" i="82"/>
  <c r="F20" i="83"/>
  <c r="F22" i="83"/>
  <c r="L40" i="83"/>
  <c r="N40" i="83" s="1"/>
  <c r="N49" i="83"/>
  <c r="X51" i="83"/>
  <c r="Z51" i="83" s="1"/>
  <c r="F68" i="83"/>
  <c r="F83" i="83"/>
  <c r="N14" i="84"/>
  <c r="L19" i="84"/>
  <c r="L31" i="84"/>
  <c r="N31" i="84" s="1"/>
  <c r="F56" i="84"/>
  <c r="X77" i="84"/>
  <c r="Z77" i="84" s="1"/>
  <c r="F92" i="84"/>
  <c r="N100" i="84"/>
  <c r="F15" i="85"/>
  <c r="T12" i="87"/>
  <c r="J20" i="80"/>
  <c r="J22" i="80"/>
  <c r="J24" i="80"/>
  <c r="J28" i="80"/>
  <c r="J42" i="80"/>
  <c r="J52" i="80"/>
  <c r="X55" i="80"/>
  <c r="Z55" i="80" s="1"/>
  <c r="J64" i="80"/>
  <c r="X32" i="83"/>
  <c r="Z32" i="83" s="1"/>
  <c r="F40" i="83"/>
  <c r="F59" i="83"/>
  <c r="X62" i="83"/>
  <c r="Z62" i="83" s="1"/>
  <c r="X14" i="84"/>
  <c r="Z14" i="84" s="1"/>
  <c r="L24" i="84"/>
  <c r="L26" i="84"/>
  <c r="N33" i="84"/>
  <c r="F65" i="84"/>
  <c r="L71" i="84"/>
  <c r="L83" i="84"/>
  <c r="N15" i="85"/>
  <c r="J23" i="80"/>
  <c r="J33" i="80"/>
  <c r="J41" i="80"/>
  <c r="J51" i="80"/>
  <c r="J57" i="80"/>
  <c r="F36" i="83"/>
  <c r="F45" i="83"/>
  <c r="F52" i="83"/>
  <c r="F55" i="83"/>
  <c r="F61" i="83"/>
  <c r="F65" i="83"/>
  <c r="Z69" i="83"/>
  <c r="N16" i="84"/>
  <c r="N21" i="84"/>
  <c r="X24" i="84"/>
  <c r="N35" i="84"/>
  <c r="L53" i="84"/>
  <c r="N53" i="84" s="1"/>
  <c r="F60" i="84"/>
  <c r="Z63" i="84"/>
  <c r="J26" i="85"/>
  <c r="X18" i="85"/>
  <c r="J31" i="87"/>
  <c r="R28" i="85"/>
  <c r="F58" i="87"/>
  <c r="F50" i="87"/>
  <c r="F49" i="87"/>
  <c r="F69" i="87"/>
  <c r="F65" i="87"/>
  <c r="F86" i="87"/>
  <c r="F83" i="87"/>
  <c r="F66" i="87"/>
  <c r="F79" i="87"/>
  <c r="F77" i="87"/>
  <c r="F68" i="87"/>
  <c r="F64" i="87"/>
  <c r="F18" i="87"/>
  <c r="F38" i="87"/>
  <c r="F39" i="87"/>
  <c r="F45" i="87"/>
  <c r="F52" i="87"/>
  <c r="F56" i="87"/>
  <c r="F60" i="87"/>
  <c r="L12" i="88"/>
  <c r="N14" i="88"/>
  <c r="L22" i="88"/>
  <c r="N22" i="88" s="1"/>
  <c r="Z38" i="88"/>
  <c r="X38" i="88"/>
  <c r="N42" i="88"/>
  <c r="J42" i="91"/>
  <c r="R24" i="85"/>
  <c r="R26" i="85"/>
  <c r="F16" i="87"/>
  <c r="F17" i="87"/>
  <c r="F36" i="87"/>
  <c r="F59" i="87"/>
  <c r="Z14" i="88"/>
  <c r="Z22" i="88"/>
  <c r="X46" i="88"/>
  <c r="Z46" i="88" s="1"/>
  <c r="X50" i="88"/>
  <c r="Z50" i="88" s="1"/>
  <c r="L53" i="88"/>
  <c r="F26" i="87"/>
  <c r="F30" i="87"/>
  <c r="Z47" i="87"/>
  <c r="F55" i="87"/>
  <c r="F70" i="87"/>
  <c r="L16" i="88"/>
  <c r="N16" i="88" s="1"/>
  <c r="Z48" i="88"/>
  <c r="R18" i="85"/>
  <c r="R20" i="85"/>
  <c r="F60" i="88"/>
  <c r="F56" i="88"/>
  <c r="F55" i="88"/>
  <c r="F36" i="88"/>
  <c r="F47" i="88"/>
  <c r="F46" i="88"/>
  <c r="F31" i="88"/>
  <c r="F27" i="88"/>
  <c r="F62" i="88"/>
  <c r="F61" i="88"/>
  <c r="F18" i="88"/>
  <c r="F57" i="88"/>
  <c r="F49" i="88"/>
  <c r="F48" i="88"/>
  <c r="F37" i="88"/>
  <c r="F33" i="88"/>
  <c r="F32" i="88"/>
  <c r="F64" i="88"/>
  <c r="F63" i="88"/>
  <c r="F51" i="88"/>
  <c r="F50" i="88"/>
  <c r="F39" i="88"/>
  <c r="F38" i="88"/>
  <c r="F22" i="88"/>
  <c r="F20" i="88"/>
  <c r="F58" i="88"/>
  <c r="F68" i="88"/>
  <c r="F66" i="88"/>
  <c r="F41" i="88"/>
  <c r="F40" i="88"/>
  <c r="F29" i="88"/>
  <c r="F25" i="88"/>
  <c r="F70" i="88"/>
  <c r="F52" i="88"/>
  <c r="F75" i="88"/>
  <c r="F72" i="88"/>
  <c r="F45" i="88"/>
  <c r="F44" i="88"/>
  <c r="F17" i="88"/>
  <c r="F16" i="88"/>
  <c r="F43" i="88"/>
  <c r="N53" i="88"/>
  <c r="R16" i="85"/>
  <c r="R21" i="85"/>
  <c r="L42" i="87"/>
  <c r="N42" i="87" s="1"/>
  <c r="F43" i="87"/>
  <c r="F67" i="87"/>
  <c r="H12" i="88"/>
  <c r="N13" i="88"/>
  <c r="L13" i="88"/>
  <c r="Z32" i="88"/>
  <c r="F35" i="88"/>
  <c r="F53" i="91"/>
  <c r="F52" i="91"/>
  <c r="F72" i="91"/>
  <c r="F64" i="91"/>
  <c r="F59" i="91"/>
  <c r="F43" i="91"/>
  <c r="F35" i="91"/>
  <c r="F31" i="91"/>
  <c r="F54" i="91"/>
  <c r="F73" i="91"/>
  <c r="F65" i="91"/>
  <c r="F60" i="91"/>
  <c r="F56" i="91"/>
  <c r="F55" i="91"/>
  <c r="F32" i="91"/>
  <c r="F75" i="91"/>
  <c r="F81" i="91"/>
  <c r="F79" i="91"/>
  <c r="F62" i="91"/>
  <c r="F61" i="91"/>
  <c r="F83" i="91"/>
  <c r="F78" i="91"/>
  <c r="F69" i="91"/>
  <c r="F68" i="91"/>
  <c r="F57" i="91"/>
  <c r="F49" i="91"/>
  <c r="F48" i="91"/>
  <c r="F41" i="91"/>
  <c r="F40" i="91"/>
  <c r="F33" i="91"/>
  <c r="F88" i="91"/>
  <c r="F85" i="91"/>
  <c r="F58" i="91"/>
  <c r="F42" i="91"/>
  <c r="F34" i="91"/>
  <c r="F66" i="91"/>
  <c r="F50" i="91"/>
  <c r="F45" i="91"/>
  <c r="F28" i="91"/>
  <c r="F21" i="91"/>
  <c r="F14" i="91"/>
  <c r="F71" i="91"/>
  <c r="F38" i="91"/>
  <c r="F26" i="91"/>
  <c r="F16" i="91"/>
  <c r="F24" i="91"/>
  <c r="D16" i="91"/>
  <c r="F67" i="91"/>
  <c r="F46" i="91"/>
  <c r="F18" i="91"/>
  <c r="F51" i="91"/>
  <c r="F36" i="91"/>
  <c r="F29" i="91"/>
  <c r="F22" i="91"/>
  <c r="F19" i="91"/>
  <c r="F63" i="91"/>
  <c r="F39" i="91"/>
  <c r="F20" i="91"/>
  <c r="F77" i="91"/>
  <c r="F74" i="91"/>
  <c r="F44" i="91"/>
  <c r="F27" i="91"/>
  <c r="L12" i="91"/>
  <c r="F37" i="91"/>
  <c r="F23" i="91"/>
  <c r="T81" i="91"/>
  <c r="Z16" i="91"/>
  <c r="L98" i="84"/>
  <c r="N98" i="84" s="1"/>
  <c r="L13" i="85"/>
  <c r="N13" i="85" s="1"/>
  <c r="J30" i="85"/>
  <c r="J33" i="85"/>
  <c r="F25" i="87"/>
  <c r="F29" i="87"/>
  <c r="F42" i="87"/>
  <c r="F73" i="87"/>
  <c r="F23" i="88"/>
  <c r="J72" i="91"/>
  <c r="J64" i="91"/>
  <c r="J59" i="91"/>
  <c r="J43" i="91"/>
  <c r="J35" i="91"/>
  <c r="J31" i="91"/>
  <c r="J54" i="91"/>
  <c r="J44" i="91"/>
  <c r="J36" i="91"/>
  <c r="J26" i="91"/>
  <c r="J22" i="91"/>
  <c r="J73" i="91"/>
  <c r="J65" i="91"/>
  <c r="J55" i="91"/>
  <c r="J45" i="91"/>
  <c r="J37" i="91"/>
  <c r="J74" i="91"/>
  <c r="J66" i="91"/>
  <c r="J60" i="91"/>
  <c r="J81" i="91"/>
  <c r="J79" i="91"/>
  <c r="J75" i="91"/>
  <c r="J67" i="91"/>
  <c r="J61" i="91"/>
  <c r="J47" i="91"/>
  <c r="J39" i="91"/>
  <c r="J27" i="91"/>
  <c r="J23" i="91"/>
  <c r="J78" i="91"/>
  <c r="J83" i="91"/>
  <c r="J77" i="91"/>
  <c r="J69" i="91"/>
  <c r="J57" i="91"/>
  <c r="J49" i="91"/>
  <c r="J41" i="91"/>
  <c r="J33" i="91"/>
  <c r="J70" i="91"/>
  <c r="J50" i="91"/>
  <c r="J28" i="91"/>
  <c r="J24" i="91"/>
  <c r="J20" i="91"/>
  <c r="J18" i="91"/>
  <c r="J16" i="91"/>
  <c r="J14" i="91"/>
  <c r="J53" i="91"/>
  <c r="J62" i="91"/>
  <c r="J21" i="91"/>
  <c r="J58" i="91"/>
  <c r="J38" i="91"/>
  <c r="J71" i="91"/>
  <c r="J48" i="91"/>
  <c r="H16" i="91"/>
  <c r="J46" i="91"/>
  <c r="J29" i="91"/>
  <c r="J19" i="91"/>
  <c r="J51" i="91"/>
  <c r="J63" i="91"/>
  <c r="J88" i="91"/>
  <c r="N12" i="91"/>
  <c r="J34" i="91"/>
  <c r="J32" i="91"/>
  <c r="J56" i="91"/>
  <c r="J40" i="91"/>
  <c r="J68" i="91"/>
  <c r="F34" i="87"/>
  <c r="X36" i="87"/>
  <c r="Z36" i="87" s="1"/>
  <c r="F48" i="87"/>
  <c r="Z51" i="87"/>
  <c r="Z16" i="88"/>
  <c r="D20" i="88"/>
  <c r="P12" i="92"/>
  <c r="X13" i="92"/>
  <c r="Z13" i="92" s="1"/>
  <c r="J28" i="85"/>
  <c r="F20" i="87"/>
  <c r="F22" i="87"/>
  <c r="F47" i="87"/>
  <c r="F53" i="87"/>
  <c r="F72" i="87"/>
  <c r="X77" i="87"/>
  <c r="Z13" i="88"/>
  <c r="L38" i="88"/>
  <c r="N38" i="88" s="1"/>
  <c r="N40" i="88"/>
  <c r="F54" i="88"/>
  <c r="J52" i="91"/>
  <c r="X52" i="93"/>
  <c r="Z52" i="93" s="1"/>
  <c r="F23" i="87"/>
  <c r="F24" i="87"/>
  <c r="F28" i="87"/>
  <c r="F40" i="87"/>
  <c r="F41" i="87"/>
  <c r="F59" i="88"/>
  <c r="X63" i="88"/>
  <c r="Z63" i="88" s="1"/>
  <c r="J85" i="91"/>
  <c r="J24" i="85"/>
  <c r="F32" i="87"/>
  <c r="F33" i="87"/>
  <c r="F46" i="87"/>
  <c r="F57" i="87"/>
  <c r="F61" i="87"/>
  <c r="Z70" i="87"/>
  <c r="F75" i="87"/>
  <c r="F42" i="88"/>
  <c r="N44" i="88"/>
  <c r="L44" i="88"/>
  <c r="J25" i="91"/>
  <c r="L22" i="93"/>
  <c r="N22" i="93" s="1"/>
  <c r="P16" i="91"/>
  <c r="R71" i="91"/>
  <c r="V42" i="92"/>
  <c r="R30" i="93"/>
  <c r="R39" i="93"/>
  <c r="V34" i="92"/>
  <c r="N56" i="92"/>
  <c r="J37" i="92"/>
  <c r="L48" i="92"/>
  <c r="J56" i="92"/>
  <c r="R24" i="93"/>
  <c r="F32" i="94"/>
  <c r="R74" i="91"/>
  <c r="R73" i="91"/>
  <c r="R66" i="91"/>
  <c r="R65" i="91"/>
  <c r="R46" i="91"/>
  <c r="R45" i="91"/>
  <c r="R38" i="91"/>
  <c r="R37" i="91"/>
  <c r="R81" i="91"/>
  <c r="R79" i="91"/>
  <c r="R61" i="91"/>
  <c r="R60" i="91"/>
  <c r="R56" i="91"/>
  <c r="R32" i="91"/>
  <c r="R78" i="91"/>
  <c r="R75" i="91"/>
  <c r="R68" i="91"/>
  <c r="R67" i="91"/>
  <c r="R48" i="91"/>
  <c r="R47" i="91"/>
  <c r="R40" i="91"/>
  <c r="R39" i="91"/>
  <c r="R27" i="91"/>
  <c r="R23" i="91"/>
  <c r="R77" i="91"/>
  <c r="R62" i="91"/>
  <c r="R83" i="91"/>
  <c r="R70" i="91"/>
  <c r="R69" i="91"/>
  <c r="R88" i="91"/>
  <c r="R85" i="91"/>
  <c r="R29" i="91"/>
  <c r="R28" i="91"/>
  <c r="R24" i="91"/>
  <c r="R20" i="91"/>
  <c r="R58" i="91"/>
  <c r="R42" i="91"/>
  <c r="R34" i="91"/>
  <c r="R30" i="91"/>
  <c r="R53" i="91"/>
  <c r="R25" i="91"/>
  <c r="R21" i="91"/>
  <c r="R55" i="91"/>
  <c r="R54" i="91"/>
  <c r="R49" i="91"/>
  <c r="R52" i="91"/>
  <c r="L61" i="91"/>
  <c r="N61" i="91" s="1"/>
  <c r="R72" i="91"/>
  <c r="N48" i="92"/>
  <c r="V58" i="92"/>
  <c r="J61" i="92"/>
  <c r="R60" i="93"/>
  <c r="R53" i="93"/>
  <c r="R46" i="93"/>
  <c r="R45" i="93"/>
  <c r="R29" i="93"/>
  <c r="R25" i="93"/>
  <c r="R65" i="93"/>
  <c r="R47" i="93"/>
  <c r="R36" i="93"/>
  <c r="R35" i="93"/>
  <c r="R70" i="93"/>
  <c r="R67" i="93"/>
  <c r="R54" i="93"/>
  <c r="R49" i="93"/>
  <c r="R48" i="93"/>
  <c r="R63" i="93"/>
  <c r="R61" i="93"/>
  <c r="R58" i="93"/>
  <c r="R34" i="93"/>
  <c r="R43" i="93"/>
  <c r="R55" i="93"/>
  <c r="R44" i="93"/>
  <c r="R18" i="93"/>
  <c r="R31" i="93"/>
  <c r="R28" i="93"/>
  <c r="R50" i="93"/>
  <c r="R41" i="93"/>
  <c r="R20" i="93"/>
  <c r="R38" i="93"/>
  <c r="R37" i="93"/>
  <c r="R32" i="93"/>
  <c r="R26" i="93"/>
  <c r="P20" i="93"/>
  <c r="R23" i="93"/>
  <c r="R22" i="93"/>
  <c r="R16" i="93"/>
  <c r="R56" i="93"/>
  <c r="R51" i="93"/>
  <c r="R42" i="93"/>
  <c r="R57" i="93"/>
  <c r="R52" i="93"/>
  <c r="R40" i="93"/>
  <c r="R17" i="93"/>
  <c r="L38" i="93"/>
  <c r="N38" i="93" s="1"/>
  <c r="N36" i="91"/>
  <c r="R44" i="91"/>
  <c r="Z52" i="91"/>
  <c r="L55" i="91"/>
  <c r="R57" i="91"/>
  <c r="Z74" i="91"/>
  <c r="N14" i="92"/>
  <c r="F22" i="92"/>
  <c r="J48" i="92"/>
  <c r="Z56" i="92"/>
  <c r="L66" i="88"/>
  <c r="X12" i="91"/>
  <c r="N46" i="91"/>
  <c r="N55" i="91"/>
  <c r="R59" i="91"/>
  <c r="N77" i="91"/>
  <c r="F76" i="92"/>
  <c r="F28" i="92"/>
  <c r="F24" i="92"/>
  <c r="F63" i="92"/>
  <c r="F62" i="92"/>
  <c r="F51" i="92"/>
  <c r="F50" i="92"/>
  <c r="F39" i="92"/>
  <c r="F38" i="92"/>
  <c r="F58" i="92"/>
  <c r="F34" i="92"/>
  <c r="F65" i="92"/>
  <c r="F64" i="92"/>
  <c r="F41" i="92"/>
  <c r="F40" i="92"/>
  <c r="F29" i="92"/>
  <c r="F25" i="92"/>
  <c r="F52" i="92"/>
  <c r="F59" i="92"/>
  <c r="F43" i="92"/>
  <c r="F42" i="92"/>
  <c r="F35" i="92"/>
  <c r="F69" i="92"/>
  <c r="F67" i="92"/>
  <c r="F54" i="92"/>
  <c r="F53" i="92"/>
  <c r="F30" i="92"/>
  <c r="F26" i="92"/>
  <c r="F71" i="92"/>
  <c r="F45" i="92"/>
  <c r="F44" i="92"/>
  <c r="F17" i="92"/>
  <c r="F16" i="92"/>
  <c r="F60" i="92"/>
  <c r="F36" i="92"/>
  <c r="F32" i="92"/>
  <c r="F31" i="92"/>
  <c r="L12" i="92"/>
  <c r="N12" i="92" s="1"/>
  <c r="F73" i="92"/>
  <c r="F61" i="92"/>
  <c r="F57" i="92"/>
  <c r="F56" i="92"/>
  <c r="F49" i="92"/>
  <c r="F48" i="92"/>
  <c r="F37" i="92"/>
  <c r="F33" i="92"/>
  <c r="D19" i="92"/>
  <c r="R27" i="93"/>
  <c r="R22" i="91"/>
  <c r="R36" i="91"/>
  <c r="R41" i="91"/>
  <c r="R63" i="91"/>
  <c r="J63" i="92"/>
  <c r="J51" i="92"/>
  <c r="J39" i="92"/>
  <c r="J64" i="92"/>
  <c r="J58" i="92"/>
  <c r="J40" i="92"/>
  <c r="J34" i="92"/>
  <c r="J65" i="92"/>
  <c r="J41" i="92"/>
  <c r="J29" i="92"/>
  <c r="J25" i="92"/>
  <c r="J52" i="92"/>
  <c r="J42" i="92"/>
  <c r="J67" i="92"/>
  <c r="J59" i="92"/>
  <c r="J53" i="92"/>
  <c r="J43" i="92"/>
  <c r="J35" i="92"/>
  <c r="J54" i="92"/>
  <c r="J44" i="92"/>
  <c r="J30" i="92"/>
  <c r="J26" i="92"/>
  <c r="J16" i="92"/>
  <c r="J71" i="92"/>
  <c r="J45" i="92"/>
  <c r="J31" i="92"/>
  <c r="J17" i="92"/>
  <c r="J60" i="92"/>
  <c r="J46" i="92"/>
  <c r="J36" i="92"/>
  <c r="J32" i="92"/>
  <c r="J22" i="92"/>
  <c r="J55" i="92"/>
  <c r="J47" i="92"/>
  <c r="J27" i="92"/>
  <c r="J23" i="92"/>
  <c r="J21" i="92"/>
  <c r="J62" i="92"/>
  <c r="J50" i="92"/>
  <c r="J38" i="92"/>
  <c r="J28" i="92"/>
  <c r="J24" i="92"/>
  <c r="V59" i="92"/>
  <c r="V43" i="92"/>
  <c r="V35" i="92"/>
  <c r="V31" i="92"/>
  <c r="V54" i="92"/>
  <c r="V46" i="92"/>
  <c r="V30" i="92"/>
  <c r="V26" i="92"/>
  <c r="V22" i="92"/>
  <c r="V45" i="92"/>
  <c r="V21" i="92"/>
  <c r="V17" i="92"/>
  <c r="V71" i="92"/>
  <c r="V60" i="92"/>
  <c r="V56" i="92"/>
  <c r="V48" i="92"/>
  <c r="V36" i="92"/>
  <c r="V32" i="92"/>
  <c r="T19" i="92"/>
  <c r="V19" i="92" s="1"/>
  <c r="V55" i="92"/>
  <c r="V47" i="92"/>
  <c r="V27" i="92"/>
  <c r="V23" i="92"/>
  <c r="V62" i="92"/>
  <c r="V50" i="92"/>
  <c r="V38" i="92"/>
  <c r="V61" i="92"/>
  <c r="V57" i="92"/>
  <c r="V49" i="92"/>
  <c r="V37" i="92"/>
  <c r="V33" i="92"/>
  <c r="V64" i="92"/>
  <c r="V40" i="92"/>
  <c r="V28" i="92"/>
  <c r="V24" i="92"/>
  <c r="V63" i="92"/>
  <c r="V51" i="92"/>
  <c r="V39" i="92"/>
  <c r="V52" i="92"/>
  <c r="V44" i="92"/>
  <c r="V16" i="92"/>
  <c r="Z48" i="92"/>
  <c r="Z50" i="92"/>
  <c r="J57" i="92"/>
  <c r="J56" i="93"/>
  <c r="J42" i="93"/>
  <c r="J28" i="93"/>
  <c r="J24" i="93"/>
  <c r="J22" i="93"/>
  <c r="J20" i="93"/>
  <c r="J58" i="93"/>
  <c r="J52" i="93"/>
  <c r="J44" i="93"/>
  <c r="J34" i="93"/>
  <c r="J61" i="93"/>
  <c r="J53" i="93"/>
  <c r="J45" i="93"/>
  <c r="J60" i="93"/>
  <c r="J46" i="93"/>
  <c r="J65" i="93"/>
  <c r="J47" i="93"/>
  <c r="J35" i="93"/>
  <c r="J41" i="93"/>
  <c r="J33" i="93"/>
  <c r="J39" i="93"/>
  <c r="J57" i="93"/>
  <c r="J30" i="93"/>
  <c r="J27" i="93"/>
  <c r="J17" i="93"/>
  <c r="J49" i="93"/>
  <c r="J36" i="93"/>
  <c r="J43" i="93"/>
  <c r="J40" i="93"/>
  <c r="J25" i="93"/>
  <c r="J55" i="93"/>
  <c r="J18" i="93"/>
  <c r="J31" i="93"/>
  <c r="J50" i="93"/>
  <c r="J37" i="93"/>
  <c r="J26" i="93"/>
  <c r="H20" i="93"/>
  <c r="J54" i="93"/>
  <c r="J51" i="93"/>
  <c r="L12" i="93"/>
  <c r="N12" i="93" s="1"/>
  <c r="J23" i="93"/>
  <c r="X29" i="91"/>
  <c r="Z29" i="91" s="1"/>
  <c r="R43" i="91"/>
  <c r="L50" i="91"/>
  <c r="N50" i="91" s="1"/>
  <c r="R51" i="91"/>
  <c r="Z55" i="91"/>
  <c r="Z77" i="91"/>
  <c r="F19" i="92"/>
  <c r="V25" i="92"/>
  <c r="N42" i="92"/>
  <c r="F55" i="92"/>
  <c r="J16" i="93"/>
  <c r="Z14" i="94"/>
  <c r="Z81" i="95"/>
  <c r="X81" i="95"/>
  <c r="R19" i="91"/>
  <c r="R31" i="91"/>
  <c r="R33" i="91"/>
  <c r="Z46" i="91"/>
  <c r="H19" i="92"/>
  <c r="X42" i="92"/>
  <c r="J49" i="92"/>
  <c r="L20" i="93"/>
  <c r="J32" i="93"/>
  <c r="Z36" i="94"/>
  <c r="R18" i="91"/>
  <c r="R26" i="91"/>
  <c r="R35" i="91"/>
  <c r="L21" i="92"/>
  <c r="N21" i="92" s="1"/>
  <c r="Z42" i="92"/>
  <c r="F47" i="92"/>
  <c r="X57" i="93"/>
  <c r="Z57" i="93" s="1"/>
  <c r="F66" i="94"/>
  <c r="F65" i="94"/>
  <c r="F64" i="94"/>
  <c r="F61" i="94"/>
  <c r="F58" i="94"/>
  <c r="F34" i="94"/>
  <c r="D20" i="94"/>
  <c r="F74" i="94"/>
  <c r="F52" i="94"/>
  <c r="F45" i="94"/>
  <c r="F44" i="94"/>
  <c r="F70" i="94"/>
  <c r="F59" i="94"/>
  <c r="F35" i="94"/>
  <c r="F62" i="94"/>
  <c r="F30" i="94"/>
  <c r="F26" i="94"/>
  <c r="F77" i="94"/>
  <c r="F53" i="94"/>
  <c r="F46" i="94"/>
  <c r="F37" i="94"/>
  <c r="F36" i="94"/>
  <c r="F17" i="94"/>
  <c r="F16" i="94"/>
  <c r="F54" i="94"/>
  <c r="F47" i="94"/>
  <c r="F72" i="94"/>
  <c r="F55" i="94"/>
  <c r="F49" i="94"/>
  <c r="F48" i="94"/>
  <c r="F68" i="94"/>
  <c r="F57" i="94"/>
  <c r="F50" i="94"/>
  <c r="F43" i="94"/>
  <c r="F42" i="94"/>
  <c r="F22" i="94"/>
  <c r="F20" i="94"/>
  <c r="F63" i="94"/>
  <c r="F56" i="94"/>
  <c r="F18" i="94"/>
  <c r="F60" i="94"/>
  <c r="F33" i="94"/>
  <c r="F28" i="94"/>
  <c r="F23" i="94"/>
  <c r="F40" i="94"/>
  <c r="F31" i="94"/>
  <c r="F51" i="94"/>
  <c r="F38" i="94"/>
  <c r="F24" i="94"/>
  <c r="F29" i="94"/>
  <c r="F39" i="94"/>
  <c r="F25" i="94"/>
  <c r="Z23" i="94"/>
  <c r="V61" i="91"/>
  <c r="V65" i="91"/>
  <c r="V73" i="91"/>
  <c r="V79" i="91"/>
  <c r="V81" i="91"/>
  <c r="F22" i="93"/>
  <c r="F38" i="93"/>
  <c r="F56" i="93"/>
  <c r="T12" i="94"/>
  <c r="V36" i="91"/>
  <c r="V44" i="91"/>
  <c r="V64" i="91"/>
  <c r="V72" i="91"/>
  <c r="T12" i="93"/>
  <c r="X12" i="93" s="1"/>
  <c r="F37" i="93"/>
  <c r="F45" i="93"/>
  <c r="H12" i="94"/>
  <c r="N14" i="94"/>
  <c r="N46" i="101"/>
  <c r="L46" i="101"/>
  <c r="V53" i="91"/>
  <c r="F31" i="93"/>
  <c r="F55" i="93"/>
  <c r="V43" i="95"/>
  <c r="V49" i="95"/>
  <c r="V51" i="91"/>
  <c r="V63" i="91"/>
  <c r="V71" i="91"/>
  <c r="L13" i="93"/>
  <c r="X16" i="93"/>
  <c r="Z16" i="93" s="1"/>
  <c r="F25" i="93"/>
  <c r="L36" i="93"/>
  <c r="N36" i="93" s="1"/>
  <c r="F47" i="93"/>
  <c r="F65" i="93"/>
  <c r="L44" i="94"/>
  <c r="N44" i="94" s="1"/>
  <c r="L55" i="94"/>
  <c r="N57" i="94"/>
  <c r="F23" i="95"/>
  <c r="L32" i="95"/>
  <c r="N32" i="95" s="1"/>
  <c r="F32" i="95"/>
  <c r="L79" i="91"/>
  <c r="L16" i="92"/>
  <c r="N16" i="92" s="1"/>
  <c r="X38" i="92"/>
  <c r="Z38" i="92" s="1"/>
  <c r="L44" i="92"/>
  <c r="N44" i="92" s="1"/>
  <c r="X50" i="92"/>
  <c r="X62" i="92"/>
  <c r="Z62" i="92" s="1"/>
  <c r="F36" i="93"/>
  <c r="Z38" i="93"/>
  <c r="F70" i="93"/>
  <c r="X36" i="94"/>
  <c r="N40" i="94"/>
  <c r="X51" i="94"/>
  <c r="Z51" i="94" s="1"/>
  <c r="N55" i="94"/>
  <c r="V49" i="91"/>
  <c r="V57" i="91"/>
  <c r="V69" i="91"/>
  <c r="V83" i="91"/>
  <c r="V85" i="91"/>
  <c r="V88" i="91"/>
  <c r="N13" i="93"/>
  <c r="X38" i="93"/>
  <c r="V48" i="95"/>
  <c r="V14" i="91"/>
  <c r="V16" i="91"/>
  <c r="V18" i="91"/>
  <c r="V50" i="91"/>
  <c r="V62" i="91"/>
  <c r="V70" i="91"/>
  <c r="F17" i="93"/>
  <c r="F27" i="93"/>
  <c r="N52" i="93"/>
  <c r="N57" i="93"/>
  <c r="D60" i="93"/>
  <c r="L60" i="93" s="1"/>
  <c r="N60" i="93" s="1"/>
  <c r="L48" i="94"/>
  <c r="N48" i="94" s="1"/>
  <c r="Z55" i="94"/>
  <c r="L36" i="91"/>
  <c r="V39" i="91"/>
  <c r="L44" i="91"/>
  <c r="N44" i="91" s="1"/>
  <c r="V47" i="91"/>
  <c r="X50" i="91"/>
  <c r="Z50" i="91" s="1"/>
  <c r="V67" i="91"/>
  <c r="X70" i="91"/>
  <c r="Z70" i="91" s="1"/>
  <c r="V75" i="91"/>
  <c r="V77" i="91"/>
  <c r="X21" i="92"/>
  <c r="Z21" i="92" s="1"/>
  <c r="F41" i="93"/>
  <c r="F40" i="93"/>
  <c r="F33" i="93"/>
  <c r="F32" i="93"/>
  <c r="F51" i="93"/>
  <c r="F43" i="93"/>
  <c r="F42" i="93"/>
  <c r="F58" i="93"/>
  <c r="F57" i="93"/>
  <c r="F53" i="93"/>
  <c r="F52" i="93"/>
  <c r="F63" i="93"/>
  <c r="F61" i="93"/>
  <c r="F50" i="93"/>
  <c r="F49" i="93"/>
  <c r="L16" i="93"/>
  <c r="N16" i="93" s="1"/>
  <c r="F24" i="93"/>
  <c r="F39" i="93"/>
  <c r="F46" i="93"/>
  <c r="F60" i="93"/>
  <c r="V85" i="95"/>
  <c r="V63" i="95"/>
  <c r="V47" i="95"/>
  <c r="V31" i="95"/>
  <c r="V27" i="95"/>
  <c r="V23" i="95"/>
  <c r="V74" i="95"/>
  <c r="V70" i="95"/>
  <c r="V58" i="95"/>
  <c r="V76" i="95"/>
  <c r="V64" i="95"/>
  <c r="V78" i="95"/>
  <c r="V66" i="95"/>
  <c r="V50" i="95"/>
  <c r="V42" i="95"/>
  <c r="V34" i="95"/>
  <c r="V77" i="95"/>
  <c r="V65" i="95"/>
  <c r="V61" i="95"/>
  <c r="V53" i="95"/>
  <c r="V41" i="95"/>
  <c r="V29" i="95"/>
  <c r="V25" i="95"/>
  <c r="V81" i="95"/>
  <c r="V79" i="95"/>
  <c r="V67" i="95"/>
  <c r="V55" i="95"/>
  <c r="V56" i="95"/>
  <c r="V36" i="95"/>
  <c r="V32" i="95"/>
  <c r="V44" i="95"/>
  <c r="V40" i="95"/>
  <c r="V28" i="95"/>
  <c r="V22" i="95"/>
  <c r="V68" i="95"/>
  <c r="V46" i="95"/>
  <c r="V17" i="95"/>
  <c r="V72" i="95"/>
  <c r="V37" i="95"/>
  <c r="V57" i="95"/>
  <c r="V38" i="95"/>
  <c r="V35" i="95"/>
  <c r="V26" i="95"/>
  <c r="V59" i="95"/>
  <c r="V51" i="95"/>
  <c r="V62" i="95"/>
  <c r="V33" i="95"/>
  <c r="V18" i="95"/>
  <c r="V16" i="95"/>
  <c r="V60" i="95"/>
  <c r="V54" i="95"/>
  <c r="V45" i="95"/>
  <c r="V73" i="95"/>
  <c r="V71" i="95"/>
  <c r="V69" i="95"/>
  <c r="V30" i="95"/>
  <c r="V24" i="95"/>
  <c r="V20" i="95"/>
  <c r="V52" i="95"/>
  <c r="V39" i="95"/>
  <c r="V40" i="91"/>
  <c r="V48" i="91"/>
  <c r="V56" i="91"/>
  <c r="V60" i="91"/>
  <c r="V68" i="91"/>
  <c r="F16" i="93"/>
  <c r="F23" i="93"/>
  <c r="F35" i="93"/>
  <c r="X36" i="93"/>
  <c r="Z36" i="93" s="1"/>
  <c r="L42" i="93"/>
  <c r="N42" i="93" s="1"/>
  <c r="F54" i="93"/>
  <c r="Z61" i="93"/>
  <c r="P12" i="94"/>
  <c r="X13" i="94"/>
  <c r="Z13" i="94" s="1"/>
  <c r="X16" i="95"/>
  <c r="Z16" i="95" s="1"/>
  <c r="T20" i="95"/>
  <c r="N40" i="95"/>
  <c r="N16" i="95"/>
  <c r="P20" i="95"/>
  <c r="L38" i="95"/>
  <c r="N38" i="95" s="1"/>
  <c r="R43" i="95"/>
  <c r="Z49" i="95"/>
  <c r="F54" i="95"/>
  <c r="R58" i="95"/>
  <c r="R78" i="95"/>
  <c r="R20" i="97"/>
  <c r="R37" i="97"/>
  <c r="Z47" i="97"/>
  <c r="R65" i="97"/>
  <c r="X68" i="94"/>
  <c r="R16" i="95"/>
  <c r="R54" i="95"/>
  <c r="Z55" i="95"/>
  <c r="Z60" i="95"/>
  <c r="R77" i="95"/>
  <c r="Z23" i="97"/>
  <c r="J24" i="99"/>
  <c r="J31" i="99"/>
  <c r="R33" i="95"/>
  <c r="R42" i="95"/>
  <c r="F50" i="95"/>
  <c r="F59" i="95"/>
  <c r="N44" i="97"/>
  <c r="L44" i="97"/>
  <c r="R57" i="95"/>
  <c r="R56" i="95"/>
  <c r="R36" i="95"/>
  <c r="X12" i="95"/>
  <c r="Z12" i="95" s="1"/>
  <c r="R85" i="95"/>
  <c r="R63" i="95"/>
  <c r="R76" i="95"/>
  <c r="R75" i="95"/>
  <c r="R71" i="95"/>
  <c r="R60" i="95"/>
  <c r="R59" i="95"/>
  <c r="R40" i="95"/>
  <c r="R39" i="95"/>
  <c r="R51" i="95"/>
  <c r="R50" i="95"/>
  <c r="R34" i="95"/>
  <c r="R72" i="95"/>
  <c r="R53" i="95"/>
  <c r="R52" i="95"/>
  <c r="R73" i="95"/>
  <c r="R69" i="95"/>
  <c r="R45" i="95"/>
  <c r="R17" i="95"/>
  <c r="F22" i="95"/>
  <c r="R38" i="95"/>
  <c r="F44" i="95"/>
  <c r="F53" i="95"/>
  <c r="R76" i="97"/>
  <c r="R74" i="97"/>
  <c r="R71" i="97"/>
  <c r="R61" i="97"/>
  <c r="R60" i="97"/>
  <c r="R40" i="97"/>
  <c r="R39" i="97"/>
  <c r="R66" i="97"/>
  <c r="R51" i="97"/>
  <c r="R50" i="97"/>
  <c r="R34" i="97"/>
  <c r="R42" i="97"/>
  <c r="R41" i="97"/>
  <c r="R29" i="97"/>
  <c r="R25" i="97"/>
  <c r="R78" i="97"/>
  <c r="R62" i="97"/>
  <c r="R57" i="97"/>
  <c r="R56" i="97"/>
  <c r="R52" i="97"/>
  <c r="R63" i="97"/>
  <c r="R44" i="97"/>
  <c r="R43" i="97"/>
  <c r="R35" i="97"/>
  <c r="R16" i="97"/>
  <c r="R67" i="97"/>
  <c r="R58" i="97"/>
  <c r="R30" i="97"/>
  <c r="R26" i="97"/>
  <c r="R73" i="97"/>
  <c r="R45" i="97"/>
  <c r="R17" i="97"/>
  <c r="R80" i="97"/>
  <c r="R68" i="97"/>
  <c r="R64" i="97"/>
  <c r="R53" i="97"/>
  <c r="R54" i="97"/>
  <c r="R32" i="97"/>
  <c r="R31" i="97"/>
  <c r="R27" i="97"/>
  <c r="R83" i="97"/>
  <c r="R70" i="97"/>
  <c r="R55" i="97"/>
  <c r="R49" i="97"/>
  <c r="R48" i="97"/>
  <c r="R28" i="97"/>
  <c r="R24" i="97"/>
  <c r="P20" i="97"/>
  <c r="N42" i="97"/>
  <c r="R46" i="97"/>
  <c r="J64" i="97"/>
  <c r="Z26" i="98"/>
  <c r="T29" i="98"/>
  <c r="Z29" i="98" s="1"/>
  <c r="H17" i="99"/>
  <c r="N22" i="95"/>
  <c r="R23" i="95"/>
  <c r="R26" i="95"/>
  <c r="F28" i="95"/>
  <c r="R29" i="95"/>
  <c r="R35" i="95"/>
  <c r="Z38" i="95"/>
  <c r="R41" i="95"/>
  <c r="N44" i="95"/>
  <c r="R47" i="95"/>
  <c r="F56" i="95"/>
  <c r="R64" i="95"/>
  <c r="N68" i="95"/>
  <c r="R79" i="95"/>
  <c r="Z14" i="97"/>
  <c r="R36" i="97"/>
  <c r="D16" i="98"/>
  <c r="L14" i="98"/>
  <c r="Z57" i="94"/>
  <c r="F17" i="95"/>
  <c r="L40" i="95"/>
  <c r="R74" i="95"/>
  <c r="R22" i="97"/>
  <c r="F72" i="95"/>
  <c r="F52" i="95"/>
  <c r="F51" i="95"/>
  <c r="F79" i="95"/>
  <c r="F78" i="95"/>
  <c r="F67" i="95"/>
  <c r="F66" i="95"/>
  <c r="F73" i="95"/>
  <c r="F69" i="95"/>
  <c r="F68" i="95"/>
  <c r="F85" i="95"/>
  <c r="F63" i="95"/>
  <c r="F31" i="95"/>
  <c r="F27" i="95"/>
  <c r="F74" i="95"/>
  <c r="F70" i="95"/>
  <c r="F58" i="95"/>
  <c r="F57" i="95"/>
  <c r="F46" i="95"/>
  <c r="F18" i="95"/>
  <c r="F64" i="95"/>
  <c r="F48" i="95"/>
  <c r="F47" i="95"/>
  <c r="F77" i="95"/>
  <c r="F76" i="95"/>
  <c r="F65" i="95"/>
  <c r="F61" i="95"/>
  <c r="F60" i="95"/>
  <c r="F41" i="95"/>
  <c r="F40" i="95"/>
  <c r="F29" i="95"/>
  <c r="F25" i="95"/>
  <c r="D20" i="95"/>
  <c r="X22" i="95"/>
  <c r="R32" i="95"/>
  <c r="F34" i="95"/>
  <c r="R37" i="95"/>
  <c r="X44" i="95"/>
  <c r="N49" i="95"/>
  <c r="X53" i="95"/>
  <c r="Z53" i="95" s="1"/>
  <c r="R66" i="95"/>
  <c r="R68" i="95"/>
  <c r="D12" i="97"/>
  <c r="Z22" i="97"/>
  <c r="X70" i="97"/>
  <c r="Z70" i="97" s="1"/>
  <c r="J34" i="99"/>
  <c r="N21" i="100"/>
  <c r="H12" i="95"/>
  <c r="N13" i="95"/>
  <c r="Z14" i="95"/>
  <c r="F20" i="95"/>
  <c r="R22" i="95"/>
  <c r="F39" i="95"/>
  <c r="F43" i="95"/>
  <c r="R44" i="95"/>
  <c r="R46" i="95"/>
  <c r="F55" i="95"/>
  <c r="R61" i="95"/>
  <c r="R70" i="95"/>
  <c r="F81" i="95"/>
  <c r="J78" i="97"/>
  <c r="J68" i="97"/>
  <c r="J62" i="97"/>
  <c r="J73" i="97"/>
  <c r="J59" i="97"/>
  <c r="J54" i="97"/>
  <c r="J46" i="97"/>
  <c r="J32" i="97"/>
  <c r="J18" i="97"/>
  <c r="J69" i="97"/>
  <c r="J65" i="97"/>
  <c r="J47" i="97"/>
  <c r="J37" i="97"/>
  <c r="J33" i="97"/>
  <c r="J23" i="97"/>
  <c r="J70" i="97"/>
  <c r="J55" i="97"/>
  <c r="J48" i="97"/>
  <c r="J38" i="97"/>
  <c r="J28" i="97"/>
  <c r="J24" i="97"/>
  <c r="J22" i="97"/>
  <c r="J20" i="97"/>
  <c r="J60" i="97"/>
  <c r="J49" i="97"/>
  <c r="J39" i="97"/>
  <c r="H20" i="97"/>
  <c r="J66" i="97"/>
  <c r="J61" i="97"/>
  <c r="J50" i="97"/>
  <c r="J40" i="97"/>
  <c r="J34" i="97"/>
  <c r="J71" i="97"/>
  <c r="J56" i="97"/>
  <c r="J51" i="97"/>
  <c r="J41" i="97"/>
  <c r="J29" i="97"/>
  <c r="J25" i="97"/>
  <c r="J52" i="97"/>
  <c r="J42" i="97"/>
  <c r="J63" i="97"/>
  <c r="J57" i="97"/>
  <c r="J43" i="97"/>
  <c r="J67" i="97"/>
  <c r="J58" i="97"/>
  <c r="J44" i="97"/>
  <c r="J30" i="97"/>
  <c r="J26" i="97"/>
  <c r="J16" i="97"/>
  <c r="J74" i="97"/>
  <c r="J31" i="97"/>
  <c r="J27" i="97"/>
  <c r="N16" i="97"/>
  <c r="X32" i="97"/>
  <c r="R38" i="97"/>
  <c r="X29" i="98"/>
  <c r="N41" i="100"/>
  <c r="L41" i="100"/>
  <c r="Z22" i="95"/>
  <c r="R25" i="95"/>
  <c r="R28" i="95"/>
  <c r="R31" i="95"/>
  <c r="Z44" i="95"/>
  <c r="N55" i="95"/>
  <c r="Z32" i="97"/>
  <c r="Z38" i="97"/>
  <c r="Z49" i="97"/>
  <c r="X49" i="97"/>
  <c r="J30" i="99"/>
  <c r="J20" i="99"/>
  <c r="J35" i="99"/>
  <c r="J36" i="99"/>
  <c r="N12" i="99"/>
  <c r="J45" i="99"/>
  <c r="J29" i="99"/>
  <c r="J15" i="99"/>
  <c r="J19" i="99"/>
  <c r="J25" i="99"/>
  <c r="J22" i="99"/>
  <c r="J28" i="99"/>
  <c r="J14" i="99"/>
  <c r="J32" i="99"/>
  <c r="J40" i="99"/>
  <c r="J47" i="99"/>
  <c r="J37" i="99"/>
  <c r="J23" i="99"/>
  <c r="J41" i="99"/>
  <c r="J33" i="99"/>
  <c r="J26" i="99"/>
  <c r="J21" i="99"/>
  <c r="J17" i="99"/>
  <c r="J27" i="99"/>
  <c r="N52" i="100"/>
  <c r="H51" i="100"/>
  <c r="X46" i="94"/>
  <c r="Z46" i="94" s="1"/>
  <c r="L68" i="94"/>
  <c r="F16" i="95"/>
  <c r="F42" i="95"/>
  <c r="R49" i="95"/>
  <c r="R65" i="95"/>
  <c r="F75" i="95"/>
  <c r="X76" i="95"/>
  <c r="Z76" i="95" s="1"/>
  <c r="J35" i="97"/>
  <c r="X38" i="97"/>
  <c r="R47" i="97"/>
  <c r="N63" i="97"/>
  <c r="R69" i="97"/>
  <c r="L12" i="99"/>
  <c r="J38" i="99"/>
  <c r="J43" i="99"/>
  <c r="Z57" i="97"/>
  <c r="Z12" i="98"/>
  <c r="J16" i="98"/>
  <c r="V20" i="98"/>
  <c r="V26" i="98"/>
  <c r="F45" i="99"/>
  <c r="F40" i="99"/>
  <c r="F15" i="99"/>
  <c r="F14" i="99"/>
  <c r="F34" i="99"/>
  <c r="F33" i="99"/>
  <c r="F26" i="99"/>
  <c r="F22" i="99"/>
  <c r="F43" i="99"/>
  <c r="F41" i="99"/>
  <c r="F28" i="99"/>
  <c r="F24" i="99"/>
  <c r="D17" i="99"/>
  <c r="X19" i="99"/>
  <c r="Z19" i="99" s="1"/>
  <c r="F27" i="99"/>
  <c r="Z33" i="99"/>
  <c r="V36" i="99"/>
  <c r="F38" i="99"/>
  <c r="V45" i="99"/>
  <c r="F50" i="99"/>
  <c r="V47" i="100"/>
  <c r="V39" i="100"/>
  <c r="V56" i="100"/>
  <c r="V33" i="100"/>
  <c r="V38" i="100"/>
  <c r="V15" i="100"/>
  <c r="V49" i="100"/>
  <c r="V43" i="100"/>
  <c r="V51" i="100"/>
  <c r="V52" i="100"/>
  <c r="V41" i="100"/>
  <c r="V40" i="100"/>
  <c r="V22" i="100"/>
  <c r="V46" i="100"/>
  <c r="V29" i="100"/>
  <c r="V21" i="100"/>
  <c r="V17" i="100"/>
  <c r="V45" i="100"/>
  <c r="V36" i="100"/>
  <c r="V28" i="100"/>
  <c r="V37" i="100"/>
  <c r="V32" i="100"/>
  <c r="F15" i="100"/>
  <c r="F19" i="100"/>
  <c r="N24" i="100"/>
  <c r="V27" i="100"/>
  <c r="V30" i="100"/>
  <c r="V44" i="100"/>
  <c r="T12" i="97"/>
  <c r="X12" i="97" s="1"/>
  <c r="J14" i="98"/>
  <c r="V24" i="98"/>
  <c r="V19" i="99"/>
  <c r="F23" i="100"/>
  <c r="N37" i="100"/>
  <c r="J41" i="100"/>
  <c r="J52" i="100"/>
  <c r="J22" i="98"/>
  <c r="V34" i="99"/>
  <c r="V26" i="99"/>
  <c r="V22" i="99"/>
  <c r="V29" i="99"/>
  <c r="V28" i="99"/>
  <c r="V24" i="99"/>
  <c r="V20" i="99"/>
  <c r="V35" i="99"/>
  <c r="P43" i="99"/>
  <c r="Z31" i="99"/>
  <c r="Z24" i="100"/>
  <c r="F31" i="100"/>
  <c r="P48" i="104"/>
  <c r="X12" i="99"/>
  <c r="L20" i="99"/>
  <c r="N20" i="99" s="1"/>
  <c r="F23" i="99"/>
  <c r="V27" i="99"/>
  <c r="F29" i="99"/>
  <c r="V31" i="99"/>
  <c r="N37" i="99"/>
  <c r="J17" i="100"/>
  <c r="T19" i="100"/>
  <c r="F22" i="100"/>
  <c r="V24" i="100"/>
  <c r="V26" i="100"/>
  <c r="N31" i="100"/>
  <c r="Z35" i="100"/>
  <c r="X35" i="100"/>
  <c r="Z37" i="100"/>
  <c r="Z39" i="100"/>
  <c r="F22" i="98"/>
  <c r="F20" i="98"/>
  <c r="F18" i="98"/>
  <c r="F16" i="98"/>
  <c r="F14" i="98"/>
  <c r="Z16" i="98"/>
  <c r="F26" i="98"/>
  <c r="Z12" i="99"/>
  <c r="T17" i="99"/>
  <c r="X17" i="99" s="1"/>
  <c r="F20" i="99"/>
  <c r="V21" i="99"/>
  <c r="L41" i="99"/>
  <c r="N41" i="99" s="1"/>
  <c r="V43" i="99"/>
  <c r="V50" i="99"/>
  <c r="J31" i="100"/>
  <c r="V35" i="100"/>
  <c r="N47" i="105"/>
  <c r="L47" i="105"/>
  <c r="N12" i="98"/>
  <c r="H16" i="98"/>
  <c r="J24" i="98"/>
  <c r="J20" i="98"/>
  <c r="L21" i="100"/>
  <c r="F25" i="100"/>
  <c r="F30" i="100"/>
  <c r="F40" i="100"/>
  <c r="L12" i="98"/>
  <c r="V14" i="98"/>
  <c r="V22" i="98"/>
  <c r="J26" i="98"/>
  <c r="V29" i="98"/>
  <c r="L19" i="99"/>
  <c r="N19" i="99" s="1"/>
  <c r="F36" i="99"/>
  <c r="F16" i="100"/>
  <c r="F21" i="100"/>
  <c r="J25" i="100"/>
  <c r="J30" i="100"/>
  <c r="F44" i="100"/>
  <c r="F46" i="100"/>
  <c r="L13" i="97"/>
  <c r="J18" i="98"/>
  <c r="X22" i="98"/>
  <c r="Z37" i="99"/>
  <c r="F38" i="100"/>
  <c r="F37" i="100"/>
  <c r="F61" i="100"/>
  <c r="F28" i="100"/>
  <c r="L12" i="100"/>
  <c r="F54" i="100"/>
  <c r="F42" i="100"/>
  <c r="F56" i="100"/>
  <c r="F49" i="100"/>
  <c r="F48" i="100"/>
  <c r="F43" i="100"/>
  <c r="F33" i="100"/>
  <c r="F26" i="100"/>
  <c r="F39" i="100"/>
  <c r="F34" i="100"/>
  <c r="F52" i="100"/>
  <c r="F45" i="100"/>
  <c r="F41" i="100"/>
  <c r="F36" i="100"/>
  <c r="F17" i="100"/>
  <c r="F27" i="100"/>
  <c r="X14" i="101"/>
  <c r="P12" i="101"/>
  <c r="N18" i="102"/>
  <c r="L18" i="102"/>
  <c r="X17" i="103"/>
  <c r="Z17" i="103" s="1"/>
  <c r="L81" i="95"/>
  <c r="N13" i="97"/>
  <c r="X16" i="97"/>
  <c r="Z16" i="97" s="1"/>
  <c r="Z22" i="98"/>
  <c r="V23" i="99"/>
  <c r="V33" i="99"/>
  <c r="V37" i="99"/>
  <c r="V41" i="99"/>
  <c r="V47" i="99"/>
  <c r="J43" i="100"/>
  <c r="J49" i="100"/>
  <c r="J39" i="100"/>
  <c r="J46" i="100"/>
  <c r="J42" i="100"/>
  <c r="J29" i="100"/>
  <c r="J23" i="100"/>
  <c r="J21" i="100"/>
  <c r="J19" i="100"/>
  <c r="J47" i="100"/>
  <c r="J37" i="100"/>
  <c r="J56" i="100"/>
  <c r="J48" i="100"/>
  <c r="J38" i="100"/>
  <c r="J26" i="100"/>
  <c r="J34" i="100"/>
  <c r="J15" i="100"/>
  <c r="J44" i="100"/>
  <c r="J35" i="100"/>
  <c r="J51" i="100"/>
  <c r="J40" i="100"/>
  <c r="J28" i="100"/>
  <c r="J22" i="100"/>
  <c r="N12" i="100"/>
  <c r="J27" i="100"/>
  <c r="X31" i="100"/>
  <c r="Z31" i="100" s="1"/>
  <c r="J33" i="100"/>
  <c r="D12" i="101"/>
  <c r="L13" i="101"/>
  <c r="N13" i="101" s="1"/>
  <c r="Z14" i="101"/>
  <c r="T12" i="101"/>
  <c r="X12" i="98"/>
  <c r="F24" i="98"/>
  <c r="F31" i="99"/>
  <c r="V32" i="99"/>
  <c r="V40" i="99"/>
  <c r="X41" i="99"/>
  <c r="Z41" i="99" s="1"/>
  <c r="P12" i="100"/>
  <c r="L15" i="100"/>
  <c r="N15" i="100" s="1"/>
  <c r="D19" i="100"/>
  <c r="X21" i="100"/>
  <c r="Z21" i="100" s="1"/>
  <c r="F24" i="100"/>
  <c r="F29" i="100"/>
  <c r="V31" i="100"/>
  <c r="H12" i="101"/>
  <c r="L34" i="103"/>
  <c r="N34" i="103" s="1"/>
  <c r="R32" i="99"/>
  <c r="R33" i="99"/>
  <c r="L14" i="102"/>
  <c r="N19" i="102"/>
  <c r="L19" i="102"/>
  <c r="L30" i="102"/>
  <c r="V33" i="102"/>
  <c r="R17" i="103"/>
  <c r="F24" i="103"/>
  <c r="J75" i="105"/>
  <c r="J65" i="105"/>
  <c r="J57" i="105"/>
  <c r="J77" i="105"/>
  <c r="J59" i="105"/>
  <c r="J79" i="105"/>
  <c r="J71" i="105"/>
  <c r="J67" i="105"/>
  <c r="J62" i="105"/>
  <c r="J50" i="105"/>
  <c r="J30" i="105"/>
  <c r="J26" i="105"/>
  <c r="J61" i="105"/>
  <c r="J56" i="105"/>
  <c r="J85" i="105"/>
  <c r="J69" i="105"/>
  <c r="J51" i="105"/>
  <c r="J40" i="105"/>
  <c r="J36" i="105"/>
  <c r="J76" i="105"/>
  <c r="J64" i="105"/>
  <c r="J41" i="105"/>
  <c r="J31" i="105"/>
  <c r="J27" i="105"/>
  <c r="J17" i="105"/>
  <c r="J81" i="105"/>
  <c r="J72" i="105"/>
  <c r="J52" i="105"/>
  <c r="J42" i="105"/>
  <c r="J18" i="105"/>
  <c r="J43" i="105"/>
  <c r="J37" i="105"/>
  <c r="J70" i="105"/>
  <c r="J53" i="105"/>
  <c r="J44" i="105"/>
  <c r="J32" i="105"/>
  <c r="J28" i="105"/>
  <c r="J58" i="105"/>
  <c r="J45" i="105"/>
  <c r="J19" i="105"/>
  <c r="J54" i="105"/>
  <c r="J46" i="105"/>
  <c r="J38" i="105"/>
  <c r="J24" i="105"/>
  <c r="J66" i="105"/>
  <c r="J60" i="105"/>
  <c r="J55" i="105"/>
  <c r="J49" i="105"/>
  <c r="J39" i="105"/>
  <c r="J35" i="105"/>
  <c r="J33" i="105"/>
  <c r="J63" i="105"/>
  <c r="J25" i="105"/>
  <c r="J23" i="105"/>
  <c r="J73" i="105"/>
  <c r="J68" i="105"/>
  <c r="J48" i="105"/>
  <c r="J34" i="105"/>
  <c r="J21" i="105"/>
  <c r="H21" i="105"/>
  <c r="J29" i="105"/>
  <c r="J74" i="105"/>
  <c r="J47" i="105"/>
  <c r="Z22" i="101"/>
  <c r="Z44" i="101"/>
  <c r="N50" i="101"/>
  <c r="D16" i="102"/>
  <c r="F46" i="102"/>
  <c r="F34" i="102"/>
  <c r="F26" i="102"/>
  <c r="F22" i="102"/>
  <c r="F51" i="102"/>
  <c r="F48" i="102"/>
  <c r="F36" i="102"/>
  <c r="F35" i="102"/>
  <c r="L12" i="102"/>
  <c r="F27" i="102"/>
  <c r="F23" i="102"/>
  <c r="F31" i="102"/>
  <c r="F30" i="102"/>
  <c r="F18" i="102"/>
  <c r="F16" i="102"/>
  <c r="F14" i="102"/>
  <c r="R78" i="103"/>
  <c r="R69" i="103"/>
  <c r="R65" i="103"/>
  <c r="R82" i="103"/>
  <c r="R60" i="103"/>
  <c r="R71" i="103"/>
  <c r="R70" i="103"/>
  <c r="R66" i="103"/>
  <c r="R51" i="103"/>
  <c r="R50" i="103"/>
  <c r="R61" i="103"/>
  <c r="R72" i="103"/>
  <c r="R56" i="103"/>
  <c r="R52" i="103"/>
  <c r="R42" i="103"/>
  <c r="R18" i="103"/>
  <c r="R73" i="103"/>
  <c r="R67" i="103"/>
  <c r="R57" i="103"/>
  <c r="R53" i="103"/>
  <c r="R43" i="103"/>
  <c r="R37" i="103"/>
  <c r="R63" i="103"/>
  <c r="R48" i="103"/>
  <c r="R32" i="103"/>
  <c r="R28" i="103"/>
  <c r="R24" i="103"/>
  <c r="R19" i="103"/>
  <c r="R76" i="103"/>
  <c r="R58" i="103"/>
  <c r="R49" i="103"/>
  <c r="R38" i="103"/>
  <c r="R23" i="103"/>
  <c r="R54" i="103"/>
  <c r="R44" i="103"/>
  <c r="R34" i="103"/>
  <c r="R33" i="103"/>
  <c r="R29" i="103"/>
  <c r="R25" i="103"/>
  <c r="P21" i="103"/>
  <c r="R74" i="103"/>
  <c r="R45" i="103"/>
  <c r="R68" i="103"/>
  <c r="R59" i="103"/>
  <c r="R55" i="103"/>
  <c r="R39" i="103"/>
  <c r="R35" i="103"/>
  <c r="R64" i="103"/>
  <c r="R30" i="103"/>
  <c r="R26" i="103"/>
  <c r="R62" i="103"/>
  <c r="R47" i="103"/>
  <c r="R31" i="103"/>
  <c r="R27" i="103"/>
  <c r="Z24" i="103"/>
  <c r="R36" i="103"/>
  <c r="Z61" i="105"/>
  <c r="X61" i="105"/>
  <c r="F29" i="102"/>
  <c r="F39" i="102"/>
  <c r="F70" i="103"/>
  <c r="N59" i="105"/>
  <c r="L59" i="105"/>
  <c r="R14" i="99"/>
  <c r="R40" i="99"/>
  <c r="P51" i="100"/>
  <c r="X51" i="100" s="1"/>
  <c r="N16" i="101"/>
  <c r="L38" i="101"/>
  <c r="X40" i="101"/>
  <c r="Z40" i="101" s="1"/>
  <c r="X50" i="101"/>
  <c r="X55" i="101"/>
  <c r="Z55" i="101" s="1"/>
  <c r="X19" i="102"/>
  <c r="Z19" i="102" s="1"/>
  <c r="V21" i="102"/>
  <c r="V23" i="102"/>
  <c r="X37" i="102"/>
  <c r="Z37" i="102" s="1"/>
  <c r="L39" i="102"/>
  <c r="N39" i="102" s="1"/>
  <c r="F42" i="102"/>
  <c r="F23" i="103"/>
  <c r="F74" i="103"/>
  <c r="R38" i="99"/>
  <c r="R41" i="99"/>
  <c r="Z41" i="100"/>
  <c r="X44" i="100"/>
  <c r="Z44" i="100" s="1"/>
  <c r="L23" i="101"/>
  <c r="N23" i="101" s="1"/>
  <c r="L70" i="101"/>
  <c r="V37" i="102"/>
  <c r="V39" i="102"/>
  <c r="V27" i="102"/>
  <c r="V38" i="102"/>
  <c r="V30" i="102"/>
  <c r="V29" i="102"/>
  <c r="T16" i="102"/>
  <c r="V44" i="102"/>
  <c r="V42" i="102"/>
  <c r="V40" i="102"/>
  <c r="V32" i="102"/>
  <c r="V24" i="102"/>
  <c r="V20" i="102"/>
  <c r="V31" i="102"/>
  <c r="V34" i="102"/>
  <c r="V26" i="102"/>
  <c r="V22" i="102"/>
  <c r="H16" i="102"/>
  <c r="V18" i="102"/>
  <c r="V25" i="102"/>
  <c r="X15" i="103"/>
  <c r="Z15" i="103" s="1"/>
  <c r="L23" i="103"/>
  <c r="N23" i="103" s="1"/>
  <c r="J78" i="105"/>
  <c r="Z51" i="100"/>
  <c r="X16" i="101"/>
  <c r="Z16" i="101" s="1"/>
  <c r="N38" i="101"/>
  <c r="Z50" i="101"/>
  <c r="F67" i="103"/>
  <c r="F76" i="103"/>
  <c r="F75" i="103"/>
  <c r="F68" i="103"/>
  <c r="F64" i="103"/>
  <c r="F63" i="103"/>
  <c r="F58" i="103"/>
  <c r="F57" i="103"/>
  <c r="F46" i="103"/>
  <c r="F45" i="103"/>
  <c r="F78" i="103"/>
  <c r="F69" i="103"/>
  <c r="F65" i="103"/>
  <c r="F82" i="103"/>
  <c r="F71" i="103"/>
  <c r="F55" i="103"/>
  <c r="F30" i="103"/>
  <c r="F26" i="103"/>
  <c r="F60" i="103"/>
  <c r="F62" i="103"/>
  <c r="F40" i="103"/>
  <c r="F36" i="103"/>
  <c r="F72" i="103"/>
  <c r="F56" i="103"/>
  <c r="F51" i="103"/>
  <c r="F31" i="103"/>
  <c r="F27" i="103"/>
  <c r="F52" i="103"/>
  <c r="F47" i="103"/>
  <c r="F42" i="103"/>
  <c r="F41" i="103"/>
  <c r="F18" i="103"/>
  <c r="F17" i="103"/>
  <c r="F48" i="103"/>
  <c r="F37" i="103"/>
  <c r="F32" i="103"/>
  <c r="F28" i="103"/>
  <c r="F73" i="103"/>
  <c r="F53" i="103"/>
  <c r="F43" i="103"/>
  <c r="F19" i="103"/>
  <c r="F61" i="103"/>
  <c r="F54" i="103"/>
  <c r="F49" i="103"/>
  <c r="F38" i="103"/>
  <c r="F59" i="103"/>
  <c r="F50" i="103"/>
  <c r="F39" i="103"/>
  <c r="F35" i="103"/>
  <c r="F34" i="103"/>
  <c r="D21" i="103"/>
  <c r="F33" i="103"/>
  <c r="F24" i="102"/>
  <c r="L28" i="102"/>
  <c r="N28" i="102" s="1"/>
  <c r="F33" i="102"/>
  <c r="Z39" i="102"/>
  <c r="V46" i="102"/>
  <c r="H12" i="103"/>
  <c r="Z23" i="103"/>
  <c r="R41" i="103"/>
  <c r="Z51" i="103"/>
  <c r="X51" i="103"/>
  <c r="Z66" i="101"/>
  <c r="Z70" i="101"/>
  <c r="T69" i="101"/>
  <c r="X69" i="101" s="1"/>
  <c r="L14" i="103"/>
  <c r="N14" i="103" s="1"/>
  <c r="X41" i="103"/>
  <c r="Z41" i="103" s="1"/>
  <c r="F44" i="103"/>
  <c r="N55" i="101"/>
  <c r="F66" i="103"/>
  <c r="R14" i="98"/>
  <c r="R16" i="98"/>
  <c r="R18" i="98"/>
  <c r="R20" i="98"/>
  <c r="L52" i="100"/>
  <c r="N22" i="101"/>
  <c r="Z38" i="101"/>
  <c r="N44" i="101"/>
  <c r="X60" i="101"/>
  <c r="Z60" i="101" s="1"/>
  <c r="X70" i="101"/>
  <c r="F19" i="102"/>
  <c r="F40" i="102"/>
  <c r="F64" i="105"/>
  <c r="F56" i="105"/>
  <c r="F55" i="105"/>
  <c r="F70" i="105"/>
  <c r="F66" i="105"/>
  <c r="F65" i="105"/>
  <c r="F58" i="105"/>
  <c r="F79" i="105"/>
  <c r="F78" i="105"/>
  <c r="F71" i="105"/>
  <c r="F67" i="105"/>
  <c r="F74" i="105"/>
  <c r="F60" i="105"/>
  <c r="F39" i="105"/>
  <c r="F35" i="105"/>
  <c r="F34" i="105"/>
  <c r="D21" i="105"/>
  <c r="F50" i="105"/>
  <c r="F49" i="105"/>
  <c r="F30" i="105"/>
  <c r="F26" i="105"/>
  <c r="F75" i="105"/>
  <c r="F85" i="105"/>
  <c r="F69" i="105"/>
  <c r="F61" i="105"/>
  <c r="F40" i="105"/>
  <c r="F36" i="105"/>
  <c r="L12" i="105"/>
  <c r="N12" i="105" s="1"/>
  <c r="F51" i="105"/>
  <c r="F31" i="105"/>
  <c r="F27" i="105"/>
  <c r="F76" i="105"/>
  <c r="F72" i="105"/>
  <c r="F62" i="105"/>
  <c r="F57" i="105"/>
  <c r="F52" i="105"/>
  <c r="F42" i="105"/>
  <c r="F41" i="105"/>
  <c r="F18" i="105"/>
  <c r="F17" i="105"/>
  <c r="F81" i="105"/>
  <c r="F37" i="105"/>
  <c r="F77" i="105"/>
  <c r="F44" i="105"/>
  <c r="F43" i="105"/>
  <c r="F32" i="105"/>
  <c r="F28" i="105"/>
  <c r="F53" i="105"/>
  <c r="F19" i="105"/>
  <c r="F48" i="105"/>
  <c r="F47" i="105"/>
  <c r="F23" i="105"/>
  <c r="F21" i="105"/>
  <c r="F33" i="105"/>
  <c r="F63" i="105"/>
  <c r="F46" i="105"/>
  <c r="F25" i="105"/>
  <c r="F54" i="105"/>
  <c r="F73" i="105"/>
  <c r="F68" i="105"/>
  <c r="F45" i="105"/>
  <c r="F29" i="105"/>
  <c r="F38" i="105"/>
  <c r="J32" i="102"/>
  <c r="J42" i="102"/>
  <c r="J44" i="102"/>
  <c r="R48" i="102"/>
  <c r="R51" i="102"/>
  <c r="T12" i="103"/>
  <c r="N51" i="103"/>
  <c r="N23" i="104"/>
  <c r="J29" i="104"/>
  <c r="F31" i="104"/>
  <c r="F30" i="104"/>
  <c r="F22" i="104"/>
  <c r="F20" i="104"/>
  <c r="D20" i="104"/>
  <c r="F44" i="104"/>
  <c r="F42" i="104"/>
  <c r="F33" i="104"/>
  <c r="F32" i="104"/>
  <c r="F25" i="104"/>
  <c r="F46" i="104"/>
  <c r="F35" i="104"/>
  <c r="F34" i="104"/>
  <c r="F26" i="104"/>
  <c r="F51" i="104"/>
  <c r="F48" i="104"/>
  <c r="F37" i="104"/>
  <c r="F36" i="104"/>
  <c r="F17" i="104"/>
  <c r="F16" i="104"/>
  <c r="F40" i="104"/>
  <c r="F39" i="104"/>
  <c r="F24" i="104"/>
  <c r="F23" i="104"/>
  <c r="P12" i="105"/>
  <c r="Z15" i="105"/>
  <c r="N24" i="105"/>
  <c r="L24" i="105"/>
  <c r="N53" i="105"/>
  <c r="T55" i="109"/>
  <c r="J28" i="102"/>
  <c r="R31" i="102"/>
  <c r="R32" i="102"/>
  <c r="J38" i="102"/>
  <c r="R42" i="102"/>
  <c r="R44" i="102"/>
  <c r="N49" i="103"/>
  <c r="L12" i="104"/>
  <c r="J22" i="104"/>
  <c r="F38" i="104"/>
  <c r="T12" i="105"/>
  <c r="N45" i="105"/>
  <c r="P16" i="102"/>
  <c r="R20" i="102"/>
  <c r="J23" i="102"/>
  <c r="R24" i="102"/>
  <c r="J27" i="102"/>
  <c r="J37" i="102"/>
  <c r="R40" i="102"/>
  <c r="Z55" i="103"/>
  <c r="X78" i="103"/>
  <c r="T12" i="104"/>
  <c r="Z41" i="105"/>
  <c r="X41" i="105"/>
  <c r="N12" i="102"/>
  <c r="R14" i="102"/>
  <c r="R16" i="102"/>
  <c r="R18" i="102"/>
  <c r="R29" i="102"/>
  <c r="R30" i="102"/>
  <c r="J36" i="102"/>
  <c r="X49" i="103"/>
  <c r="Z49" i="103" s="1"/>
  <c r="Z14" i="104"/>
  <c r="F28" i="104"/>
  <c r="R19" i="102"/>
  <c r="J35" i="102"/>
  <c r="R38" i="102"/>
  <c r="R39" i="102"/>
  <c r="F18" i="104"/>
  <c r="N14" i="105"/>
  <c r="X17" i="105"/>
  <c r="Z17" i="105" s="1"/>
  <c r="X51" i="105"/>
  <c r="Z51" i="105" s="1"/>
  <c r="J34" i="102"/>
  <c r="J48" i="102"/>
  <c r="J51" i="102"/>
  <c r="X63" i="103"/>
  <c r="Z63" i="103" s="1"/>
  <c r="J42" i="104"/>
  <c r="J32" i="104"/>
  <c r="J33" i="104"/>
  <c r="J25" i="104"/>
  <c r="J46" i="104"/>
  <c r="J34" i="104"/>
  <c r="J35" i="104"/>
  <c r="J36" i="104"/>
  <c r="J26" i="104"/>
  <c r="J16" i="104"/>
  <c r="J37" i="104"/>
  <c r="J27" i="104"/>
  <c r="J17" i="104"/>
  <c r="J28" i="104"/>
  <c r="N12" i="104"/>
  <c r="J38" i="104"/>
  <c r="J18" i="104"/>
  <c r="J31" i="104"/>
  <c r="H20" i="104"/>
  <c r="L14" i="105"/>
  <c r="N23" i="105"/>
  <c r="L23" i="105"/>
  <c r="N16" i="107"/>
  <c r="R36" i="102"/>
  <c r="R37" i="102"/>
  <c r="X32" i="104"/>
  <c r="Z32" i="104" s="1"/>
  <c r="F27" i="104"/>
  <c r="N39" i="104"/>
  <c r="L39" i="104"/>
  <c r="J21" i="102"/>
  <c r="R22" i="102"/>
  <c r="J25" i="102"/>
  <c r="R26" i="102"/>
  <c r="R34" i="102"/>
  <c r="Z43" i="103"/>
  <c r="R51" i="104"/>
  <c r="R48" i="104"/>
  <c r="R36" i="104"/>
  <c r="R35" i="104"/>
  <c r="R16" i="104"/>
  <c r="R27" i="104"/>
  <c r="R26" i="104"/>
  <c r="R37" i="104"/>
  <c r="R17" i="104"/>
  <c r="R28" i="104"/>
  <c r="X12" i="104"/>
  <c r="R39" i="104"/>
  <c r="R38" i="104"/>
  <c r="R23" i="104"/>
  <c r="R18" i="104"/>
  <c r="R30" i="104"/>
  <c r="R29" i="104"/>
  <c r="R22" i="104"/>
  <c r="R20" i="104"/>
  <c r="R40" i="104"/>
  <c r="R44" i="104"/>
  <c r="R42" i="104"/>
  <c r="R32" i="104"/>
  <c r="R31" i="104"/>
  <c r="R46" i="104"/>
  <c r="Z16" i="104"/>
  <c r="J20" i="104"/>
  <c r="J23" i="104"/>
  <c r="R25" i="104"/>
  <c r="F29" i="104"/>
  <c r="Z34" i="104"/>
  <c r="J39" i="104"/>
  <c r="Z23" i="105"/>
  <c r="Z76" i="105"/>
  <c r="H12" i="107"/>
  <c r="N13" i="107"/>
  <c r="V17" i="107"/>
  <c r="T20" i="107"/>
  <c r="N23" i="107"/>
  <c r="Z42" i="107"/>
  <c r="N46" i="107"/>
  <c r="Z71" i="107"/>
  <c r="V68" i="107"/>
  <c r="V74" i="107"/>
  <c r="V72" i="107"/>
  <c r="V67" i="107"/>
  <c r="V55" i="107"/>
  <c r="V43" i="107"/>
  <c r="V31" i="107"/>
  <c r="V66" i="107"/>
  <c r="V62" i="107"/>
  <c r="V46" i="107"/>
  <c r="V22" i="107"/>
  <c r="V20" i="107"/>
  <c r="V18" i="107"/>
  <c r="V57" i="107"/>
  <c r="V45" i="107"/>
  <c r="V37" i="107"/>
  <c r="V33" i="107"/>
  <c r="V69" i="107"/>
  <c r="V48" i="107"/>
  <c r="V32" i="107"/>
  <c r="V28" i="107"/>
  <c r="V24" i="107"/>
  <c r="V63" i="107"/>
  <c r="V47" i="107"/>
  <c r="V58" i="107"/>
  <c r="V50" i="107"/>
  <c r="V38" i="107"/>
  <c r="V34" i="107"/>
  <c r="V49" i="107"/>
  <c r="V29" i="107"/>
  <c r="V25" i="107"/>
  <c r="V71" i="107"/>
  <c r="V70" i="107"/>
  <c r="V64" i="107"/>
  <c r="V60" i="107"/>
  <c r="V59" i="107"/>
  <c r="V51" i="107"/>
  <c r="V39" i="107"/>
  <c r="V56" i="107"/>
  <c r="V44" i="107"/>
  <c r="V36" i="107"/>
  <c r="V23" i="107"/>
  <c r="R52" i="107"/>
  <c r="Z54" i="107"/>
  <c r="X54" i="107"/>
  <c r="R78" i="107"/>
  <c r="N22" i="107"/>
  <c r="R25" i="107"/>
  <c r="V27" i="107"/>
  <c r="R39" i="107"/>
  <c r="V41" i="107"/>
  <c r="R50" i="107"/>
  <c r="Z52" i="107"/>
  <c r="V54" i="107"/>
  <c r="V78" i="107"/>
  <c r="X13" i="104"/>
  <c r="Z13" i="104" s="1"/>
  <c r="L13" i="105"/>
  <c r="N13" i="105" s="1"/>
  <c r="R16" i="107"/>
  <c r="R18" i="107"/>
  <c r="R29" i="107"/>
  <c r="V52" i="107"/>
  <c r="H52" i="109"/>
  <c r="L53" i="109"/>
  <c r="N53" i="109" s="1"/>
  <c r="L51" i="105"/>
  <c r="N51" i="105" s="1"/>
  <c r="Z16" i="107"/>
  <c r="L33" i="107"/>
  <c r="N33" i="107" s="1"/>
  <c r="V61" i="107"/>
  <c r="R72" i="107"/>
  <c r="R36" i="107"/>
  <c r="R80" i="107"/>
  <c r="R56" i="107"/>
  <c r="R55" i="107"/>
  <c r="R44" i="107"/>
  <c r="R43" i="107"/>
  <c r="R31" i="107"/>
  <c r="R27" i="107"/>
  <c r="R67" i="107"/>
  <c r="R66" i="107"/>
  <c r="R62" i="107"/>
  <c r="R23" i="107"/>
  <c r="R83" i="107"/>
  <c r="R74" i="107"/>
  <c r="R57" i="107"/>
  <c r="R46" i="107"/>
  <c r="R45" i="107"/>
  <c r="R37" i="107"/>
  <c r="R22" i="107"/>
  <c r="R20" i="107"/>
  <c r="R68" i="107"/>
  <c r="R33" i="107"/>
  <c r="R32" i="107"/>
  <c r="R28" i="107"/>
  <c r="R24" i="107"/>
  <c r="R76" i="107"/>
  <c r="R69" i="107"/>
  <c r="R63" i="107"/>
  <c r="R48" i="107"/>
  <c r="R47" i="107"/>
  <c r="R58" i="107"/>
  <c r="R38" i="107"/>
  <c r="R34" i="107"/>
  <c r="R70" i="107"/>
  <c r="R64" i="107"/>
  <c r="R65" i="107"/>
  <c r="R61" i="107"/>
  <c r="R54" i="107"/>
  <c r="R53" i="107"/>
  <c r="R42" i="107"/>
  <c r="R41" i="107"/>
  <c r="R17" i="107"/>
  <c r="R49" i="107"/>
  <c r="R59" i="107"/>
  <c r="F15" i="109"/>
  <c r="L57" i="105"/>
  <c r="N57" i="105" s="1"/>
  <c r="X12" i="107"/>
  <c r="Z12" i="107" s="1"/>
  <c r="X23" i="104"/>
  <c r="Z23" i="104" s="1"/>
  <c r="X39" i="104"/>
  <c r="Z39" i="104" s="1"/>
  <c r="X13" i="105"/>
  <c r="Z13" i="105" s="1"/>
  <c r="L17" i="105"/>
  <c r="N17" i="105" s="1"/>
  <c r="X23" i="105"/>
  <c r="L41" i="105"/>
  <c r="N41" i="105" s="1"/>
  <c r="X47" i="105"/>
  <c r="Z65" i="105"/>
  <c r="R26" i="107"/>
  <c r="R51" i="107"/>
  <c r="N69" i="107"/>
  <c r="L69" i="107"/>
  <c r="P35" i="108"/>
  <c r="X16" i="108"/>
  <c r="F53" i="109"/>
  <c r="F57" i="109"/>
  <c r="F52" i="109"/>
  <c r="F43" i="109"/>
  <c r="F42" i="109"/>
  <c r="F34" i="109"/>
  <c r="F45" i="109"/>
  <c r="F44" i="109"/>
  <c r="F29" i="109"/>
  <c r="F25" i="109"/>
  <c r="F21" i="109"/>
  <c r="F20" i="109"/>
  <c r="F47" i="109"/>
  <c r="F46" i="109"/>
  <c r="F35" i="109"/>
  <c r="F31" i="109"/>
  <c r="F30" i="109"/>
  <c r="F26" i="109"/>
  <c r="F22" i="109"/>
  <c r="F37" i="109"/>
  <c r="F36" i="109"/>
  <c r="F48" i="109"/>
  <c r="F32" i="109"/>
  <c r="L12" i="109"/>
  <c r="F39" i="109"/>
  <c r="F38" i="109"/>
  <c r="F27" i="109"/>
  <c r="F23" i="109"/>
  <c r="F28" i="109"/>
  <c r="F24" i="109"/>
  <c r="F49" i="109"/>
  <c r="F17" i="109"/>
  <c r="F41" i="109"/>
  <c r="D17" i="109"/>
  <c r="F33" i="109"/>
  <c r="F19" i="109"/>
  <c r="F40" i="109"/>
  <c r="Z53" i="105"/>
  <c r="X81" i="105"/>
  <c r="R30" i="107"/>
  <c r="R40" i="107"/>
  <c r="T35" i="108"/>
  <c r="Z16" i="108"/>
  <c r="Z31" i="108"/>
  <c r="J57" i="109"/>
  <c r="J44" i="109"/>
  <c r="J34" i="109"/>
  <c r="J20" i="109"/>
  <c r="J45" i="109"/>
  <c r="J29" i="109"/>
  <c r="J25" i="109"/>
  <c r="J21" i="109"/>
  <c r="J19" i="109"/>
  <c r="J17" i="109"/>
  <c r="J15" i="109"/>
  <c r="J46" i="109"/>
  <c r="J30" i="109"/>
  <c r="J47" i="109"/>
  <c r="J36" i="109"/>
  <c r="J26" i="109"/>
  <c r="J22" i="109"/>
  <c r="J37" i="109"/>
  <c r="J48" i="109"/>
  <c r="J38" i="109"/>
  <c r="J32" i="109"/>
  <c r="N12" i="109"/>
  <c r="J49" i="109"/>
  <c r="J39" i="109"/>
  <c r="J27" i="109"/>
  <c r="J23" i="109"/>
  <c r="J50" i="109"/>
  <c r="J40" i="109"/>
  <c r="J43" i="109"/>
  <c r="H17" i="109"/>
  <c r="J41" i="109"/>
  <c r="J52" i="109"/>
  <c r="J33" i="109"/>
  <c r="J35" i="109"/>
  <c r="J31" i="109"/>
  <c r="J42" i="109"/>
  <c r="J28" i="109"/>
  <c r="J24" i="109"/>
  <c r="D12" i="107"/>
  <c r="Z14" i="107"/>
  <c r="P20" i="107"/>
  <c r="V30" i="107"/>
  <c r="Z40" i="107"/>
  <c r="V42" i="107"/>
  <c r="R71" i="107"/>
  <c r="V19" i="108"/>
  <c r="J33" i="108"/>
  <c r="V35" i="108"/>
  <c r="L30" i="109"/>
  <c r="N30" i="109" s="1"/>
  <c r="F26" i="108"/>
  <c r="F22" i="108"/>
  <c r="F29" i="108"/>
  <c r="F35" i="108"/>
  <c r="F33" i="108"/>
  <c r="F24" i="108"/>
  <c r="F20" i="108"/>
  <c r="F19" i="108"/>
  <c r="F37" i="108"/>
  <c r="F32" i="108"/>
  <c r="F25" i="108"/>
  <c r="F28" i="108"/>
  <c r="V39" i="108"/>
  <c r="V38" i="109"/>
  <c r="V26" i="109"/>
  <c r="V22" i="109"/>
  <c r="V49" i="109"/>
  <c r="V37" i="109"/>
  <c r="V48" i="109"/>
  <c r="V40" i="109"/>
  <c r="V32" i="109"/>
  <c r="V55" i="109"/>
  <c r="V53" i="109"/>
  <c r="V52" i="109"/>
  <c r="V50" i="109"/>
  <c r="V42" i="109"/>
  <c r="V41" i="109"/>
  <c r="V33" i="109"/>
  <c r="V44" i="109"/>
  <c r="V28" i="109"/>
  <c r="V24" i="109"/>
  <c r="V20" i="109"/>
  <c r="V57" i="109"/>
  <c r="V43" i="109"/>
  <c r="V19" i="109"/>
  <c r="V17" i="109"/>
  <c r="V15" i="109"/>
  <c r="V46" i="109"/>
  <c r="V34" i="109"/>
  <c r="V30" i="109"/>
  <c r="J27" i="108"/>
  <c r="J28" i="108"/>
  <c r="N12" i="108"/>
  <c r="J32" i="108"/>
  <c r="J24" i="108"/>
  <c r="J20" i="108"/>
  <c r="J18" i="108"/>
  <c r="J16" i="108"/>
  <c r="J14" i="108"/>
  <c r="J37" i="108"/>
  <c r="J31" i="108"/>
  <c r="J25" i="108"/>
  <c r="F31" i="108"/>
  <c r="Z30" i="109"/>
  <c r="N42" i="109"/>
  <c r="L12" i="108"/>
  <c r="V14" i="108"/>
  <c r="J22" i="108"/>
  <c r="V23" i="108"/>
  <c r="V33" i="108"/>
  <c r="F42" i="108"/>
  <c r="X15" i="109"/>
  <c r="Z36" i="109"/>
  <c r="X40" i="109"/>
  <c r="R35" i="108"/>
  <c r="R33" i="108"/>
  <c r="R19" i="108"/>
  <c r="R32" i="108"/>
  <c r="R29" i="108"/>
  <c r="R18" i="108"/>
  <c r="R16" i="108"/>
  <c r="R14" i="108"/>
  <c r="R25" i="108"/>
  <c r="R21" i="108"/>
  <c r="R20" i="108"/>
  <c r="V25" i="108"/>
  <c r="F27" i="108"/>
  <c r="R28" i="108"/>
  <c r="V32" i="108"/>
  <c r="X33" i="108"/>
  <c r="Z33" i="108" s="1"/>
  <c r="V36" i="109"/>
  <c r="L42" i="109"/>
  <c r="V31" i="108"/>
  <c r="V29" i="108"/>
  <c r="V24" i="108"/>
  <c r="V20" i="108"/>
  <c r="V27" i="108"/>
  <c r="V26" i="108"/>
  <c r="F18" i="108"/>
  <c r="J19" i="108"/>
  <c r="V28" i="108"/>
  <c r="P31" i="108"/>
  <c r="X31" i="108" s="1"/>
  <c r="J42" i="108"/>
  <c r="V23" i="109"/>
  <c r="V27" i="109"/>
  <c r="X46" i="109"/>
  <c r="X12" i="108"/>
  <c r="D16" i="108"/>
  <c r="R22" i="108"/>
  <c r="R31" i="108"/>
  <c r="J35" i="108"/>
  <c r="R42" i="108"/>
  <c r="V25" i="109"/>
  <c r="V29" i="109"/>
  <c r="Z42" i="109"/>
  <c r="L42" i="107"/>
  <c r="N42" i="107" s="1"/>
  <c r="X48" i="107"/>
  <c r="Z48" i="107" s="1"/>
  <c r="L54" i="107"/>
  <c r="N54" i="107" s="1"/>
  <c r="Z12" i="108"/>
  <c r="F16" i="108"/>
  <c r="V22" i="108"/>
  <c r="Z19" i="109"/>
  <c r="V21" i="109"/>
  <c r="V31" i="109"/>
  <c r="V35" i="109"/>
  <c r="Z46" i="109"/>
  <c r="H16" i="108"/>
  <c r="F21" i="108"/>
  <c r="J26" i="108"/>
  <c r="J29" i="108"/>
  <c r="F39" i="108"/>
  <c r="V42" i="108"/>
  <c r="V39" i="109"/>
  <c r="N49" i="109"/>
  <c r="Z52" i="109"/>
  <c r="F14" i="108"/>
  <c r="J21" i="108"/>
  <c r="P12" i="109"/>
  <c r="X13" i="109"/>
  <c r="Z13" i="109" s="1"/>
  <c r="J74" i="103" l="1"/>
  <c r="J62" i="103"/>
  <c r="J54" i="103"/>
  <c r="J76" i="103"/>
  <c r="J68" i="103"/>
  <c r="J64" i="103"/>
  <c r="J69" i="103"/>
  <c r="J65" i="103"/>
  <c r="J59" i="103"/>
  <c r="J47" i="103"/>
  <c r="J82" i="103"/>
  <c r="J60" i="103"/>
  <c r="J48" i="103"/>
  <c r="J46" i="103"/>
  <c r="J75" i="103"/>
  <c r="J51" i="103"/>
  <c r="J40" i="103"/>
  <c r="J36" i="103"/>
  <c r="J72" i="103"/>
  <c r="J56" i="103"/>
  <c r="J41" i="103"/>
  <c r="J31" i="103"/>
  <c r="J27" i="103"/>
  <c r="J17" i="103"/>
  <c r="J52" i="103"/>
  <c r="J42" i="103"/>
  <c r="J18" i="103"/>
  <c r="J67" i="103"/>
  <c r="J37" i="103"/>
  <c r="J73" i="103"/>
  <c r="J63" i="103"/>
  <c r="J57" i="103"/>
  <c r="J53" i="103"/>
  <c r="J43" i="103"/>
  <c r="J32" i="103"/>
  <c r="J28" i="103"/>
  <c r="J49" i="103"/>
  <c r="J19" i="103"/>
  <c r="J61" i="103"/>
  <c r="J58" i="103"/>
  <c r="J38" i="103"/>
  <c r="J24" i="103"/>
  <c r="J70" i="103"/>
  <c r="J44" i="103"/>
  <c r="J33" i="103"/>
  <c r="J29" i="103"/>
  <c r="J25" i="103"/>
  <c r="J23" i="103"/>
  <c r="J78" i="103"/>
  <c r="J30" i="103"/>
  <c r="J26" i="103"/>
  <c r="J66" i="103"/>
  <c r="J35" i="103"/>
  <c r="J45" i="103"/>
  <c r="J39" i="103"/>
  <c r="J71" i="103"/>
  <c r="J21" i="103"/>
  <c r="H21" i="103"/>
  <c r="J55" i="103"/>
  <c r="J34" i="103"/>
  <c r="J50" i="103"/>
  <c r="T68" i="79"/>
  <c r="F69" i="69"/>
  <c r="F66" i="69"/>
  <c r="F55" i="69"/>
  <c r="F31" i="69"/>
  <c r="F27" i="69"/>
  <c r="F38" i="69"/>
  <c r="F37" i="69"/>
  <c r="F18" i="69"/>
  <c r="F49" i="69"/>
  <c r="F33" i="69"/>
  <c r="F32" i="69"/>
  <c r="F56" i="69"/>
  <c r="F40" i="69"/>
  <c r="F39" i="69"/>
  <c r="F28" i="69"/>
  <c r="F24" i="69"/>
  <c r="F23" i="69"/>
  <c r="F51" i="69"/>
  <c r="F50" i="69"/>
  <c r="F22" i="69"/>
  <c r="F20" i="69"/>
  <c r="F58" i="69"/>
  <c r="F57" i="69"/>
  <c r="F42" i="69"/>
  <c r="F41" i="69"/>
  <c r="F34" i="69"/>
  <c r="D20" i="69"/>
  <c r="F29" i="69"/>
  <c r="F25" i="69"/>
  <c r="F62" i="69"/>
  <c r="F60" i="69"/>
  <c r="F48" i="69"/>
  <c r="F47" i="69"/>
  <c r="F36" i="69"/>
  <c r="L12" i="69"/>
  <c r="N12" i="69" s="1"/>
  <c r="F53" i="69"/>
  <c r="F30" i="69"/>
  <c r="F45" i="69"/>
  <c r="F43" i="69"/>
  <c r="F16" i="69"/>
  <c r="F54" i="69"/>
  <c r="F52" i="69"/>
  <c r="F26" i="69"/>
  <c r="F64" i="69"/>
  <c r="F17" i="69"/>
  <c r="F35" i="69"/>
  <c r="F44" i="69"/>
  <c r="F46" i="69"/>
  <c r="L92" i="51"/>
  <c r="N92" i="51" s="1"/>
  <c r="F92" i="51"/>
  <c r="F58" i="101"/>
  <c r="F57" i="101"/>
  <c r="F18" i="101"/>
  <c r="F72" i="101"/>
  <c r="F70" i="101"/>
  <c r="F61" i="101"/>
  <c r="F60" i="101"/>
  <c r="F53" i="101"/>
  <c r="F52" i="101"/>
  <c r="F41" i="101"/>
  <c r="F40" i="101"/>
  <c r="F29" i="101"/>
  <c r="F25" i="101"/>
  <c r="F74" i="101"/>
  <c r="F69" i="101"/>
  <c r="F63" i="101"/>
  <c r="F47" i="101"/>
  <c r="F46" i="101"/>
  <c r="F31" i="101"/>
  <c r="F27" i="101"/>
  <c r="F67" i="101"/>
  <c r="F64" i="101"/>
  <c r="F54" i="101"/>
  <c r="F28" i="101"/>
  <c r="F51" i="101"/>
  <c r="F44" i="101"/>
  <c r="F37" i="101"/>
  <c r="F22" i="101"/>
  <c r="F55" i="101"/>
  <c r="F79" i="101"/>
  <c r="F65" i="101"/>
  <c r="F62" i="101"/>
  <c r="F59" i="101"/>
  <c r="F48" i="101"/>
  <c r="F35" i="101"/>
  <c r="F32" i="101"/>
  <c r="L12" i="101"/>
  <c r="F56" i="101"/>
  <c r="F26" i="101"/>
  <c r="F23" i="101"/>
  <c r="F49" i="101"/>
  <c r="F45" i="101"/>
  <c r="F38" i="101"/>
  <c r="F33" i="101"/>
  <c r="F66" i="101"/>
  <c r="F42" i="101"/>
  <c r="F16" i="101"/>
  <c r="F36" i="101"/>
  <c r="F30" i="101"/>
  <c r="F24" i="101"/>
  <c r="F17" i="101"/>
  <c r="F43" i="101"/>
  <c r="F39" i="101"/>
  <c r="F50" i="101"/>
  <c r="D20" i="101"/>
  <c r="F76" i="101"/>
  <c r="F20" i="101"/>
  <c r="F34" i="101"/>
  <c r="D26" i="85"/>
  <c r="L18" i="85"/>
  <c r="N18" i="85" s="1"/>
  <c r="D35" i="108"/>
  <c r="L16" i="108"/>
  <c r="D80" i="103"/>
  <c r="L21" i="103"/>
  <c r="T54" i="100"/>
  <c r="V19" i="100"/>
  <c r="P76" i="97"/>
  <c r="P68" i="80"/>
  <c r="V90" i="68"/>
  <c r="V74" i="68"/>
  <c r="V94" i="68"/>
  <c r="V92" i="68"/>
  <c r="V76" i="68"/>
  <c r="V68" i="68"/>
  <c r="V87" i="68"/>
  <c r="V86" i="68"/>
  <c r="V78" i="68"/>
  <c r="V98" i="68"/>
  <c r="V88" i="68"/>
  <c r="V80" i="68"/>
  <c r="V91" i="68"/>
  <c r="V83" i="68"/>
  <c r="V75" i="68"/>
  <c r="V67" i="68"/>
  <c r="T54" i="68"/>
  <c r="V72" i="68"/>
  <c r="V79" i="68"/>
  <c r="V73" i="68"/>
  <c r="V49" i="68"/>
  <c r="V41" i="68"/>
  <c r="V89" i="68"/>
  <c r="V69" i="68"/>
  <c r="V59" i="68"/>
  <c r="V66" i="68"/>
  <c r="V65" i="68"/>
  <c r="V62" i="68"/>
  <c r="V52" i="68"/>
  <c r="V44" i="68"/>
  <c r="V36" i="68"/>
  <c r="V47" i="68"/>
  <c r="V39" i="68"/>
  <c r="V85" i="68"/>
  <c r="V77" i="68"/>
  <c r="V70" i="68"/>
  <c r="V50" i="68"/>
  <c r="V42" i="68"/>
  <c r="V71" i="68"/>
  <c r="V63" i="68"/>
  <c r="V60" i="68"/>
  <c r="V56" i="68"/>
  <c r="V57" i="68"/>
  <c r="V45" i="68"/>
  <c r="V37" i="68"/>
  <c r="V84" i="68"/>
  <c r="V82" i="68"/>
  <c r="V61" i="68"/>
  <c r="V58" i="68"/>
  <c r="V46" i="68"/>
  <c r="V38" i="68"/>
  <c r="V43" i="68"/>
  <c r="V64" i="68"/>
  <c r="V51" i="68"/>
  <c r="V40" i="68"/>
  <c r="V48" i="68"/>
  <c r="V81" i="68"/>
  <c r="T66" i="69"/>
  <c r="X16" i="55"/>
  <c r="P30" i="55"/>
  <c r="X23" i="45"/>
  <c r="P88" i="45"/>
  <c r="X16" i="56"/>
  <c r="P63" i="56"/>
  <c r="V79" i="45"/>
  <c r="V59" i="45"/>
  <c r="V47" i="45"/>
  <c r="V35" i="45"/>
  <c r="V31" i="45"/>
  <c r="V27" i="45"/>
  <c r="V78" i="45"/>
  <c r="V74" i="45"/>
  <c r="V70" i="45"/>
  <c r="V62" i="45"/>
  <c r="V50" i="45"/>
  <c r="V81" i="45"/>
  <c r="V69" i="45"/>
  <c r="V61" i="45"/>
  <c r="V49" i="45"/>
  <c r="V41" i="45"/>
  <c r="V37" i="45"/>
  <c r="V80" i="45"/>
  <c r="V64" i="45"/>
  <c r="V52" i="45"/>
  <c r="V32" i="45"/>
  <c r="V28" i="45"/>
  <c r="V83" i="45"/>
  <c r="V75" i="45"/>
  <c r="V71" i="45"/>
  <c r="V63" i="45"/>
  <c r="V51" i="45"/>
  <c r="V19" i="45"/>
  <c r="V82" i="45"/>
  <c r="V66" i="45"/>
  <c r="V54" i="45"/>
  <c r="V42" i="45"/>
  <c r="V38" i="45"/>
  <c r="V65" i="45"/>
  <c r="V53" i="45"/>
  <c r="V33" i="45"/>
  <c r="V29" i="45"/>
  <c r="V86" i="45"/>
  <c r="V84" i="45"/>
  <c r="V76" i="45"/>
  <c r="V72" i="45"/>
  <c r="V67" i="45"/>
  <c r="V55" i="45"/>
  <c r="V43" i="45"/>
  <c r="V39" i="45"/>
  <c r="V58" i="45"/>
  <c r="V46" i="45"/>
  <c r="V34" i="45"/>
  <c r="V30" i="45"/>
  <c r="V26" i="45"/>
  <c r="V90" i="45"/>
  <c r="V68" i="45"/>
  <c r="V60" i="45"/>
  <c r="V48" i="45"/>
  <c r="V40" i="45"/>
  <c r="V36" i="45"/>
  <c r="T23" i="45"/>
  <c r="V23" i="45" s="1"/>
  <c r="Z12" i="45"/>
  <c r="V25" i="45"/>
  <c r="V73" i="45"/>
  <c r="V57" i="45"/>
  <c r="V45" i="45"/>
  <c r="V20" i="45"/>
  <c r="V56" i="45"/>
  <c r="V44" i="45"/>
  <c r="V21" i="45"/>
  <c r="V77" i="45"/>
  <c r="P55" i="48"/>
  <c r="X17" i="48"/>
  <c r="Z118" i="39"/>
  <c r="J89" i="33"/>
  <c r="J83" i="33"/>
  <c r="J77" i="33"/>
  <c r="J71" i="33"/>
  <c r="J63" i="33"/>
  <c r="J53" i="33"/>
  <c r="J47" i="33"/>
  <c r="J43" i="33"/>
  <c r="J82" i="33"/>
  <c r="J78" i="33"/>
  <c r="J64" i="33"/>
  <c r="J54" i="33"/>
  <c r="J48" i="33"/>
  <c r="J34" i="33"/>
  <c r="J30" i="33"/>
  <c r="J81" i="33"/>
  <c r="J65" i="33"/>
  <c r="J55" i="33"/>
  <c r="J49" i="33"/>
  <c r="J39" i="33"/>
  <c r="J80" i="33"/>
  <c r="J72" i="33"/>
  <c r="J66" i="33"/>
  <c r="J56" i="33"/>
  <c r="J44" i="33"/>
  <c r="J40" i="33"/>
  <c r="J38" i="33"/>
  <c r="J36" i="33"/>
  <c r="J67" i="33"/>
  <c r="J57" i="33"/>
  <c r="H36" i="33"/>
  <c r="J31" i="33"/>
  <c r="J68" i="33"/>
  <c r="J58" i="33"/>
  <c r="J50" i="33"/>
  <c r="J73" i="33"/>
  <c r="J69" i="33"/>
  <c r="J59" i="33"/>
  <c r="J45" i="33"/>
  <c r="J41" i="33"/>
  <c r="J51" i="33"/>
  <c r="J74" i="33"/>
  <c r="J70" i="33"/>
  <c r="J46" i="33"/>
  <c r="J42" i="33"/>
  <c r="J84" i="33"/>
  <c r="J76" i="33"/>
  <c r="J62" i="33"/>
  <c r="J52" i="33"/>
  <c r="N12" i="33"/>
  <c r="J32" i="33"/>
  <c r="J61" i="33"/>
  <c r="J29" i="33"/>
  <c r="J75" i="33"/>
  <c r="J60" i="33"/>
  <c r="J33" i="33"/>
  <c r="J85" i="33"/>
  <c r="D87" i="33"/>
  <c r="H140" i="30"/>
  <c r="J74" i="30"/>
  <c r="N261" i="18"/>
  <c r="T255" i="12"/>
  <c r="X16" i="6"/>
  <c r="P22" i="6"/>
  <c r="Z16" i="6"/>
  <c r="T22" i="6"/>
  <c r="T27" i="53"/>
  <c r="Z18" i="53"/>
  <c r="T27" i="49"/>
  <c r="Z18" i="49"/>
  <c r="X18" i="49"/>
  <c r="P27" i="49"/>
  <c r="T27" i="47"/>
  <c r="Z18" i="47"/>
  <c r="L18" i="44"/>
  <c r="D27" i="44"/>
  <c r="H27" i="41"/>
  <c r="N18" i="41"/>
  <c r="T27" i="40"/>
  <c r="Z18" i="40"/>
  <c r="X18" i="31"/>
  <c r="P27" i="31"/>
  <c r="T27" i="31"/>
  <c r="Z18" i="31"/>
  <c r="P27" i="29"/>
  <c r="X18" i="29"/>
  <c r="H27" i="22"/>
  <c r="N18" i="22"/>
  <c r="H27" i="19"/>
  <c r="N18" i="19"/>
  <c r="X18" i="17"/>
  <c r="P27" i="17"/>
  <c r="H27" i="14"/>
  <c r="N18" i="14"/>
  <c r="T27" i="7"/>
  <c r="Z18" i="7"/>
  <c r="L18" i="10"/>
  <c r="D27" i="10"/>
  <c r="L18" i="7"/>
  <c r="D27" i="7"/>
  <c r="L18" i="13"/>
  <c r="D27" i="13"/>
  <c r="H27" i="5"/>
  <c r="N18" i="5"/>
  <c r="P39" i="108"/>
  <c r="X35" i="108"/>
  <c r="L21" i="105"/>
  <c r="D83" i="105"/>
  <c r="J65" i="101"/>
  <c r="J49" i="101"/>
  <c r="J37" i="101"/>
  <c r="J33" i="101"/>
  <c r="J23" i="101"/>
  <c r="J74" i="101"/>
  <c r="J42" i="101"/>
  <c r="J43" i="101"/>
  <c r="J35" i="101"/>
  <c r="J62" i="101"/>
  <c r="J64" i="101"/>
  <c r="J58" i="101"/>
  <c r="J48" i="101"/>
  <c r="J32" i="101"/>
  <c r="J18" i="101"/>
  <c r="J55" i="101"/>
  <c r="J51" i="101"/>
  <c r="J40" i="101"/>
  <c r="J59" i="101"/>
  <c r="J56" i="101"/>
  <c r="J41" i="101"/>
  <c r="J38" i="101"/>
  <c r="J29" i="101"/>
  <c r="J26" i="101"/>
  <c r="J69" i="101"/>
  <c r="J52" i="101"/>
  <c r="J45" i="101"/>
  <c r="J66" i="101"/>
  <c r="J16" i="101"/>
  <c r="J70" i="101"/>
  <c r="J60" i="101"/>
  <c r="J63" i="101"/>
  <c r="J57" i="101"/>
  <c r="J53" i="101"/>
  <c r="J50" i="101"/>
  <c r="J36" i="101"/>
  <c r="J30" i="101"/>
  <c r="J27" i="101"/>
  <c r="J24" i="101"/>
  <c r="J20" i="101"/>
  <c r="J46" i="101"/>
  <c r="J39" i="101"/>
  <c r="H20" i="101"/>
  <c r="J67" i="101"/>
  <c r="J54" i="101"/>
  <c r="J47" i="101"/>
  <c r="J44" i="101"/>
  <c r="J31" i="101"/>
  <c r="J28" i="101"/>
  <c r="J25" i="101"/>
  <c r="J22" i="101"/>
  <c r="J61" i="101"/>
  <c r="N12" i="101"/>
  <c r="J17" i="101"/>
  <c r="J34" i="101"/>
  <c r="H45" i="67"/>
  <c r="N16" i="67"/>
  <c r="Z16" i="55"/>
  <c r="T30" i="55"/>
  <c r="P101" i="51"/>
  <c r="R97" i="51"/>
  <c r="L23" i="45"/>
  <c r="D88" i="45"/>
  <c r="R109" i="42"/>
  <c r="R106" i="42"/>
  <c r="R99" i="42"/>
  <c r="R98" i="42"/>
  <c r="R82" i="42"/>
  <c r="R67" i="42"/>
  <c r="R66" i="42"/>
  <c r="R115" i="42"/>
  <c r="R108" i="42"/>
  <c r="R93" i="42"/>
  <c r="R89" i="42"/>
  <c r="R77" i="42"/>
  <c r="R58" i="42"/>
  <c r="R57" i="42"/>
  <c r="R50" i="42"/>
  <c r="R49" i="42"/>
  <c r="R101" i="42"/>
  <c r="R100" i="42"/>
  <c r="R69" i="42"/>
  <c r="R68" i="42"/>
  <c r="R83" i="42"/>
  <c r="R60" i="42"/>
  <c r="R59" i="42"/>
  <c r="R102" i="42"/>
  <c r="R94" i="42"/>
  <c r="R90" i="42"/>
  <c r="R79" i="42"/>
  <c r="R78" i="42"/>
  <c r="R71" i="42"/>
  <c r="R70" i="42"/>
  <c r="R62" i="42"/>
  <c r="R61" i="42"/>
  <c r="R54" i="42"/>
  <c r="R53" i="42"/>
  <c r="R85" i="42"/>
  <c r="R84" i="42"/>
  <c r="R80" i="42"/>
  <c r="R73" i="42"/>
  <c r="R72" i="42"/>
  <c r="R87" i="42"/>
  <c r="R86" i="42"/>
  <c r="R74" i="42"/>
  <c r="R81" i="42"/>
  <c r="R110" i="42"/>
  <c r="R76" i="42"/>
  <c r="R75" i="42"/>
  <c r="R105" i="42"/>
  <c r="R103" i="42"/>
  <c r="R92" i="42"/>
  <c r="R43" i="42"/>
  <c r="R39" i="42"/>
  <c r="R36" i="42"/>
  <c r="R32" i="42"/>
  <c r="R52" i="42"/>
  <c r="R40" i="42"/>
  <c r="R23" i="42"/>
  <c r="R96" i="42"/>
  <c r="R63" i="42"/>
  <c r="R46" i="42"/>
  <c r="R37" i="42"/>
  <c r="R33" i="42"/>
  <c r="R91" i="42"/>
  <c r="R65" i="42"/>
  <c r="R55" i="42"/>
  <c r="R44" i="42"/>
  <c r="R24" i="42"/>
  <c r="R41" i="42"/>
  <c r="R47" i="42"/>
  <c r="R34" i="42"/>
  <c r="R95" i="42"/>
  <c r="R38" i="42"/>
  <c r="R30" i="42"/>
  <c r="R104" i="42"/>
  <c r="R97" i="42"/>
  <c r="R48" i="42"/>
  <c r="R29" i="42"/>
  <c r="X12" i="42"/>
  <c r="Z12" i="42" s="1"/>
  <c r="R111" i="42"/>
  <c r="R88" i="42"/>
  <c r="R42" i="42"/>
  <c r="R35" i="42"/>
  <c r="R31" i="42"/>
  <c r="P27" i="42"/>
  <c r="R64" i="42"/>
  <c r="R45" i="42"/>
  <c r="R56" i="42"/>
  <c r="R51" i="42"/>
  <c r="R25" i="42"/>
  <c r="T92" i="21"/>
  <c r="T27" i="112"/>
  <c r="Z18" i="112"/>
  <c r="T27" i="110"/>
  <c r="Z18" i="110"/>
  <c r="H27" i="53"/>
  <c r="N18" i="53"/>
  <c r="X18" i="37"/>
  <c r="P27" i="37"/>
  <c r="L18" i="38"/>
  <c r="D27" i="38"/>
  <c r="L18" i="32"/>
  <c r="D27" i="32"/>
  <c r="T27" i="32"/>
  <c r="Z18" i="32"/>
  <c r="X18" i="25"/>
  <c r="P27" i="25"/>
  <c r="D27" i="26"/>
  <c r="L18" i="26"/>
  <c r="H27" i="25"/>
  <c r="N18" i="25"/>
  <c r="Z18" i="10"/>
  <c r="T27" i="10"/>
  <c r="P76" i="107"/>
  <c r="X20" i="107"/>
  <c r="F21" i="103"/>
  <c r="H76" i="97"/>
  <c r="Z20" i="95"/>
  <c r="T83" i="95"/>
  <c r="P81" i="91"/>
  <c r="X16" i="91"/>
  <c r="H68" i="80"/>
  <c r="R64" i="88"/>
  <c r="R28" i="88"/>
  <c r="R24" i="88"/>
  <c r="P20" i="88"/>
  <c r="R68" i="88"/>
  <c r="R66" i="88"/>
  <c r="R51" i="88"/>
  <c r="R40" i="88"/>
  <c r="R39" i="88"/>
  <c r="R58" i="88"/>
  <c r="R34" i="88"/>
  <c r="R42" i="88"/>
  <c r="R41" i="88"/>
  <c r="R29" i="88"/>
  <c r="R25" i="88"/>
  <c r="R70" i="88"/>
  <c r="R53" i="88"/>
  <c r="R52" i="88"/>
  <c r="R75" i="88"/>
  <c r="R72" i="88"/>
  <c r="R59" i="88"/>
  <c r="R44" i="88"/>
  <c r="R43" i="88"/>
  <c r="R35" i="88"/>
  <c r="R16" i="88"/>
  <c r="R55" i="88"/>
  <c r="R54" i="88"/>
  <c r="R46" i="88"/>
  <c r="R45" i="88"/>
  <c r="R17" i="88"/>
  <c r="R61" i="88"/>
  <c r="R60" i="88"/>
  <c r="R56" i="88"/>
  <c r="R36" i="88"/>
  <c r="R57" i="88"/>
  <c r="R50" i="88"/>
  <c r="R49" i="88"/>
  <c r="R38" i="88"/>
  <c r="R37" i="88"/>
  <c r="R33" i="88"/>
  <c r="R22" i="88"/>
  <c r="R20" i="88"/>
  <c r="R63" i="88"/>
  <c r="R31" i="88"/>
  <c r="R27" i="88"/>
  <c r="R23" i="88"/>
  <c r="R47" i="88"/>
  <c r="R32" i="88"/>
  <c r="R30" i="88"/>
  <c r="R26" i="88"/>
  <c r="R18" i="88"/>
  <c r="R62" i="88"/>
  <c r="R48" i="88"/>
  <c r="X12" i="88"/>
  <c r="Z12" i="88" s="1"/>
  <c r="X24" i="78"/>
  <c r="Z24" i="78" s="1"/>
  <c r="P58" i="78"/>
  <c r="H76" i="83"/>
  <c r="V53" i="83"/>
  <c r="V41" i="83"/>
  <c r="V67" i="83"/>
  <c r="V55" i="83"/>
  <c r="V43" i="83"/>
  <c r="V35" i="83"/>
  <c r="V68" i="83"/>
  <c r="V64" i="83"/>
  <c r="V56" i="83"/>
  <c r="V65" i="83"/>
  <c r="V57" i="83"/>
  <c r="V49" i="83"/>
  <c r="V37" i="83"/>
  <c r="V33" i="83"/>
  <c r="V38" i="83"/>
  <c r="V16" i="83"/>
  <c r="V72" i="83"/>
  <c r="V66" i="83"/>
  <c r="V78" i="83"/>
  <c r="V50" i="83"/>
  <c r="V46" i="83"/>
  <c r="V32" i="83"/>
  <c r="V74" i="83"/>
  <c r="V51" i="83"/>
  <c r="V44" i="83"/>
  <c r="V31" i="83"/>
  <c r="V28" i="83"/>
  <c r="V25" i="83"/>
  <c r="V17" i="83"/>
  <c r="V63" i="83"/>
  <c r="V60" i="83"/>
  <c r="V58" i="83"/>
  <c r="V47" i="83"/>
  <c r="V70" i="83"/>
  <c r="V54" i="83"/>
  <c r="V39" i="83"/>
  <c r="V40" i="83"/>
  <c r="V22" i="83"/>
  <c r="V18" i="83"/>
  <c r="V36" i="83"/>
  <c r="V29" i="83"/>
  <c r="V26" i="83"/>
  <c r="V23" i="83"/>
  <c r="T20" i="83"/>
  <c r="V20" i="83" s="1"/>
  <c r="V71" i="83"/>
  <c r="V48" i="83"/>
  <c r="V45" i="83"/>
  <c r="V69" i="83"/>
  <c r="V62" i="83"/>
  <c r="V42" i="83"/>
  <c r="V34" i="83"/>
  <c r="V30" i="83"/>
  <c r="V27" i="83"/>
  <c r="V24" i="83"/>
  <c r="V59" i="83"/>
  <c r="V61" i="83"/>
  <c r="V52" i="83"/>
  <c r="P27" i="82"/>
  <c r="X21" i="82"/>
  <c r="V64" i="79"/>
  <c r="L21" i="82"/>
  <c r="D27" i="82"/>
  <c r="R77" i="76"/>
  <c r="R54" i="76"/>
  <c r="R49" i="76"/>
  <c r="R45" i="76"/>
  <c r="R41" i="76"/>
  <c r="R68" i="76"/>
  <c r="R53" i="76"/>
  <c r="R51" i="76"/>
  <c r="X12" i="76"/>
  <c r="Z12" i="76" s="1"/>
  <c r="R87" i="76"/>
  <c r="R64" i="76"/>
  <c r="R63" i="76"/>
  <c r="R59" i="76"/>
  <c r="R55" i="76"/>
  <c r="P51" i="76"/>
  <c r="R79" i="76"/>
  <c r="R78" i="76"/>
  <c r="R46" i="76"/>
  <c r="R42" i="76"/>
  <c r="R70" i="76"/>
  <c r="R69" i="76"/>
  <c r="R65" i="76"/>
  <c r="R38" i="76"/>
  <c r="R95" i="76"/>
  <c r="R89" i="76"/>
  <c r="R88" i="76"/>
  <c r="R81" i="76"/>
  <c r="R80" i="76"/>
  <c r="R60" i="76"/>
  <c r="R56" i="76"/>
  <c r="R94" i="76"/>
  <c r="R72" i="76"/>
  <c r="R71" i="76"/>
  <c r="R47" i="76"/>
  <c r="R43" i="76"/>
  <c r="R39" i="76"/>
  <c r="R93" i="76"/>
  <c r="R90" i="76"/>
  <c r="R83" i="76"/>
  <c r="R82" i="76"/>
  <c r="R66" i="76"/>
  <c r="R99" i="76"/>
  <c r="R92" i="76"/>
  <c r="R74" i="76"/>
  <c r="R73" i="76"/>
  <c r="R61" i="76"/>
  <c r="R57" i="76"/>
  <c r="R86" i="76"/>
  <c r="R62" i="76"/>
  <c r="R58" i="76"/>
  <c r="R76" i="76"/>
  <c r="R48" i="76"/>
  <c r="R84" i="76"/>
  <c r="R67" i="76"/>
  <c r="R40" i="76"/>
  <c r="R85" i="76"/>
  <c r="R75" i="76"/>
  <c r="R44" i="76"/>
  <c r="T97" i="76"/>
  <c r="R105" i="74"/>
  <c r="R104" i="74"/>
  <c r="R89" i="74"/>
  <c r="R88" i="74"/>
  <c r="R76" i="74"/>
  <c r="R72" i="74"/>
  <c r="R110" i="74"/>
  <c r="R99" i="74"/>
  <c r="R63" i="74"/>
  <c r="R59" i="74"/>
  <c r="R55" i="74"/>
  <c r="R51" i="74"/>
  <c r="R109" i="74"/>
  <c r="R106" i="74"/>
  <c r="R91" i="74"/>
  <c r="R90" i="74"/>
  <c r="R82" i="74"/>
  <c r="R108" i="74"/>
  <c r="R77" i="74"/>
  <c r="R73" i="74"/>
  <c r="R114" i="74"/>
  <c r="R100" i="74"/>
  <c r="R93" i="74"/>
  <c r="R92" i="74"/>
  <c r="R64" i="74"/>
  <c r="R60" i="74"/>
  <c r="R56" i="74"/>
  <c r="R52" i="74"/>
  <c r="R83" i="74"/>
  <c r="R101" i="74"/>
  <c r="R70" i="74"/>
  <c r="R65" i="74"/>
  <c r="R61" i="74"/>
  <c r="R57" i="74"/>
  <c r="R53" i="74"/>
  <c r="R96" i="74"/>
  <c r="R98" i="74"/>
  <c r="R97" i="74"/>
  <c r="R81" i="74"/>
  <c r="R50" i="74"/>
  <c r="R75" i="74"/>
  <c r="R69" i="74"/>
  <c r="R54" i="74"/>
  <c r="X12" i="74"/>
  <c r="Z12" i="74" s="1"/>
  <c r="R95" i="74"/>
  <c r="R58" i="74"/>
  <c r="R102" i="74"/>
  <c r="R80" i="74"/>
  <c r="R62" i="74"/>
  <c r="R86" i="74"/>
  <c r="R74" i="74"/>
  <c r="R84" i="74"/>
  <c r="R78" i="74"/>
  <c r="P67" i="74"/>
  <c r="R103" i="74"/>
  <c r="R79" i="74"/>
  <c r="R71" i="74"/>
  <c r="R94" i="74"/>
  <c r="R85" i="74"/>
  <c r="R87" i="74"/>
  <c r="H70" i="58"/>
  <c r="N16" i="58"/>
  <c r="T60" i="57"/>
  <c r="Z16" i="57"/>
  <c r="L16" i="54"/>
  <c r="D22" i="54"/>
  <c r="T59" i="59"/>
  <c r="N22" i="54"/>
  <c r="H26" i="54"/>
  <c r="T55" i="48"/>
  <c r="Z17" i="48"/>
  <c r="H96" i="68"/>
  <c r="X261" i="18"/>
  <c r="R239" i="12"/>
  <c r="R231" i="12"/>
  <c r="R227" i="12"/>
  <c r="R216" i="12"/>
  <c r="R253" i="12"/>
  <c r="R210" i="12"/>
  <c r="R203" i="12"/>
  <c r="R202" i="12"/>
  <c r="R183" i="12"/>
  <c r="R182" i="12"/>
  <c r="R155" i="12"/>
  <c r="R252" i="12"/>
  <c r="R222" i="12"/>
  <c r="R221" i="12"/>
  <c r="R217" i="12"/>
  <c r="R193" i="12"/>
  <c r="R174" i="12"/>
  <c r="R173" i="12"/>
  <c r="R169" i="12"/>
  <c r="R154" i="12"/>
  <c r="R249" i="12"/>
  <c r="R234" i="12"/>
  <c r="R218" i="12"/>
  <c r="R207" i="12"/>
  <c r="R206" i="12"/>
  <c r="R195" i="12"/>
  <c r="R194" i="12"/>
  <c r="R170" i="12"/>
  <c r="R248" i="12"/>
  <c r="R242" i="12"/>
  <c r="R241" i="12"/>
  <c r="R229" i="12"/>
  <c r="R213" i="12"/>
  <c r="R186" i="12"/>
  <c r="R185" i="12"/>
  <c r="R178" i="12"/>
  <c r="R177" i="12"/>
  <c r="R166" i="12"/>
  <c r="R165" i="12"/>
  <c r="R161" i="12"/>
  <c r="R157" i="12"/>
  <c r="R246" i="12"/>
  <c r="R243" i="12"/>
  <c r="R236" i="12"/>
  <c r="R235" i="12"/>
  <c r="R219" i="12"/>
  <c r="R188" i="12"/>
  <c r="R187" i="12"/>
  <c r="R180" i="12"/>
  <c r="R179" i="12"/>
  <c r="R171" i="12"/>
  <c r="R167" i="12"/>
  <c r="R245" i="12"/>
  <c r="R230" i="12"/>
  <c r="R226" i="12"/>
  <c r="R214" i="12"/>
  <c r="R199" i="12"/>
  <c r="R198" i="12"/>
  <c r="R162" i="12"/>
  <c r="R158" i="12"/>
  <c r="R257" i="12"/>
  <c r="R201" i="12"/>
  <c r="R168" i="12"/>
  <c r="R131" i="12"/>
  <c r="R105" i="12"/>
  <c r="R251" i="12"/>
  <c r="R240" i="12"/>
  <c r="R204" i="12"/>
  <c r="R172" i="12"/>
  <c r="R159" i="12"/>
  <c r="R139" i="12"/>
  <c r="R134" i="12"/>
  <c r="R123" i="12"/>
  <c r="R102" i="12"/>
  <c r="R225" i="12"/>
  <c r="R211" i="12"/>
  <c r="R209" i="12"/>
  <c r="R191" i="12"/>
  <c r="R137" i="12"/>
  <c r="R129" i="12"/>
  <c r="R126" i="12"/>
  <c r="R112" i="12"/>
  <c r="R238" i="12"/>
  <c r="R147" i="12"/>
  <c r="R142" i="12"/>
  <c r="R132" i="12"/>
  <c r="R121" i="12"/>
  <c r="R115" i="12"/>
  <c r="R109" i="12"/>
  <c r="R220" i="12"/>
  <c r="R212" i="12"/>
  <c r="R196" i="12"/>
  <c r="R175" i="12"/>
  <c r="R164" i="12"/>
  <c r="R145" i="12"/>
  <c r="R140" i="12"/>
  <c r="R124" i="12"/>
  <c r="R118" i="12"/>
  <c r="R205" i="12"/>
  <c r="R192" i="12"/>
  <c r="R150" i="12"/>
  <c r="R106" i="12"/>
  <c r="R103" i="12"/>
  <c r="R232" i="12"/>
  <c r="R228" i="12"/>
  <c r="R181" i="12"/>
  <c r="R176" i="12"/>
  <c r="R160" i="12"/>
  <c r="R148" i="12"/>
  <c r="R135" i="12"/>
  <c r="R127" i="12"/>
  <c r="R116" i="12"/>
  <c r="R113" i="12"/>
  <c r="R250" i="12"/>
  <c r="R197" i="12"/>
  <c r="R189" i="12"/>
  <c r="R184" i="12"/>
  <c r="R110" i="12"/>
  <c r="R247" i="12"/>
  <c r="R223" i="12"/>
  <c r="R208" i="12"/>
  <c r="R156" i="12"/>
  <c r="R143" i="12"/>
  <c r="R138" i="12"/>
  <c r="R133" i="12"/>
  <c r="R130" i="12"/>
  <c r="R125" i="12"/>
  <c r="R119" i="12"/>
  <c r="R107" i="12"/>
  <c r="R104" i="12"/>
  <c r="X12" i="12"/>
  <c r="Z12" i="12" s="1"/>
  <c r="R215" i="12"/>
  <c r="R200" i="12"/>
  <c r="R141" i="12"/>
  <c r="R136" i="12"/>
  <c r="R128" i="12"/>
  <c r="R122" i="12"/>
  <c r="R101" i="12"/>
  <c r="R237" i="12"/>
  <c r="R224" i="12"/>
  <c r="R163" i="12"/>
  <c r="P152" i="12"/>
  <c r="R149" i="12"/>
  <c r="R144" i="12"/>
  <c r="R120" i="12"/>
  <c r="R114" i="12"/>
  <c r="R111" i="12"/>
  <c r="R108" i="12"/>
  <c r="R146" i="12"/>
  <c r="R190" i="12"/>
  <c r="R233" i="12"/>
  <c r="R117" i="12"/>
  <c r="L282" i="3"/>
  <c r="N282" i="3" s="1"/>
  <c r="X18" i="111"/>
  <c r="P27" i="111"/>
  <c r="N18" i="50"/>
  <c r="H27" i="50"/>
  <c r="L18" i="49"/>
  <c r="D27" i="49"/>
  <c r="H27" i="46"/>
  <c r="N18" i="46"/>
  <c r="T27" i="38"/>
  <c r="Z18" i="38"/>
  <c r="L18" i="40"/>
  <c r="D27" i="40"/>
  <c r="T27" i="35"/>
  <c r="Z18" i="35"/>
  <c r="D27" i="14"/>
  <c r="L18" i="14"/>
  <c r="X18" i="7"/>
  <c r="P27" i="7"/>
  <c r="T27" i="4"/>
  <c r="Z18" i="4"/>
  <c r="X18" i="4"/>
  <c r="P27" i="4"/>
  <c r="T39" i="108"/>
  <c r="Z35" i="108"/>
  <c r="H58" i="100"/>
  <c r="T44" i="60"/>
  <c r="Z16" i="60"/>
  <c r="F248" i="12"/>
  <c r="F243" i="12"/>
  <c r="F242" i="12"/>
  <c r="F235" i="12"/>
  <c r="F219" i="12"/>
  <c r="F247" i="12"/>
  <c r="F230" i="12"/>
  <c r="F226" i="12"/>
  <c r="F225" i="12"/>
  <c r="F214" i="12"/>
  <c r="F198" i="12"/>
  <c r="F197" i="12"/>
  <c r="F162" i="12"/>
  <c r="F158" i="12"/>
  <c r="F246" i="12"/>
  <c r="F237" i="12"/>
  <c r="F236" i="12"/>
  <c r="F209" i="12"/>
  <c r="F189" i="12"/>
  <c r="F188" i="12"/>
  <c r="F181" i="12"/>
  <c r="F180" i="12"/>
  <c r="F149" i="12"/>
  <c r="F145" i="12"/>
  <c r="F141" i="12"/>
  <c r="F137" i="12"/>
  <c r="F133" i="12"/>
  <c r="F129" i="12"/>
  <c r="F125" i="12"/>
  <c r="F121" i="12"/>
  <c r="F117" i="12"/>
  <c r="F113" i="12"/>
  <c r="F109" i="12"/>
  <c r="F105" i="12"/>
  <c r="F210" i="12"/>
  <c r="F202" i="12"/>
  <c r="F201" i="12"/>
  <c r="F182" i="12"/>
  <c r="F150" i="12"/>
  <c r="F146" i="12"/>
  <c r="F142" i="12"/>
  <c r="F138" i="12"/>
  <c r="F134" i="12"/>
  <c r="F130" i="12"/>
  <c r="F126" i="12"/>
  <c r="F122" i="12"/>
  <c r="F118" i="12"/>
  <c r="F114" i="12"/>
  <c r="F110" i="12"/>
  <c r="F106" i="12"/>
  <c r="F102" i="12"/>
  <c r="F101" i="12"/>
  <c r="F221" i="12"/>
  <c r="F217" i="12"/>
  <c r="F216" i="12"/>
  <c r="F193" i="12"/>
  <c r="F192" i="12"/>
  <c r="F173" i="12"/>
  <c r="F169" i="12"/>
  <c r="F253" i="12"/>
  <c r="F257" i="12"/>
  <c r="F252" i="12"/>
  <c r="F223" i="12"/>
  <c r="F222" i="12"/>
  <c r="F211" i="12"/>
  <c r="F175" i="12"/>
  <c r="F174" i="12"/>
  <c r="F154" i="12"/>
  <c r="F152" i="12"/>
  <c r="F147" i="12"/>
  <c r="F143" i="12"/>
  <c r="F139" i="12"/>
  <c r="F135" i="12"/>
  <c r="F251" i="12"/>
  <c r="F234" i="12"/>
  <c r="F233" i="12"/>
  <c r="F218" i="12"/>
  <c r="F206" i="12"/>
  <c r="F205" i="12"/>
  <c r="F194" i="12"/>
  <c r="F170" i="12"/>
  <c r="D152" i="12"/>
  <c r="F213" i="12"/>
  <c r="F208" i="12"/>
  <c r="F200" i="12"/>
  <c r="F187" i="12"/>
  <c r="F165" i="12"/>
  <c r="F107" i="12"/>
  <c r="F104" i="12"/>
  <c r="L12" i="12"/>
  <c r="F215" i="12"/>
  <c r="F203" i="12"/>
  <c r="F136" i="12"/>
  <c r="F128" i="12"/>
  <c r="F245" i="12"/>
  <c r="F229" i="12"/>
  <c r="F190" i="12"/>
  <c r="F177" i="12"/>
  <c r="F161" i="12"/>
  <c r="F111" i="12"/>
  <c r="F224" i="12"/>
  <c r="F195" i="12"/>
  <c r="F185" i="12"/>
  <c r="F168" i="12"/>
  <c r="F163" i="12"/>
  <c r="F144" i="12"/>
  <c r="F131" i="12"/>
  <c r="F120" i="12"/>
  <c r="F108" i="12"/>
  <c r="F240" i="12"/>
  <c r="F231" i="12"/>
  <c r="F204" i="12"/>
  <c r="F172" i="12"/>
  <c r="F157" i="12"/>
  <c r="F123" i="12"/>
  <c r="F227" i="12"/>
  <c r="F166" i="12"/>
  <c r="F159" i="12"/>
  <c r="F249" i="12"/>
  <c r="F238" i="12"/>
  <c r="F191" i="12"/>
  <c r="F115" i="12"/>
  <c r="F112" i="12"/>
  <c r="F220" i="12"/>
  <c r="F207" i="12"/>
  <c r="F183" i="12"/>
  <c r="F178" i="12"/>
  <c r="F164" i="12"/>
  <c r="F132" i="12"/>
  <c r="F212" i="12"/>
  <c r="F199" i="12"/>
  <c r="F196" i="12"/>
  <c r="F186" i="12"/>
  <c r="F155" i="12"/>
  <c r="F140" i="12"/>
  <c r="F124" i="12"/>
  <c r="F103" i="12"/>
  <c r="F241" i="12"/>
  <c r="F232" i="12"/>
  <c r="F228" i="12"/>
  <c r="F167" i="12"/>
  <c r="F160" i="12"/>
  <c r="F127" i="12"/>
  <c r="F239" i="12"/>
  <c r="F179" i="12"/>
  <c r="F156" i="12"/>
  <c r="F119" i="12"/>
  <c r="F184" i="12"/>
  <c r="F116" i="12"/>
  <c r="F250" i="12"/>
  <c r="F148" i="12"/>
  <c r="F176" i="12"/>
  <c r="F171" i="12"/>
  <c r="X18" i="112"/>
  <c r="P27" i="112"/>
  <c r="T27" i="26"/>
  <c r="Z18" i="26"/>
  <c r="X18" i="13"/>
  <c r="P27" i="13"/>
  <c r="F76" i="107"/>
  <c r="F74" i="107"/>
  <c r="F83" i="107"/>
  <c r="F80" i="107"/>
  <c r="F64" i="107"/>
  <c r="F78" i="107"/>
  <c r="F59" i="107"/>
  <c r="F51" i="107"/>
  <c r="F50" i="107"/>
  <c r="F39" i="107"/>
  <c r="F35" i="107"/>
  <c r="F30" i="107"/>
  <c r="F26" i="107"/>
  <c r="F71" i="107"/>
  <c r="F65" i="107"/>
  <c r="F61" i="107"/>
  <c r="F60" i="107"/>
  <c r="F53" i="107"/>
  <c r="F52" i="107"/>
  <c r="F41" i="107"/>
  <c r="F40" i="107"/>
  <c r="F17" i="107"/>
  <c r="F16" i="107"/>
  <c r="F72" i="107"/>
  <c r="F36" i="107"/>
  <c r="F55" i="107"/>
  <c r="F54" i="107"/>
  <c r="F43" i="107"/>
  <c r="F42" i="107"/>
  <c r="F31" i="107"/>
  <c r="F27" i="107"/>
  <c r="F66" i="107"/>
  <c r="F62" i="107"/>
  <c r="F18" i="107"/>
  <c r="F57" i="107"/>
  <c r="F56" i="107"/>
  <c r="F68" i="107"/>
  <c r="F67" i="107"/>
  <c r="F70" i="107"/>
  <c r="F69" i="107"/>
  <c r="F49" i="107"/>
  <c r="F48" i="107"/>
  <c r="F29" i="107"/>
  <c r="F25" i="107"/>
  <c r="F58" i="107"/>
  <c r="F46" i="107"/>
  <c r="F23" i="107"/>
  <c r="F34" i="107"/>
  <c r="F44" i="107"/>
  <c r="F38" i="107"/>
  <c r="F32" i="107"/>
  <c r="F28" i="107"/>
  <c r="F20" i="107"/>
  <c r="F24" i="107"/>
  <c r="D20" i="107"/>
  <c r="L12" i="107"/>
  <c r="F47" i="107"/>
  <c r="F45" i="107"/>
  <c r="F33" i="107"/>
  <c r="F22" i="107"/>
  <c r="F63" i="107"/>
  <c r="F37" i="107"/>
  <c r="J54" i="100"/>
  <c r="D43" i="99"/>
  <c r="L17" i="99"/>
  <c r="N51" i="100"/>
  <c r="L51" i="100"/>
  <c r="D22" i="98"/>
  <c r="L16" i="98"/>
  <c r="D70" i="94"/>
  <c r="D68" i="88"/>
  <c r="H79" i="87"/>
  <c r="N21" i="82"/>
  <c r="H27" i="82"/>
  <c r="Z18" i="85"/>
  <c r="T26" i="85"/>
  <c r="J92" i="76"/>
  <c r="J84" i="76"/>
  <c r="J74" i="76"/>
  <c r="J48" i="76"/>
  <c r="J44" i="76"/>
  <c r="J40" i="76"/>
  <c r="J85" i="76"/>
  <c r="J75" i="76"/>
  <c r="J67" i="76"/>
  <c r="J86" i="76"/>
  <c r="J76" i="76"/>
  <c r="J62" i="76"/>
  <c r="J58" i="76"/>
  <c r="J77" i="76"/>
  <c r="J49" i="76"/>
  <c r="J45" i="76"/>
  <c r="J41" i="76"/>
  <c r="J68" i="76"/>
  <c r="J54" i="76"/>
  <c r="J87" i="76"/>
  <c r="J63" i="76"/>
  <c r="J59" i="76"/>
  <c r="J55" i="76"/>
  <c r="J53" i="76"/>
  <c r="J78" i="76"/>
  <c r="J64" i="76"/>
  <c r="H51" i="76"/>
  <c r="J46" i="76"/>
  <c r="J42" i="76"/>
  <c r="J79" i="76"/>
  <c r="J69" i="76"/>
  <c r="J65" i="76"/>
  <c r="J88" i="76"/>
  <c r="J80" i="76"/>
  <c r="J70" i="76"/>
  <c r="J60" i="76"/>
  <c r="J56" i="76"/>
  <c r="J38" i="76"/>
  <c r="J99" i="76"/>
  <c r="J93" i="76"/>
  <c r="J83" i="76"/>
  <c r="J73" i="76"/>
  <c r="J61" i="76"/>
  <c r="J57" i="76"/>
  <c r="J66" i="76"/>
  <c r="J72" i="76"/>
  <c r="J39" i="76"/>
  <c r="J94" i="76"/>
  <c r="J82" i="76"/>
  <c r="J43" i="76"/>
  <c r="J90" i="76"/>
  <c r="J95" i="76"/>
  <c r="J71" i="76"/>
  <c r="J47" i="76"/>
  <c r="J81" i="76"/>
  <c r="J89" i="76"/>
  <c r="Z16" i="71"/>
  <c r="T22" i="71"/>
  <c r="N16" i="59"/>
  <c r="H55" i="59"/>
  <c r="P22" i="54"/>
  <c r="X16" i="54"/>
  <c r="L16" i="58"/>
  <c r="H46" i="61"/>
  <c r="N16" i="61"/>
  <c r="H30" i="55"/>
  <c r="N16" i="55"/>
  <c r="T67" i="56"/>
  <c r="Z261" i="18"/>
  <c r="P112" i="24"/>
  <c r="R249" i="15"/>
  <c r="R242" i="15"/>
  <c r="R215" i="15"/>
  <c r="R203" i="15"/>
  <c r="R196" i="15"/>
  <c r="R195" i="15"/>
  <c r="R167" i="15"/>
  <c r="R163" i="15"/>
  <c r="R241" i="15"/>
  <c r="R226" i="15"/>
  <c r="R210" i="15"/>
  <c r="R187" i="15"/>
  <c r="R186" i="15"/>
  <c r="R158" i="15"/>
  <c r="R154" i="15"/>
  <c r="R240" i="15"/>
  <c r="R234" i="15"/>
  <c r="R233" i="15"/>
  <c r="R221" i="15"/>
  <c r="R198" i="15"/>
  <c r="R197" i="15"/>
  <c r="R178" i="15"/>
  <c r="R177" i="15"/>
  <c r="R150" i="15"/>
  <c r="R145" i="15"/>
  <c r="R141" i="15"/>
  <c r="R137" i="15"/>
  <c r="R133" i="15"/>
  <c r="R129" i="15"/>
  <c r="R125" i="15"/>
  <c r="R121" i="15"/>
  <c r="R117" i="15"/>
  <c r="R113" i="15"/>
  <c r="R109" i="15"/>
  <c r="R105" i="15"/>
  <c r="R101" i="15"/>
  <c r="R239" i="15"/>
  <c r="R217" i="15"/>
  <c r="R216" i="15"/>
  <c r="R237" i="15"/>
  <c r="R222" i="15"/>
  <c r="R218" i="15"/>
  <c r="R206" i="15"/>
  <c r="R171" i="15"/>
  <c r="R170" i="15"/>
  <c r="R142" i="15"/>
  <c r="R138" i="15"/>
  <c r="R134" i="15"/>
  <c r="R130" i="15"/>
  <c r="R126" i="15"/>
  <c r="R122" i="15"/>
  <c r="R118" i="15"/>
  <c r="R114" i="15"/>
  <c r="R110" i="15"/>
  <c r="R106" i="15"/>
  <c r="R102" i="15"/>
  <c r="R230" i="15"/>
  <c r="R229" i="15"/>
  <c r="R201" i="15"/>
  <c r="R190" i="15"/>
  <c r="R189" i="15"/>
  <c r="R165" i="15"/>
  <c r="R98" i="15"/>
  <c r="R212" i="15"/>
  <c r="R181" i="15"/>
  <c r="R180" i="15"/>
  <c r="R173" i="15"/>
  <c r="R172" i="15"/>
  <c r="R161" i="15"/>
  <c r="R160" i="15"/>
  <c r="R156" i="15"/>
  <c r="R152" i="15"/>
  <c r="R231" i="15"/>
  <c r="R223" i="15"/>
  <c r="R219" i="15"/>
  <c r="R207" i="15"/>
  <c r="R192" i="15"/>
  <c r="R191" i="15"/>
  <c r="R143" i="15"/>
  <c r="R139" i="15"/>
  <c r="R135" i="15"/>
  <c r="R131" i="15"/>
  <c r="R127" i="15"/>
  <c r="R123" i="15"/>
  <c r="R119" i="15"/>
  <c r="R115" i="15"/>
  <c r="R111" i="15"/>
  <c r="R107" i="15"/>
  <c r="R103" i="15"/>
  <c r="R99" i="15"/>
  <c r="R245" i="15"/>
  <c r="R202" i="15"/>
  <c r="R183" i="15"/>
  <c r="R182" i="15"/>
  <c r="R175" i="15"/>
  <c r="R174" i="15"/>
  <c r="R166" i="15"/>
  <c r="R162" i="15"/>
  <c r="R243" i="15"/>
  <c r="R232" i="15"/>
  <c r="R225" i="15"/>
  <c r="R224" i="15"/>
  <c r="R220" i="15"/>
  <c r="R209" i="15"/>
  <c r="R208" i="15"/>
  <c r="R185" i="15"/>
  <c r="R184" i="15"/>
  <c r="R176" i="15"/>
  <c r="R144" i="15"/>
  <c r="R140" i="15"/>
  <c r="R136" i="15"/>
  <c r="R132" i="15"/>
  <c r="R128" i="15"/>
  <c r="R124" i="15"/>
  <c r="R120" i="15"/>
  <c r="R116" i="15"/>
  <c r="R112" i="15"/>
  <c r="R108" i="15"/>
  <c r="R104" i="15"/>
  <c r="R100" i="15"/>
  <c r="R151" i="15"/>
  <c r="R214" i="15"/>
  <c r="R205" i="15"/>
  <c r="R199" i="15"/>
  <c r="R164" i="15"/>
  <c r="R153" i="15"/>
  <c r="X12" i="15"/>
  <c r="Z12" i="15" s="1"/>
  <c r="R193" i="15"/>
  <c r="R179" i="15"/>
  <c r="R227" i="15"/>
  <c r="R157" i="15"/>
  <c r="R155" i="15"/>
  <c r="R168" i="15"/>
  <c r="P147" i="15"/>
  <c r="R200" i="15"/>
  <c r="R159" i="15"/>
  <c r="R194" i="15"/>
  <c r="R244" i="15"/>
  <c r="R235" i="15"/>
  <c r="R228" i="15"/>
  <c r="R211" i="15"/>
  <c r="R204" i="15"/>
  <c r="R188" i="15"/>
  <c r="R213" i="15"/>
  <c r="R169" i="15"/>
  <c r="R238" i="15"/>
  <c r="R149" i="15"/>
  <c r="T27" i="52"/>
  <c r="Z18" i="52"/>
  <c r="X18" i="46"/>
  <c r="P27" i="46"/>
  <c r="T27" i="50"/>
  <c r="Z18" i="50"/>
  <c r="L18" i="41"/>
  <c r="D27" i="41"/>
  <c r="H27" i="37"/>
  <c r="N18" i="37"/>
  <c r="H27" i="35"/>
  <c r="N18" i="35"/>
  <c r="H27" i="32"/>
  <c r="N18" i="32"/>
  <c r="H27" i="31"/>
  <c r="N18" i="31"/>
  <c r="L18" i="37"/>
  <c r="D27" i="37"/>
  <c r="X18" i="26"/>
  <c r="P27" i="26"/>
  <c r="T27" i="25"/>
  <c r="Z18" i="25"/>
  <c r="T27" i="22"/>
  <c r="Z18" i="22"/>
  <c r="L18" i="23"/>
  <c r="D27" i="23"/>
  <c r="H27" i="11"/>
  <c r="N18" i="11"/>
  <c r="F76" i="97"/>
  <c r="F74" i="97"/>
  <c r="F67" i="97"/>
  <c r="F55" i="97"/>
  <c r="F54" i="97"/>
  <c r="F68" i="97"/>
  <c r="F31" i="97"/>
  <c r="F27" i="97"/>
  <c r="F59" i="97"/>
  <c r="F46" i="97"/>
  <c r="F18" i="97"/>
  <c r="F69" i="97"/>
  <c r="F65" i="97"/>
  <c r="F37" i="97"/>
  <c r="F33" i="97"/>
  <c r="F32" i="97"/>
  <c r="F83" i="97"/>
  <c r="F48" i="97"/>
  <c r="F47" i="97"/>
  <c r="F28" i="97"/>
  <c r="F24" i="97"/>
  <c r="F23" i="97"/>
  <c r="F70" i="97"/>
  <c r="F60" i="97"/>
  <c r="F39" i="97"/>
  <c r="F38" i="97"/>
  <c r="F22" i="97"/>
  <c r="F20" i="97"/>
  <c r="F66" i="97"/>
  <c r="F50" i="97"/>
  <c r="F49" i="97"/>
  <c r="F34" i="97"/>
  <c r="D20" i="97"/>
  <c r="F78" i="97"/>
  <c r="F71" i="97"/>
  <c r="F62" i="97"/>
  <c r="F61" i="97"/>
  <c r="F56" i="97"/>
  <c r="F41" i="97"/>
  <c r="F40" i="97"/>
  <c r="F29" i="97"/>
  <c r="F25" i="97"/>
  <c r="F52" i="97"/>
  <c r="F51" i="97"/>
  <c r="F43" i="97"/>
  <c r="F42" i="97"/>
  <c r="F35" i="97"/>
  <c r="F80" i="97"/>
  <c r="F53" i="97"/>
  <c r="F36" i="97"/>
  <c r="L12" i="97"/>
  <c r="N12" i="97" s="1"/>
  <c r="F63" i="97"/>
  <c r="F58" i="97"/>
  <c r="F45" i="97"/>
  <c r="F16" i="97"/>
  <c r="F30" i="97"/>
  <c r="F64" i="97"/>
  <c r="F57" i="97"/>
  <c r="F44" i="97"/>
  <c r="F73" i="97"/>
  <c r="F17" i="97"/>
  <c r="F26" i="97"/>
  <c r="L16" i="71"/>
  <c r="D22" i="71"/>
  <c r="D58" i="78"/>
  <c r="L24" i="78"/>
  <c r="X16" i="71"/>
  <c r="P22" i="71"/>
  <c r="D30" i="55"/>
  <c r="L16" i="55"/>
  <c r="J87" i="42"/>
  <c r="J81" i="42"/>
  <c r="J104" i="42"/>
  <c r="J96" i="42"/>
  <c r="J92" i="42"/>
  <c r="J88" i="42"/>
  <c r="J64" i="42"/>
  <c r="J56" i="42"/>
  <c r="J111" i="42"/>
  <c r="J105" i="42"/>
  <c r="J97" i="42"/>
  <c r="J75" i="42"/>
  <c r="J65" i="42"/>
  <c r="J110" i="42"/>
  <c r="J106" i="42"/>
  <c r="J98" i="42"/>
  <c r="J82" i="42"/>
  <c r="J76" i="42"/>
  <c r="J66" i="42"/>
  <c r="J115" i="42"/>
  <c r="J109" i="42"/>
  <c r="J99" i="42"/>
  <c r="J93" i="42"/>
  <c r="J89" i="42"/>
  <c r="J77" i="42"/>
  <c r="J67" i="42"/>
  <c r="J57" i="42"/>
  <c r="J49" i="42"/>
  <c r="J108" i="42"/>
  <c r="J100" i="42"/>
  <c r="J68" i="42"/>
  <c r="J58" i="42"/>
  <c r="J50" i="42"/>
  <c r="J101" i="42"/>
  <c r="J83" i="42"/>
  <c r="J69" i="42"/>
  <c r="J59" i="42"/>
  <c r="J51" i="42"/>
  <c r="J39" i="42"/>
  <c r="J79" i="42"/>
  <c r="J71" i="42"/>
  <c r="J61" i="42"/>
  <c r="J53" i="42"/>
  <c r="J84" i="42"/>
  <c r="J80" i="42"/>
  <c r="J72" i="42"/>
  <c r="J62" i="42"/>
  <c r="J54" i="42"/>
  <c r="J86" i="42"/>
  <c r="J74" i="42"/>
  <c r="J90" i="42"/>
  <c r="J45" i="42"/>
  <c r="J42" i="42"/>
  <c r="J35" i="42"/>
  <c r="J31" i="42"/>
  <c r="J29" i="42"/>
  <c r="J27" i="42"/>
  <c r="L12" i="42"/>
  <c r="N12" i="42" s="1"/>
  <c r="H27" i="42"/>
  <c r="J85" i="42"/>
  <c r="J103" i="42"/>
  <c r="J94" i="42"/>
  <c r="J52" i="42"/>
  <c r="J43" i="42"/>
  <c r="J36" i="42"/>
  <c r="J32" i="42"/>
  <c r="J70" i="42"/>
  <c r="J40" i="42"/>
  <c r="J78" i="42"/>
  <c r="J46" i="42"/>
  <c r="J63" i="42"/>
  <c r="J37" i="42"/>
  <c r="J33" i="42"/>
  <c r="J23" i="42"/>
  <c r="J91" i="42"/>
  <c r="J55" i="42"/>
  <c r="J44" i="42"/>
  <c r="J41" i="42"/>
  <c r="J102" i="42"/>
  <c r="J73" i="42"/>
  <c r="J47" i="42"/>
  <c r="J34" i="42"/>
  <c r="J48" i="42"/>
  <c r="J30" i="42"/>
  <c r="J25" i="42"/>
  <c r="J24" i="42"/>
  <c r="J60" i="42"/>
  <c r="J95" i="42"/>
  <c r="J38" i="42"/>
  <c r="H27" i="43"/>
  <c r="N18" i="43"/>
  <c r="P27" i="40"/>
  <c r="X18" i="40"/>
  <c r="H27" i="34"/>
  <c r="N18" i="34"/>
  <c r="H27" i="10"/>
  <c r="N18" i="10"/>
  <c r="H35" i="108"/>
  <c r="N16" i="108"/>
  <c r="H55" i="109"/>
  <c r="L52" i="109"/>
  <c r="N52" i="109" s="1"/>
  <c r="T44" i="102"/>
  <c r="Z16" i="102"/>
  <c r="V61" i="101"/>
  <c r="V53" i="101"/>
  <c r="V41" i="101"/>
  <c r="V29" i="101"/>
  <c r="V25" i="101"/>
  <c r="V64" i="101"/>
  <c r="V56" i="101"/>
  <c r="V48" i="101"/>
  <c r="V36" i="101"/>
  <c r="V32" i="101"/>
  <c r="V63" i="101"/>
  <c r="V47" i="101"/>
  <c r="V31" i="101"/>
  <c r="V27" i="101"/>
  <c r="V23" i="101"/>
  <c r="V66" i="101"/>
  <c r="V42" i="101"/>
  <c r="V34" i="101"/>
  <c r="V69" i="101"/>
  <c r="V59" i="101"/>
  <c r="V74" i="101"/>
  <c r="V70" i="101"/>
  <c r="V60" i="101"/>
  <c r="V49" i="101"/>
  <c r="V33" i="101"/>
  <c r="V18" i="101"/>
  <c r="V16" i="101"/>
  <c r="V57" i="101"/>
  <c r="V45" i="101"/>
  <c r="V50" i="101"/>
  <c r="V46" i="101"/>
  <c r="V30" i="101"/>
  <c r="V24" i="101"/>
  <c r="T20" i="101"/>
  <c r="V20" i="101" s="1"/>
  <c r="V43" i="101"/>
  <c r="V39" i="101"/>
  <c r="V58" i="101"/>
  <c r="V55" i="101"/>
  <c r="V54" i="101"/>
  <c r="V44" i="101"/>
  <c r="V40" i="101"/>
  <c r="V28" i="101"/>
  <c r="V22" i="101"/>
  <c r="V67" i="101"/>
  <c r="V17" i="101"/>
  <c r="V65" i="101"/>
  <c r="V62" i="101"/>
  <c r="V52" i="101"/>
  <c r="V38" i="101"/>
  <c r="V35" i="101"/>
  <c r="V26" i="101"/>
  <c r="V37" i="101"/>
  <c r="V51" i="101"/>
  <c r="J63" i="94"/>
  <c r="J59" i="94"/>
  <c r="J66" i="94"/>
  <c r="J44" i="94"/>
  <c r="J29" i="94"/>
  <c r="J25" i="94"/>
  <c r="J35" i="94"/>
  <c r="J65" i="94"/>
  <c r="J62" i="94"/>
  <c r="J53" i="94"/>
  <c r="J46" i="94"/>
  <c r="J36" i="94"/>
  <c r="J30" i="94"/>
  <c r="J26" i="94"/>
  <c r="J16" i="94"/>
  <c r="J37" i="94"/>
  <c r="J31" i="94"/>
  <c r="J17" i="94"/>
  <c r="J54" i="94"/>
  <c r="J47" i="94"/>
  <c r="J38" i="94"/>
  <c r="J32" i="94"/>
  <c r="J60" i="94"/>
  <c r="J55" i="94"/>
  <c r="J48" i="94"/>
  <c r="J39" i="94"/>
  <c r="J56" i="94"/>
  <c r="J41" i="94"/>
  <c r="J64" i="94"/>
  <c r="J61" i="94"/>
  <c r="J58" i="94"/>
  <c r="J51" i="94"/>
  <c r="J34" i="94"/>
  <c r="J22" i="94"/>
  <c r="J18" i="94"/>
  <c r="J52" i="94"/>
  <c r="J33" i="94"/>
  <c r="J23" i="94"/>
  <c r="J50" i="94"/>
  <c r="J40" i="94"/>
  <c r="J28" i="94"/>
  <c r="J42" i="94"/>
  <c r="J72" i="94"/>
  <c r="J57" i="94"/>
  <c r="J24" i="94"/>
  <c r="J20" i="94"/>
  <c r="H20" i="94"/>
  <c r="J68" i="94"/>
  <c r="J45" i="94"/>
  <c r="J49" i="94"/>
  <c r="J43" i="94"/>
  <c r="J27" i="94"/>
  <c r="V73" i="87"/>
  <c r="V61" i="87"/>
  <c r="V53" i="87"/>
  <c r="V45" i="87"/>
  <c r="V77" i="87"/>
  <c r="V75" i="87"/>
  <c r="V67" i="87"/>
  <c r="V57" i="87"/>
  <c r="V81" i="87"/>
  <c r="V71" i="87"/>
  <c r="V59" i="87"/>
  <c r="V62" i="87"/>
  <c r="V58" i="87"/>
  <c r="V36" i="87"/>
  <c r="V16" i="87"/>
  <c r="V70" i="87"/>
  <c r="V43" i="87"/>
  <c r="V35" i="87"/>
  <c r="V51" i="87"/>
  <c r="V50" i="87"/>
  <c r="V30" i="87"/>
  <c r="V26" i="87"/>
  <c r="V65" i="87"/>
  <c r="V56" i="87"/>
  <c r="V55" i="87"/>
  <c r="V38" i="87"/>
  <c r="V17" i="87"/>
  <c r="V74" i="87"/>
  <c r="V60" i="87"/>
  <c r="V44" i="87"/>
  <c r="V37" i="87"/>
  <c r="V32" i="87"/>
  <c r="V68" i="87"/>
  <c r="V63" i="87"/>
  <c r="V40" i="87"/>
  <c r="V31" i="87"/>
  <c r="V27" i="87"/>
  <c r="V23" i="87"/>
  <c r="V52" i="87"/>
  <c r="V47" i="87"/>
  <c r="V39" i="87"/>
  <c r="V22" i="87"/>
  <c r="V20" i="87"/>
  <c r="V18" i="87"/>
  <c r="V46" i="87"/>
  <c r="V33" i="87"/>
  <c r="T20" i="87"/>
  <c r="V72" i="87"/>
  <c r="V28" i="87"/>
  <c r="V24" i="87"/>
  <c r="V69" i="87"/>
  <c r="V54" i="87"/>
  <c r="V29" i="87"/>
  <c r="V25" i="87"/>
  <c r="V66" i="87"/>
  <c r="V48" i="87"/>
  <c r="V41" i="87"/>
  <c r="V49" i="87"/>
  <c r="V42" i="87"/>
  <c r="V34" i="87"/>
  <c r="V64" i="87"/>
  <c r="D79" i="87"/>
  <c r="L20" i="87"/>
  <c r="N20" i="87" s="1"/>
  <c r="J21" i="82"/>
  <c r="D71" i="75"/>
  <c r="T71" i="75"/>
  <c r="F67" i="73"/>
  <c r="F66" i="73"/>
  <c r="F59" i="73"/>
  <c r="F55" i="73"/>
  <c r="F46" i="73"/>
  <c r="F42" i="73"/>
  <c r="F38" i="73"/>
  <c r="F34" i="73"/>
  <c r="F33" i="73"/>
  <c r="F69" i="73"/>
  <c r="F68" i="73"/>
  <c r="F61" i="73"/>
  <c r="F60" i="73"/>
  <c r="F56" i="73"/>
  <c r="F47" i="73"/>
  <c r="F43" i="73"/>
  <c r="F39" i="73"/>
  <c r="F35" i="73"/>
  <c r="F73" i="73"/>
  <c r="F71" i="73"/>
  <c r="F62" i="73"/>
  <c r="F75" i="73"/>
  <c r="F57" i="73"/>
  <c r="F53" i="73"/>
  <c r="F52" i="73"/>
  <c r="D49" i="73"/>
  <c r="F80" i="73"/>
  <c r="F77" i="73"/>
  <c r="F58" i="73"/>
  <c r="F54" i="73"/>
  <c r="F51" i="73"/>
  <c r="L12" i="73"/>
  <c r="N12" i="73" s="1"/>
  <c r="F41" i="73"/>
  <c r="F64" i="73"/>
  <c r="F36" i="73"/>
  <c r="F49" i="73"/>
  <c r="F45" i="73"/>
  <c r="F40" i="73"/>
  <c r="F65" i="73"/>
  <c r="F44" i="73"/>
  <c r="F63" i="73"/>
  <c r="F37" i="73"/>
  <c r="J96" i="70"/>
  <c r="J88" i="70"/>
  <c r="J76" i="70"/>
  <c r="J64" i="70"/>
  <c r="J60" i="70"/>
  <c r="J56" i="70"/>
  <c r="J54" i="70"/>
  <c r="J52" i="70"/>
  <c r="J89" i="70"/>
  <c r="J77" i="70"/>
  <c r="J65" i="70"/>
  <c r="H52" i="70"/>
  <c r="J47" i="70"/>
  <c r="J43" i="70"/>
  <c r="J39" i="70"/>
  <c r="J90" i="70"/>
  <c r="J78" i="70"/>
  <c r="J70" i="70"/>
  <c r="J66" i="70"/>
  <c r="J97" i="70"/>
  <c r="J91" i="70"/>
  <c r="J79" i="70"/>
  <c r="J61" i="70"/>
  <c r="J57" i="70"/>
  <c r="J98" i="70"/>
  <c r="J92" i="70"/>
  <c r="J80" i="70"/>
  <c r="J48" i="70"/>
  <c r="J44" i="70"/>
  <c r="J40" i="70"/>
  <c r="J99" i="70"/>
  <c r="J81" i="70"/>
  <c r="J71" i="70"/>
  <c r="J67" i="70"/>
  <c r="J100" i="70"/>
  <c r="J82" i="70"/>
  <c r="J72" i="70"/>
  <c r="J62" i="70"/>
  <c r="J58" i="70"/>
  <c r="J105" i="70"/>
  <c r="J101" i="70"/>
  <c r="J93" i="70"/>
  <c r="J83" i="70"/>
  <c r="J73" i="70"/>
  <c r="J49" i="70"/>
  <c r="J45" i="70"/>
  <c r="J41" i="70"/>
  <c r="J104" i="70"/>
  <c r="J84" i="70"/>
  <c r="J74" i="70"/>
  <c r="J68" i="70"/>
  <c r="N12" i="70"/>
  <c r="J95" i="70"/>
  <c r="J87" i="70"/>
  <c r="J69" i="70"/>
  <c r="J55" i="70"/>
  <c r="J38" i="70"/>
  <c r="J85" i="70"/>
  <c r="J109" i="70"/>
  <c r="J50" i="70"/>
  <c r="J94" i="70"/>
  <c r="J37" i="70"/>
  <c r="J59" i="70"/>
  <c r="J42" i="70"/>
  <c r="J63" i="70"/>
  <c r="J46" i="70"/>
  <c r="J103" i="70"/>
  <c r="J75" i="70"/>
  <c r="J86" i="70"/>
  <c r="P44" i="60"/>
  <c r="X16" i="60"/>
  <c r="X16" i="58"/>
  <c r="P70" i="58"/>
  <c r="H67" i="72"/>
  <c r="T46" i="61"/>
  <c r="Z16" i="61"/>
  <c r="L70" i="58"/>
  <c r="D74" i="58"/>
  <c r="H88" i="45"/>
  <c r="N23" i="45"/>
  <c r="Z51" i="51"/>
  <c r="T97" i="51"/>
  <c r="L113" i="36"/>
  <c r="H59" i="48"/>
  <c r="X113" i="36"/>
  <c r="Z113" i="36" s="1"/>
  <c r="F113" i="36"/>
  <c r="R129" i="30"/>
  <c r="R128" i="30"/>
  <c r="R116" i="30"/>
  <c r="R123" i="30"/>
  <c r="R131" i="30"/>
  <c r="R130" i="30"/>
  <c r="R133" i="30"/>
  <c r="R132" i="30"/>
  <c r="R124" i="30"/>
  <c r="R138" i="30"/>
  <c r="R136" i="30"/>
  <c r="R125" i="30"/>
  <c r="R113" i="30"/>
  <c r="R102" i="30"/>
  <c r="R101" i="30"/>
  <c r="R142" i="30"/>
  <c r="R121" i="30"/>
  <c r="R120" i="30"/>
  <c r="R127" i="30"/>
  <c r="R126" i="30"/>
  <c r="R122" i="30"/>
  <c r="R110" i="30"/>
  <c r="R98" i="30"/>
  <c r="R97" i="30"/>
  <c r="R89" i="30"/>
  <c r="R105" i="30"/>
  <c r="R84" i="30"/>
  <c r="R80" i="30"/>
  <c r="R106" i="30"/>
  <c r="R99" i="30"/>
  <c r="R71" i="30"/>
  <c r="R67" i="30"/>
  <c r="R63" i="30"/>
  <c r="R59" i="30"/>
  <c r="R55" i="30"/>
  <c r="R119" i="30"/>
  <c r="R111" i="30"/>
  <c r="R100" i="30"/>
  <c r="R90" i="30"/>
  <c r="R114" i="30"/>
  <c r="R86" i="30"/>
  <c r="R85" i="30"/>
  <c r="R81" i="30"/>
  <c r="R117" i="30"/>
  <c r="R77" i="30"/>
  <c r="R72" i="30"/>
  <c r="R68" i="30"/>
  <c r="R64" i="30"/>
  <c r="R60" i="30"/>
  <c r="R56" i="30"/>
  <c r="R112" i="30"/>
  <c r="R107" i="30"/>
  <c r="R92" i="30"/>
  <c r="R91" i="30"/>
  <c r="R87" i="30"/>
  <c r="R76" i="30"/>
  <c r="R108" i="30"/>
  <c r="R82" i="30"/>
  <c r="R78" i="30"/>
  <c r="P74" i="30"/>
  <c r="R74" i="30" s="1"/>
  <c r="R115" i="30"/>
  <c r="R94" i="30"/>
  <c r="R93" i="30"/>
  <c r="R69" i="30"/>
  <c r="R65" i="30"/>
  <c r="R61" i="30"/>
  <c r="R57" i="30"/>
  <c r="R134" i="30"/>
  <c r="R104" i="30"/>
  <c r="R103" i="30"/>
  <c r="R88" i="30"/>
  <c r="R53" i="30"/>
  <c r="X12" i="30"/>
  <c r="R137" i="30"/>
  <c r="R118" i="30"/>
  <c r="R70" i="30"/>
  <c r="R66" i="30"/>
  <c r="R62" i="30"/>
  <c r="R58" i="30"/>
  <c r="R54" i="30"/>
  <c r="R95" i="30"/>
  <c r="R83" i="30"/>
  <c r="R96" i="30"/>
  <c r="R109" i="30"/>
  <c r="R79" i="30"/>
  <c r="R70" i="27"/>
  <c r="R55" i="27"/>
  <c r="R97" i="27"/>
  <c r="R90" i="27"/>
  <c r="R89" i="27"/>
  <c r="R78" i="27"/>
  <c r="R77" i="27"/>
  <c r="R66" i="27"/>
  <c r="R65" i="27"/>
  <c r="R61" i="27"/>
  <c r="R57" i="27"/>
  <c r="R48" i="27"/>
  <c r="R44" i="27"/>
  <c r="R40" i="27"/>
  <c r="R92" i="27"/>
  <c r="R91" i="27"/>
  <c r="R80" i="27"/>
  <c r="R79" i="27"/>
  <c r="R71" i="27"/>
  <c r="R67" i="27"/>
  <c r="R99" i="27"/>
  <c r="R98" i="27"/>
  <c r="R62" i="27"/>
  <c r="R58" i="27"/>
  <c r="R93" i="27"/>
  <c r="R82" i="27"/>
  <c r="R81" i="27"/>
  <c r="R49" i="27"/>
  <c r="R45" i="27"/>
  <c r="R41" i="27"/>
  <c r="R101" i="27"/>
  <c r="R100" i="27"/>
  <c r="R73" i="27"/>
  <c r="R72" i="27"/>
  <c r="R68" i="27"/>
  <c r="X12" i="27"/>
  <c r="R105" i="27"/>
  <c r="R102" i="27"/>
  <c r="R94" i="27"/>
  <c r="R75" i="27"/>
  <c r="R74" i="27"/>
  <c r="R50" i="27"/>
  <c r="R46" i="27"/>
  <c r="R42" i="27"/>
  <c r="R104" i="27"/>
  <c r="R86" i="27"/>
  <c r="R85" i="27"/>
  <c r="R69" i="27"/>
  <c r="R38" i="27"/>
  <c r="R96" i="27"/>
  <c r="R95" i="27"/>
  <c r="R88" i="27"/>
  <c r="R87" i="27"/>
  <c r="R56" i="27"/>
  <c r="R51" i="27"/>
  <c r="R110" i="27"/>
  <c r="R59" i="27"/>
  <c r="R76" i="27"/>
  <c r="R63" i="27"/>
  <c r="R39" i="27"/>
  <c r="R83" i="27"/>
  <c r="R60" i="27"/>
  <c r="P53" i="27"/>
  <c r="R43" i="27"/>
  <c r="R106" i="27"/>
  <c r="R64" i="27"/>
  <c r="R47" i="27"/>
  <c r="R84" i="27"/>
  <c r="Z80" i="33"/>
  <c r="T247" i="15"/>
  <c r="N245" i="12"/>
  <c r="F231" i="15"/>
  <c r="F230" i="15"/>
  <c r="F223" i="15"/>
  <c r="F219" i="15"/>
  <c r="F207" i="15"/>
  <c r="F191" i="15"/>
  <c r="F190" i="15"/>
  <c r="F143" i="15"/>
  <c r="F139" i="15"/>
  <c r="F135" i="15"/>
  <c r="F131" i="15"/>
  <c r="F127" i="15"/>
  <c r="F123" i="15"/>
  <c r="F119" i="15"/>
  <c r="F115" i="15"/>
  <c r="F111" i="15"/>
  <c r="F107" i="15"/>
  <c r="F103" i="15"/>
  <c r="F99" i="15"/>
  <c r="F98" i="15"/>
  <c r="F202" i="15"/>
  <c r="F182" i="15"/>
  <c r="F181" i="15"/>
  <c r="F174" i="15"/>
  <c r="F173" i="15"/>
  <c r="F166" i="15"/>
  <c r="F162" i="15"/>
  <c r="F161" i="15"/>
  <c r="F213" i="15"/>
  <c r="F193" i="15"/>
  <c r="F192" i="15"/>
  <c r="F157" i="15"/>
  <c r="F153" i="15"/>
  <c r="F245" i="15"/>
  <c r="F232" i="15"/>
  <c r="F224" i="15"/>
  <c r="F220" i="15"/>
  <c r="F243" i="15"/>
  <c r="F226" i="15"/>
  <c r="F225" i="15"/>
  <c r="F210" i="15"/>
  <c r="F209" i="15"/>
  <c r="F186" i="15"/>
  <c r="F185" i="15"/>
  <c r="F158" i="15"/>
  <c r="F154" i="15"/>
  <c r="F242" i="15"/>
  <c r="F233" i="15"/>
  <c r="F221" i="15"/>
  <c r="F197" i="15"/>
  <c r="F196" i="15"/>
  <c r="F177" i="15"/>
  <c r="F145" i="15"/>
  <c r="F141" i="15"/>
  <c r="F137" i="15"/>
  <c r="F133" i="15"/>
  <c r="F129" i="15"/>
  <c r="F125" i="15"/>
  <c r="F121" i="15"/>
  <c r="F117" i="15"/>
  <c r="F113" i="15"/>
  <c r="F109" i="15"/>
  <c r="F105" i="15"/>
  <c r="F101" i="15"/>
  <c r="F241" i="15"/>
  <c r="F216" i="15"/>
  <c r="F204" i="15"/>
  <c r="F188" i="15"/>
  <c r="F187" i="15"/>
  <c r="F168" i="15"/>
  <c r="F164" i="15"/>
  <c r="L12" i="15"/>
  <c r="F240" i="15"/>
  <c r="F235" i="15"/>
  <c r="F234" i="15"/>
  <c r="F227" i="15"/>
  <c r="F211" i="15"/>
  <c r="F199" i="15"/>
  <c r="F198" i="15"/>
  <c r="F179" i="15"/>
  <c r="F178" i="15"/>
  <c r="F159" i="15"/>
  <c r="F155" i="15"/>
  <c r="F151" i="15"/>
  <c r="F150" i="15"/>
  <c r="F239" i="15"/>
  <c r="F222" i="15"/>
  <c r="F218" i="15"/>
  <c r="F217" i="15"/>
  <c r="F206" i="15"/>
  <c r="F205" i="15"/>
  <c r="F170" i="15"/>
  <c r="F169" i="15"/>
  <c r="F149" i="15"/>
  <c r="F147" i="15"/>
  <c r="F142" i="15"/>
  <c r="F138" i="15"/>
  <c r="F134" i="15"/>
  <c r="F130" i="15"/>
  <c r="F126" i="15"/>
  <c r="F122" i="15"/>
  <c r="F118" i="15"/>
  <c r="F114" i="15"/>
  <c r="F110" i="15"/>
  <c r="F106" i="15"/>
  <c r="F102" i="15"/>
  <c r="F237" i="15"/>
  <c r="F212" i="15"/>
  <c r="F180" i="15"/>
  <c r="F172" i="15"/>
  <c r="F171" i="15"/>
  <c r="F160" i="15"/>
  <c r="F156" i="15"/>
  <c r="F152" i="15"/>
  <c r="F112" i="15"/>
  <c r="F132" i="15"/>
  <c r="F238" i="15"/>
  <c r="F208" i="15"/>
  <c r="F201" i="15"/>
  <c r="F175" i="15"/>
  <c r="F203" i="15"/>
  <c r="F195" i="15"/>
  <c r="F124" i="15"/>
  <c r="F104" i="15"/>
  <c r="F214" i="15"/>
  <c r="F189" i="15"/>
  <c r="F183" i="15"/>
  <c r="F144" i="15"/>
  <c r="F229" i="15"/>
  <c r="D147" i="15"/>
  <c r="F116" i="15"/>
  <c r="F136" i="15"/>
  <c r="F108" i="15"/>
  <c r="F200" i="15"/>
  <c r="F163" i="15"/>
  <c r="F128" i="15"/>
  <c r="F249" i="15"/>
  <c r="F194" i="15"/>
  <c r="F176" i="15"/>
  <c r="F165" i="15"/>
  <c r="F244" i="15"/>
  <c r="F228" i="15"/>
  <c r="F184" i="15"/>
  <c r="F167" i="15"/>
  <c r="F140" i="15"/>
  <c r="F215" i="15"/>
  <c r="F120" i="15"/>
  <c r="F100" i="15"/>
  <c r="X18" i="38"/>
  <c r="P27" i="38"/>
  <c r="L18" i="43"/>
  <c r="D27" i="43"/>
  <c r="X18" i="28"/>
  <c r="P27" i="28"/>
  <c r="P27" i="32"/>
  <c r="X18" i="32"/>
  <c r="D27" i="25"/>
  <c r="L18" i="25"/>
  <c r="X18" i="19"/>
  <c r="P27" i="19"/>
  <c r="L18" i="20"/>
  <c r="D27" i="20"/>
  <c r="T27" i="16"/>
  <c r="Z18" i="16"/>
  <c r="H27" i="20"/>
  <c r="N18" i="20"/>
  <c r="H27" i="13"/>
  <c r="N18" i="13"/>
  <c r="P80" i="103"/>
  <c r="H69" i="92"/>
  <c r="R71" i="92"/>
  <c r="R69" i="92"/>
  <c r="R67" i="92"/>
  <c r="R53" i="92"/>
  <c r="R52" i="92"/>
  <c r="R59" i="92"/>
  <c r="R44" i="92"/>
  <c r="R43" i="92"/>
  <c r="R35" i="92"/>
  <c r="R16" i="92"/>
  <c r="R54" i="92"/>
  <c r="R31" i="92"/>
  <c r="R30" i="92"/>
  <c r="R26" i="92"/>
  <c r="R46" i="92"/>
  <c r="R45" i="92"/>
  <c r="R22" i="92"/>
  <c r="R17" i="92"/>
  <c r="R60" i="92"/>
  <c r="R36" i="92"/>
  <c r="R32" i="92"/>
  <c r="R21" i="92"/>
  <c r="R19" i="92"/>
  <c r="X12" i="92"/>
  <c r="Z12" i="92" s="1"/>
  <c r="R73" i="92"/>
  <c r="R56" i="92"/>
  <c r="R55" i="92"/>
  <c r="R48" i="92"/>
  <c r="R47" i="92"/>
  <c r="R27" i="92"/>
  <c r="R23" i="92"/>
  <c r="P19" i="92"/>
  <c r="R76" i="92"/>
  <c r="R62" i="92"/>
  <c r="R61" i="92"/>
  <c r="R57" i="92"/>
  <c r="R50" i="92"/>
  <c r="R49" i="92"/>
  <c r="R38" i="92"/>
  <c r="R37" i="92"/>
  <c r="R33" i="92"/>
  <c r="R28" i="92"/>
  <c r="R24" i="92"/>
  <c r="R65" i="92"/>
  <c r="R42" i="92"/>
  <c r="R41" i="92"/>
  <c r="R29" i="92"/>
  <c r="R25" i="92"/>
  <c r="R63" i="92"/>
  <c r="R39" i="92"/>
  <c r="R58" i="92"/>
  <c r="R51" i="92"/>
  <c r="R40" i="92"/>
  <c r="R64" i="92"/>
  <c r="R34" i="92"/>
  <c r="L20" i="79"/>
  <c r="D64" i="79"/>
  <c r="Z282" i="3"/>
  <c r="H295" i="3"/>
  <c r="T27" i="44"/>
  <c r="Z18" i="44"/>
  <c r="L18" i="28"/>
  <c r="D27" i="28"/>
  <c r="X18" i="8"/>
  <c r="P27" i="8"/>
  <c r="R47" i="109"/>
  <c r="R36" i="109"/>
  <c r="R35" i="109"/>
  <c r="R31" i="109"/>
  <c r="R26" i="109"/>
  <c r="R22" i="109"/>
  <c r="R38" i="109"/>
  <c r="R37" i="109"/>
  <c r="R49" i="109"/>
  <c r="R48" i="109"/>
  <c r="R40" i="109"/>
  <c r="R39" i="109"/>
  <c r="R27" i="109"/>
  <c r="R23" i="109"/>
  <c r="R53" i="109"/>
  <c r="R50" i="109"/>
  <c r="R52" i="109"/>
  <c r="R42" i="109"/>
  <c r="R41" i="109"/>
  <c r="R33" i="109"/>
  <c r="R28" i="109"/>
  <c r="R24" i="109"/>
  <c r="R57" i="109"/>
  <c r="R44" i="109"/>
  <c r="R43" i="109"/>
  <c r="R20" i="109"/>
  <c r="R46" i="109"/>
  <c r="R21" i="109"/>
  <c r="R19" i="109"/>
  <c r="R29" i="109"/>
  <c r="R25" i="109"/>
  <c r="R15" i="109"/>
  <c r="X12" i="109"/>
  <c r="Z12" i="109" s="1"/>
  <c r="R34" i="109"/>
  <c r="R32" i="109"/>
  <c r="R30" i="109"/>
  <c r="P17" i="109"/>
  <c r="R45" i="109"/>
  <c r="Z69" i="101"/>
  <c r="L12" i="103"/>
  <c r="N12" i="103" s="1"/>
  <c r="H44" i="102"/>
  <c r="N16" i="102"/>
  <c r="Z17" i="99"/>
  <c r="T43" i="99"/>
  <c r="N17" i="99"/>
  <c r="H43" i="99"/>
  <c r="R72" i="94"/>
  <c r="R65" i="94"/>
  <c r="R64" i="94"/>
  <c r="R60" i="94"/>
  <c r="R53" i="94"/>
  <c r="R52" i="94"/>
  <c r="R62" i="94"/>
  <c r="R59" i="94"/>
  <c r="R31" i="94"/>
  <c r="R30" i="94"/>
  <c r="R26" i="94"/>
  <c r="R55" i="94"/>
  <c r="R54" i="94"/>
  <c r="R48" i="94"/>
  <c r="R47" i="94"/>
  <c r="R32" i="94"/>
  <c r="X12" i="94"/>
  <c r="Z12" i="94" s="1"/>
  <c r="R40" i="94"/>
  <c r="R39" i="94"/>
  <c r="R27" i="94"/>
  <c r="R66" i="94"/>
  <c r="R63" i="94"/>
  <c r="R49" i="94"/>
  <c r="R23" i="94"/>
  <c r="R18" i="94"/>
  <c r="R57" i="94"/>
  <c r="R56" i="94"/>
  <c r="R42" i="94"/>
  <c r="R41" i="94"/>
  <c r="R33" i="94"/>
  <c r="R22" i="94"/>
  <c r="R61" i="94"/>
  <c r="R58" i="94"/>
  <c r="R51" i="94"/>
  <c r="R44" i="94"/>
  <c r="R46" i="94"/>
  <c r="R36" i="94"/>
  <c r="R35" i="94"/>
  <c r="R16" i="94"/>
  <c r="R50" i="94"/>
  <c r="R37" i="94"/>
  <c r="R28" i="94"/>
  <c r="R24" i="94"/>
  <c r="R38" i="94"/>
  <c r="P20" i="94"/>
  <c r="R29" i="94"/>
  <c r="R17" i="94"/>
  <c r="R34" i="94"/>
  <c r="R45" i="94"/>
  <c r="R43" i="94"/>
  <c r="R25" i="94"/>
  <c r="R68" i="94"/>
  <c r="T69" i="92"/>
  <c r="D69" i="92"/>
  <c r="L19" i="92"/>
  <c r="N19" i="92" s="1"/>
  <c r="J20" i="87"/>
  <c r="J107" i="84"/>
  <c r="J87" i="84"/>
  <c r="J75" i="84"/>
  <c r="J61" i="84"/>
  <c r="J57" i="84"/>
  <c r="J88" i="84"/>
  <c r="J76" i="84"/>
  <c r="J95" i="84"/>
  <c r="J77" i="84"/>
  <c r="J67" i="84"/>
  <c r="J96" i="84"/>
  <c r="J78" i="84"/>
  <c r="J62" i="84"/>
  <c r="J58" i="84"/>
  <c r="J97" i="84"/>
  <c r="J89" i="84"/>
  <c r="J79" i="84"/>
  <c r="J63" i="84"/>
  <c r="J49" i="84"/>
  <c r="J45" i="84"/>
  <c r="J41" i="84"/>
  <c r="J98" i="84"/>
  <c r="J80" i="84"/>
  <c r="J68" i="84"/>
  <c r="J64" i="84"/>
  <c r="J54" i="84"/>
  <c r="N12" i="84"/>
  <c r="J99" i="84"/>
  <c r="J100" i="84"/>
  <c r="J101" i="84"/>
  <c r="J91" i="84"/>
  <c r="J83" i="84"/>
  <c r="J71" i="84"/>
  <c r="J65" i="84"/>
  <c r="J94" i="84"/>
  <c r="J86" i="84"/>
  <c r="J74" i="84"/>
  <c r="J66" i="84"/>
  <c r="J38" i="84"/>
  <c r="J92" i="84"/>
  <c r="J56" i="84"/>
  <c r="J81" i="84"/>
  <c r="J69" i="84"/>
  <c r="J47" i="84"/>
  <c r="J90" i="84"/>
  <c r="J43" i="84"/>
  <c r="J103" i="84"/>
  <c r="J93" i="84"/>
  <c r="J59" i="84"/>
  <c r="H51" i="84"/>
  <c r="J37" i="84"/>
  <c r="J84" i="84"/>
  <c r="J72" i="84"/>
  <c r="J48" i="84"/>
  <c r="J39" i="84"/>
  <c r="J55" i="84"/>
  <c r="J46" i="84"/>
  <c r="J60" i="84"/>
  <c r="J40" i="84"/>
  <c r="J73" i="84"/>
  <c r="J44" i="84"/>
  <c r="J82" i="84"/>
  <c r="J53" i="84"/>
  <c r="J70" i="84"/>
  <c r="J85" i="84"/>
  <c r="J42" i="84"/>
  <c r="F99" i="76"/>
  <c r="F94" i="76"/>
  <c r="F73" i="76"/>
  <c r="F72" i="76"/>
  <c r="F61" i="76"/>
  <c r="F57" i="76"/>
  <c r="F93" i="76"/>
  <c r="F84" i="76"/>
  <c r="F83" i="76"/>
  <c r="F48" i="76"/>
  <c r="F44" i="76"/>
  <c r="F40" i="76"/>
  <c r="F92" i="76"/>
  <c r="F75" i="76"/>
  <c r="F74" i="76"/>
  <c r="F67" i="76"/>
  <c r="F86" i="76"/>
  <c r="F85" i="76"/>
  <c r="F62" i="76"/>
  <c r="F58" i="76"/>
  <c r="F77" i="76"/>
  <c r="F76" i="76"/>
  <c r="F49" i="76"/>
  <c r="F45" i="76"/>
  <c r="F41" i="76"/>
  <c r="F68" i="76"/>
  <c r="L12" i="76"/>
  <c r="N12" i="76" s="1"/>
  <c r="F87" i="76"/>
  <c r="F63" i="76"/>
  <c r="F59" i="76"/>
  <c r="F55" i="76"/>
  <c r="F54" i="76"/>
  <c r="F78" i="76"/>
  <c r="F53" i="76"/>
  <c r="F46" i="76"/>
  <c r="F42" i="76"/>
  <c r="F69" i="76"/>
  <c r="F65" i="76"/>
  <c r="F64" i="76"/>
  <c r="D51" i="76"/>
  <c r="F51" i="76" s="1"/>
  <c r="F95" i="76"/>
  <c r="F90" i="76"/>
  <c r="F89" i="76"/>
  <c r="F82" i="76"/>
  <c r="F81" i="76"/>
  <c r="F66" i="76"/>
  <c r="F70" i="76"/>
  <c r="F39" i="76"/>
  <c r="F60" i="76"/>
  <c r="F80" i="76"/>
  <c r="F88" i="76"/>
  <c r="F43" i="76"/>
  <c r="F38" i="76"/>
  <c r="F71" i="76"/>
  <c r="F47" i="76"/>
  <c r="F79" i="76"/>
  <c r="F56" i="76"/>
  <c r="H58" i="78"/>
  <c r="N24" i="78"/>
  <c r="D97" i="63"/>
  <c r="L16" i="63"/>
  <c r="N16" i="60"/>
  <c r="H44" i="60"/>
  <c r="T45" i="67"/>
  <c r="Z16" i="67"/>
  <c r="H64" i="57"/>
  <c r="J54" i="68"/>
  <c r="V95" i="24"/>
  <c r="V87" i="24"/>
  <c r="V79" i="24"/>
  <c r="V75" i="24"/>
  <c r="V71" i="24"/>
  <c r="V98" i="24"/>
  <c r="V86" i="24"/>
  <c r="V70" i="24"/>
  <c r="V68" i="24"/>
  <c r="V66" i="24"/>
  <c r="V62" i="24"/>
  <c r="V58" i="24"/>
  <c r="V54" i="24"/>
  <c r="V50" i="24"/>
  <c r="V46" i="24"/>
  <c r="V105" i="24"/>
  <c r="V97" i="24"/>
  <c r="V89" i="24"/>
  <c r="V81" i="24"/>
  <c r="T68" i="24"/>
  <c r="X68" i="24" s="1"/>
  <c r="V88" i="24"/>
  <c r="V76" i="24"/>
  <c r="V72" i="24"/>
  <c r="V107" i="24"/>
  <c r="V99" i="24"/>
  <c r="V63" i="24"/>
  <c r="V59" i="24"/>
  <c r="V55" i="24"/>
  <c r="V51" i="24"/>
  <c r="V47" i="24"/>
  <c r="V106" i="24"/>
  <c r="V90" i="24"/>
  <c r="V82" i="24"/>
  <c r="V101" i="24"/>
  <c r="V77" i="24"/>
  <c r="V73" i="24"/>
  <c r="V110" i="24"/>
  <c r="V108" i="24"/>
  <c r="V100" i="24"/>
  <c r="V92" i="24"/>
  <c r="V64" i="24"/>
  <c r="V60" i="24"/>
  <c r="V56" i="24"/>
  <c r="V52" i="24"/>
  <c r="V48" i="24"/>
  <c r="V103" i="24"/>
  <c r="V91" i="24"/>
  <c r="V83" i="24"/>
  <c r="V102" i="24"/>
  <c r="V94" i="24"/>
  <c r="V78" i="24"/>
  <c r="V74" i="24"/>
  <c r="V114" i="24"/>
  <c r="V104" i="24"/>
  <c r="V96" i="24"/>
  <c r="V84" i="24"/>
  <c r="V80" i="24"/>
  <c r="Z12" i="24"/>
  <c r="V85" i="24"/>
  <c r="V57" i="24"/>
  <c r="V65" i="24"/>
  <c r="V45" i="24"/>
  <c r="V53" i="24"/>
  <c r="V93" i="24"/>
  <c r="V61" i="24"/>
  <c r="V49" i="24"/>
  <c r="X104" i="27"/>
  <c r="Z104" i="27" s="1"/>
  <c r="L16" i="6"/>
  <c r="D22" i="6"/>
  <c r="D90" i="9"/>
  <c r="L16" i="9"/>
  <c r="P94" i="9"/>
  <c r="H27" i="110"/>
  <c r="N18" i="110"/>
  <c r="L18" i="110"/>
  <c r="D27" i="110"/>
  <c r="L18" i="112"/>
  <c r="D27" i="112"/>
  <c r="L18" i="53"/>
  <c r="D27" i="53"/>
  <c r="T27" i="46"/>
  <c r="Z18" i="46"/>
  <c r="L18" i="46"/>
  <c r="D27" i="46"/>
  <c r="X18" i="14"/>
  <c r="P27" i="14"/>
  <c r="L18" i="16"/>
  <c r="D27" i="16"/>
  <c r="P27" i="20"/>
  <c r="X18" i="20"/>
  <c r="H27" i="4"/>
  <c r="N18" i="4"/>
  <c r="H27" i="8"/>
  <c r="N18" i="8"/>
  <c r="T27" i="11"/>
  <c r="Z18" i="11"/>
  <c r="P27" i="11"/>
  <c r="X18" i="11"/>
  <c r="X16" i="102"/>
  <c r="P44" i="102"/>
  <c r="L19" i="100"/>
  <c r="N19" i="100" s="1"/>
  <c r="D54" i="100"/>
  <c r="H22" i="98"/>
  <c r="N16" i="98"/>
  <c r="J79" i="95"/>
  <c r="J67" i="95"/>
  <c r="J53" i="95"/>
  <c r="J43" i="95"/>
  <c r="J35" i="95"/>
  <c r="J68" i="95"/>
  <c r="J62" i="95"/>
  <c r="J74" i="95"/>
  <c r="J70" i="95"/>
  <c r="J58" i="95"/>
  <c r="J46" i="95"/>
  <c r="J32" i="95"/>
  <c r="J18" i="95"/>
  <c r="J47" i="95"/>
  <c r="J37" i="95"/>
  <c r="J33" i="95"/>
  <c r="J23" i="95"/>
  <c r="J75" i="95"/>
  <c r="J71" i="95"/>
  <c r="J59" i="95"/>
  <c r="J49" i="95"/>
  <c r="J78" i="95"/>
  <c r="J72" i="95"/>
  <c r="J66" i="95"/>
  <c r="J52" i="95"/>
  <c r="J42" i="95"/>
  <c r="J81" i="95"/>
  <c r="J55" i="95"/>
  <c r="J36" i="95"/>
  <c r="J30" i="95"/>
  <c r="J27" i="95"/>
  <c r="J24" i="95"/>
  <c r="J48" i="95"/>
  <c r="J39" i="95"/>
  <c r="H20" i="95"/>
  <c r="J85" i="95"/>
  <c r="J65" i="95"/>
  <c r="J63" i="95"/>
  <c r="J34" i="95"/>
  <c r="J17" i="95"/>
  <c r="J76" i="95"/>
  <c r="J61" i="95"/>
  <c r="J56" i="95"/>
  <c r="J44" i="95"/>
  <c r="J31" i="95"/>
  <c r="J28" i="95"/>
  <c r="J25" i="95"/>
  <c r="J22" i="95"/>
  <c r="J40" i="95"/>
  <c r="J50" i="95"/>
  <c r="J64" i="95"/>
  <c r="J41" i="95"/>
  <c r="J38" i="95"/>
  <c r="J29" i="95"/>
  <c r="J26" i="95"/>
  <c r="L12" i="95"/>
  <c r="N12" i="95" s="1"/>
  <c r="J69" i="95"/>
  <c r="J60" i="95"/>
  <c r="J73" i="95"/>
  <c r="J16" i="95"/>
  <c r="J54" i="95"/>
  <c r="J77" i="95"/>
  <c r="J51" i="95"/>
  <c r="J57" i="95"/>
  <c r="J45" i="95"/>
  <c r="V64" i="94"/>
  <c r="V60" i="94"/>
  <c r="V55" i="94"/>
  <c r="V43" i="94"/>
  <c r="V72" i="94"/>
  <c r="V48" i="94"/>
  <c r="V37" i="94"/>
  <c r="V17" i="94"/>
  <c r="V39" i="94"/>
  <c r="V27" i="94"/>
  <c r="V23" i="94"/>
  <c r="V66" i="94"/>
  <c r="V63" i="94"/>
  <c r="V57" i="94"/>
  <c r="V49" i="94"/>
  <c r="V42" i="94"/>
  <c r="V22" i="94"/>
  <c r="V20" i="94"/>
  <c r="V18" i="94"/>
  <c r="V56" i="94"/>
  <c r="V41" i="94"/>
  <c r="V33" i="94"/>
  <c r="T20" i="94"/>
  <c r="V68" i="94"/>
  <c r="V28" i="94"/>
  <c r="V24" i="94"/>
  <c r="V51" i="94"/>
  <c r="V50" i="94"/>
  <c r="V44" i="94"/>
  <c r="V62" i="94"/>
  <c r="V59" i="94"/>
  <c r="V38" i="94"/>
  <c r="V30" i="94"/>
  <c r="V26" i="94"/>
  <c r="V40" i="94"/>
  <c r="V53" i="94"/>
  <c r="V35" i="94"/>
  <c r="V31" i="94"/>
  <c r="V29" i="94"/>
  <c r="V36" i="94"/>
  <c r="V34" i="94"/>
  <c r="V47" i="94"/>
  <c r="V45" i="94"/>
  <c r="V32" i="94"/>
  <c r="V25" i="94"/>
  <c r="V65" i="94"/>
  <c r="V61" i="94"/>
  <c r="V58" i="94"/>
  <c r="V46" i="94"/>
  <c r="V52" i="94"/>
  <c r="V54" i="94"/>
  <c r="V16" i="94"/>
  <c r="P33" i="85"/>
  <c r="V97" i="84"/>
  <c r="V89" i="84"/>
  <c r="V81" i="84"/>
  <c r="V69" i="84"/>
  <c r="V53" i="84"/>
  <c r="V49" i="84"/>
  <c r="V45" i="84"/>
  <c r="V41" i="84"/>
  <c r="V37" i="84"/>
  <c r="V100" i="84"/>
  <c r="V80" i="84"/>
  <c r="V68" i="84"/>
  <c r="V99" i="84"/>
  <c r="V91" i="84"/>
  <c r="V83" i="84"/>
  <c r="V71" i="84"/>
  <c r="V59" i="84"/>
  <c r="V55" i="84"/>
  <c r="V90" i="84"/>
  <c r="V82" i="84"/>
  <c r="V70" i="84"/>
  <c r="V103" i="84"/>
  <c r="V101" i="84"/>
  <c r="V93" i="84"/>
  <c r="V85" i="84"/>
  <c r="V73" i="84"/>
  <c r="V65" i="84"/>
  <c r="V92" i="84"/>
  <c r="V84" i="84"/>
  <c r="V72" i="84"/>
  <c r="V60" i="84"/>
  <c r="V56" i="84"/>
  <c r="V107" i="84"/>
  <c r="V77" i="84"/>
  <c r="V61" i="84"/>
  <c r="V57" i="84"/>
  <c r="V98" i="84"/>
  <c r="V78" i="84"/>
  <c r="V62" i="84"/>
  <c r="V58" i="84"/>
  <c r="V54" i="84"/>
  <c r="V88" i="84"/>
  <c r="V76" i="84"/>
  <c r="V86" i="84"/>
  <c r="V79" i="84"/>
  <c r="V74" i="84"/>
  <c r="V67" i="84"/>
  <c r="V43" i="84"/>
  <c r="T51" i="84"/>
  <c r="V48" i="84"/>
  <c r="V39" i="84"/>
  <c r="V95" i="84"/>
  <c r="V87" i="84"/>
  <c r="V75" i="84"/>
  <c r="V66" i="84"/>
  <c r="V64" i="84"/>
  <c r="V44" i="84"/>
  <c r="V46" i="84"/>
  <c r="V40" i="84"/>
  <c r="V42" i="84"/>
  <c r="V63" i="84"/>
  <c r="V38" i="84"/>
  <c r="V47" i="84"/>
  <c r="V96" i="84"/>
  <c r="V94" i="84"/>
  <c r="N20" i="79"/>
  <c r="H64" i="79"/>
  <c r="F96" i="74"/>
  <c r="F95" i="74"/>
  <c r="F84" i="74"/>
  <c r="F80" i="74"/>
  <c r="F79" i="74"/>
  <c r="F75" i="74"/>
  <c r="F71" i="74"/>
  <c r="F70" i="74"/>
  <c r="F102" i="74"/>
  <c r="F86" i="74"/>
  <c r="F85" i="74"/>
  <c r="F69" i="74"/>
  <c r="F67" i="74"/>
  <c r="F97" i="74"/>
  <c r="F81" i="74"/>
  <c r="D67" i="74"/>
  <c r="F104" i="74"/>
  <c r="F103" i="74"/>
  <c r="F88" i="74"/>
  <c r="F87" i="74"/>
  <c r="F76" i="74"/>
  <c r="F72" i="74"/>
  <c r="F99" i="74"/>
  <c r="F98" i="74"/>
  <c r="F63" i="74"/>
  <c r="F59" i="74"/>
  <c r="F55" i="74"/>
  <c r="F51" i="74"/>
  <c r="F50" i="74"/>
  <c r="F110" i="74"/>
  <c r="F77" i="74"/>
  <c r="F73" i="74"/>
  <c r="F114" i="74"/>
  <c r="F109" i="74"/>
  <c r="F100" i="74"/>
  <c r="F92" i="74"/>
  <c r="F91" i="74"/>
  <c r="F101" i="74"/>
  <c r="F65" i="74"/>
  <c r="F61" i="74"/>
  <c r="F57" i="74"/>
  <c r="F53" i="74"/>
  <c r="F105" i="74"/>
  <c r="F89" i="74"/>
  <c r="F94" i="74"/>
  <c r="F83" i="74"/>
  <c r="F106" i="74"/>
  <c r="F90" i="74"/>
  <c r="F52" i="74"/>
  <c r="F56" i="74"/>
  <c r="F54" i="74"/>
  <c r="F60" i="74"/>
  <c r="F58" i="74"/>
  <c r="L12" i="74"/>
  <c r="F93" i="74"/>
  <c r="F74" i="74"/>
  <c r="F78" i="74"/>
  <c r="F108" i="74"/>
  <c r="F62" i="74"/>
  <c r="F64" i="74"/>
  <c r="F82" i="74"/>
  <c r="V109" i="74"/>
  <c r="V99" i="74"/>
  <c r="V91" i="74"/>
  <c r="V63" i="74"/>
  <c r="V59" i="74"/>
  <c r="V55" i="74"/>
  <c r="V51" i="74"/>
  <c r="V108" i="74"/>
  <c r="V106" i="74"/>
  <c r="V90" i="74"/>
  <c r="V82" i="74"/>
  <c r="V93" i="74"/>
  <c r="V77" i="74"/>
  <c r="V73" i="74"/>
  <c r="V114" i="74"/>
  <c r="V100" i="74"/>
  <c r="V92" i="74"/>
  <c r="V64" i="74"/>
  <c r="V60" i="74"/>
  <c r="V56" i="74"/>
  <c r="V52" i="74"/>
  <c r="V95" i="74"/>
  <c r="V83" i="74"/>
  <c r="V79" i="74"/>
  <c r="V94" i="74"/>
  <c r="V78" i="74"/>
  <c r="V74" i="74"/>
  <c r="V70" i="74"/>
  <c r="V96" i="74"/>
  <c r="V84" i="74"/>
  <c r="V80" i="74"/>
  <c r="T67" i="74"/>
  <c r="V67" i="74" s="1"/>
  <c r="V103" i="74"/>
  <c r="V110" i="74"/>
  <c r="V104" i="74"/>
  <c r="V88" i="74"/>
  <c r="V76" i="74"/>
  <c r="V72" i="74"/>
  <c r="V65" i="74"/>
  <c r="V50" i="74"/>
  <c r="V54" i="74"/>
  <c r="V58" i="74"/>
  <c r="V102" i="74"/>
  <c r="V62" i="74"/>
  <c r="V86" i="74"/>
  <c r="V97" i="74"/>
  <c r="V87" i="74"/>
  <c r="V85" i="74"/>
  <c r="V101" i="74"/>
  <c r="V53" i="74"/>
  <c r="V81" i="74"/>
  <c r="V71" i="74"/>
  <c r="V69" i="74"/>
  <c r="V89" i="74"/>
  <c r="V98" i="74"/>
  <c r="V75" i="74"/>
  <c r="V61" i="74"/>
  <c r="V105" i="74"/>
  <c r="V57" i="74"/>
  <c r="L108" i="74"/>
  <c r="X16" i="59"/>
  <c r="P55" i="59"/>
  <c r="L16" i="67"/>
  <c r="Z16" i="63"/>
  <c r="T97" i="63"/>
  <c r="D55" i="59"/>
  <c r="L16" i="59"/>
  <c r="D64" i="57"/>
  <c r="L60" i="57"/>
  <c r="N60" i="57" s="1"/>
  <c r="J79" i="51"/>
  <c r="J69" i="51"/>
  <c r="J65" i="51"/>
  <c r="J88" i="51"/>
  <c r="J80" i="51"/>
  <c r="J70" i="51"/>
  <c r="J60" i="51"/>
  <c r="J56" i="51"/>
  <c r="J95" i="51"/>
  <c r="J89" i="51"/>
  <c r="J81" i="51"/>
  <c r="J71" i="51"/>
  <c r="J47" i="51"/>
  <c r="J43" i="51"/>
  <c r="J39" i="51"/>
  <c r="J94" i="51"/>
  <c r="J90" i="51"/>
  <c r="J82" i="51"/>
  <c r="J72" i="51"/>
  <c r="J66" i="51"/>
  <c r="J99" i="51"/>
  <c r="J93" i="51"/>
  <c r="J83" i="51"/>
  <c r="J73" i="51"/>
  <c r="J61" i="51"/>
  <c r="J57" i="51"/>
  <c r="J92" i="51"/>
  <c r="J84" i="51"/>
  <c r="J74" i="51"/>
  <c r="J48" i="51"/>
  <c r="J44" i="51"/>
  <c r="J40" i="51"/>
  <c r="J85" i="51"/>
  <c r="J75" i="51"/>
  <c r="J67" i="51"/>
  <c r="J77" i="51"/>
  <c r="J49" i="51"/>
  <c r="J45" i="51"/>
  <c r="J41" i="51"/>
  <c r="J68" i="51"/>
  <c r="J54" i="51"/>
  <c r="J78" i="51"/>
  <c r="J64" i="51"/>
  <c r="H51" i="51"/>
  <c r="J46" i="51"/>
  <c r="J42" i="51"/>
  <c r="J58" i="51"/>
  <c r="J62" i="51"/>
  <c r="J55" i="51"/>
  <c r="J53" i="51"/>
  <c r="J87" i="51"/>
  <c r="J59" i="51"/>
  <c r="J76" i="51"/>
  <c r="J63" i="51"/>
  <c r="J86" i="51"/>
  <c r="J38" i="51"/>
  <c r="L12" i="51"/>
  <c r="N12" i="51" s="1"/>
  <c r="D113" i="42"/>
  <c r="L27" i="42"/>
  <c r="D123" i="39"/>
  <c r="V95" i="39"/>
  <c r="V83" i="39"/>
  <c r="V71" i="39"/>
  <c r="V43" i="39"/>
  <c r="V39" i="39"/>
  <c r="V94" i="39"/>
  <c r="V90" i="39"/>
  <c r="V82" i="39"/>
  <c r="V62" i="39"/>
  <c r="V54" i="39"/>
  <c r="V30" i="39"/>
  <c r="V113" i="39"/>
  <c r="V105" i="39"/>
  <c r="V101" i="39"/>
  <c r="V97" i="39"/>
  <c r="V73" i="39"/>
  <c r="V53" i="39"/>
  <c r="V49" i="39"/>
  <c r="V96" i="39"/>
  <c r="V84" i="39"/>
  <c r="V64" i="39"/>
  <c r="V56" i="39"/>
  <c r="V44" i="39"/>
  <c r="V40" i="39"/>
  <c r="V36" i="39"/>
  <c r="V121" i="39"/>
  <c r="V115" i="39"/>
  <c r="V107" i="39"/>
  <c r="V91" i="39"/>
  <c r="V75" i="39"/>
  <c r="V63" i="39"/>
  <c r="V55" i="39"/>
  <c r="V35" i="39"/>
  <c r="V31" i="39"/>
  <c r="V120" i="39"/>
  <c r="V114" i="39"/>
  <c r="V106" i="39"/>
  <c r="V102" i="39"/>
  <c r="V98" i="39"/>
  <c r="V86" i="39"/>
  <c r="V74" i="39"/>
  <c r="V66" i="39"/>
  <c r="V58" i="39"/>
  <c r="V50" i="39"/>
  <c r="V46" i="39"/>
  <c r="T33" i="39"/>
  <c r="V119" i="39"/>
  <c r="V109" i="39"/>
  <c r="V85" i="39"/>
  <c r="V77" i="39"/>
  <c r="V65" i="39"/>
  <c r="V57" i="39"/>
  <c r="V45" i="39"/>
  <c r="V41" i="39"/>
  <c r="V37" i="39"/>
  <c r="V125" i="39"/>
  <c r="V111" i="39"/>
  <c r="V103" i="39"/>
  <c r="V99" i="39"/>
  <c r="V87" i="39"/>
  <c r="V79" i="39"/>
  <c r="V67" i="39"/>
  <c r="V59" i="39"/>
  <c r="V51" i="39"/>
  <c r="V47" i="39"/>
  <c r="V110" i="39"/>
  <c r="V78" i="39"/>
  <c r="V70" i="39"/>
  <c r="V42" i="39"/>
  <c r="V38" i="39"/>
  <c r="V112" i="39"/>
  <c r="V104" i="39"/>
  <c r="V100" i="39"/>
  <c r="V88" i="39"/>
  <c r="V80" i="39"/>
  <c r="V72" i="39"/>
  <c r="V52" i="39"/>
  <c r="V48" i="39"/>
  <c r="V118" i="39"/>
  <c r="V108" i="39"/>
  <c r="V92" i="39"/>
  <c r="V89" i="39"/>
  <c r="V76" i="39"/>
  <c r="V61" i="39"/>
  <c r="V116" i="39"/>
  <c r="V93" i="39"/>
  <c r="V69" i="39"/>
  <c r="V60" i="39"/>
  <c r="V81" i="39"/>
  <c r="V68" i="39"/>
  <c r="V29" i="39"/>
  <c r="T120" i="42"/>
  <c r="T118" i="36"/>
  <c r="V28" i="36"/>
  <c r="D140" i="30"/>
  <c r="L74" i="30"/>
  <c r="N74" i="30" s="1"/>
  <c r="V254" i="18"/>
  <c r="V246" i="18"/>
  <c r="V242" i="18"/>
  <c r="V230" i="18"/>
  <c r="V214" i="18"/>
  <c r="V194" i="18"/>
  <c r="V166" i="18"/>
  <c r="V162" i="18"/>
  <c r="V158" i="18"/>
  <c r="V154" i="18"/>
  <c r="V150" i="18"/>
  <c r="V146" i="18"/>
  <c r="V142" i="18"/>
  <c r="V138" i="18"/>
  <c r="V271" i="18"/>
  <c r="V253" i="18"/>
  <c r="V225" i="18"/>
  <c r="V213" i="18"/>
  <c r="V205" i="18"/>
  <c r="V197" i="18"/>
  <c r="V189" i="18"/>
  <c r="V185" i="18"/>
  <c r="V270" i="18"/>
  <c r="V236" i="18"/>
  <c r="V216" i="18"/>
  <c r="V204" i="18"/>
  <c r="V196" i="18"/>
  <c r="V184" i="18"/>
  <c r="V180" i="18"/>
  <c r="V176" i="18"/>
  <c r="V269" i="18"/>
  <c r="V255" i="18"/>
  <c r="V247" i="18"/>
  <c r="V243" i="18"/>
  <c r="V231" i="18"/>
  <c r="V215" i="18"/>
  <c r="V207" i="18"/>
  <c r="V199" i="18"/>
  <c r="V167" i="18"/>
  <c r="V163" i="18"/>
  <c r="V159" i="18"/>
  <c r="V155" i="18"/>
  <c r="V151" i="18"/>
  <c r="V147" i="18"/>
  <c r="V143" i="18"/>
  <c r="V139" i="18"/>
  <c r="V135" i="18"/>
  <c r="V131" i="18"/>
  <c r="V127" i="18"/>
  <c r="V123" i="18"/>
  <c r="V119" i="18"/>
  <c r="V268" i="18"/>
  <c r="V238" i="18"/>
  <c r="V226" i="18"/>
  <c r="V218" i="18"/>
  <c r="V206" i="18"/>
  <c r="V198" i="18"/>
  <c r="V190" i="18"/>
  <c r="V186" i="18"/>
  <c r="V275" i="18"/>
  <c r="V267" i="18"/>
  <c r="V249" i="18"/>
  <c r="V237" i="18"/>
  <c r="V233" i="18"/>
  <c r="V217" i="18"/>
  <c r="V209" i="18"/>
  <c r="V181" i="18"/>
  <c r="V177" i="18"/>
  <c r="V266" i="18"/>
  <c r="V256" i="18"/>
  <c r="V248" i="18"/>
  <c r="V244" i="18"/>
  <c r="V232" i="18"/>
  <c r="V220" i="18"/>
  <c r="V208" i="18"/>
  <c r="V200" i="18"/>
  <c r="V168" i="18"/>
  <c r="V164" i="18"/>
  <c r="V160" i="18"/>
  <c r="V156" i="18"/>
  <c r="V152" i="18"/>
  <c r="V148" i="18"/>
  <c r="V144" i="18"/>
  <c r="V140" i="18"/>
  <c r="V136" i="18"/>
  <c r="V132" i="18"/>
  <c r="V128" i="18"/>
  <c r="V124" i="18"/>
  <c r="V120" i="18"/>
  <c r="V264" i="18"/>
  <c r="V258" i="18"/>
  <c r="V250" i="18"/>
  <c r="V234" i="18"/>
  <c r="V222" i="18"/>
  <c r="V210" i="18"/>
  <c r="V202" i="18"/>
  <c r="V182" i="18"/>
  <c r="V178" i="18"/>
  <c r="V174" i="18"/>
  <c r="V263" i="18"/>
  <c r="V257" i="18"/>
  <c r="V245" i="18"/>
  <c r="V241" i="18"/>
  <c r="V229" i="18"/>
  <c r="V221" i="18"/>
  <c r="V201" i="18"/>
  <c r="V193" i="18"/>
  <c r="V173" i="18"/>
  <c r="V169" i="18"/>
  <c r="V165" i="18"/>
  <c r="V161" i="18"/>
  <c r="V157" i="18"/>
  <c r="V153" i="18"/>
  <c r="V149" i="18"/>
  <c r="V145" i="18"/>
  <c r="V141" i="18"/>
  <c r="V137" i="18"/>
  <c r="V133" i="18"/>
  <c r="V129" i="18"/>
  <c r="V125" i="18"/>
  <c r="V121" i="18"/>
  <c r="V117" i="18"/>
  <c r="V261" i="18"/>
  <c r="V259" i="18"/>
  <c r="V251" i="18"/>
  <c r="V235" i="18"/>
  <c r="V223" i="18"/>
  <c r="V203" i="18"/>
  <c r="V195" i="18"/>
  <c r="V183" i="18"/>
  <c r="V179" i="18"/>
  <c r="V175" i="18"/>
  <c r="V240" i="18"/>
  <c r="V191" i="18"/>
  <c r="V134" i="18"/>
  <c r="V118" i="18"/>
  <c r="V228" i="18"/>
  <c r="V219" i="18"/>
  <c r="V187" i="18"/>
  <c r="T171" i="18"/>
  <c r="V262" i="18"/>
  <c r="V252" i="18"/>
  <c r="V239" i="18"/>
  <c r="V122" i="18"/>
  <c r="V126" i="18"/>
  <c r="V212" i="18"/>
  <c r="V192" i="18"/>
  <c r="V227" i="18"/>
  <c r="V224" i="18"/>
  <c r="V265" i="18"/>
  <c r="V130" i="18"/>
  <c r="V188" i="18"/>
  <c r="V211" i="18"/>
  <c r="Z245" i="12"/>
  <c r="V245" i="12"/>
  <c r="L18" i="111"/>
  <c r="D27" i="111"/>
  <c r="H27" i="112"/>
  <c r="N18" i="112"/>
  <c r="X18" i="53"/>
  <c r="P27" i="53"/>
  <c r="X18" i="50"/>
  <c r="P27" i="50"/>
  <c r="T27" i="43"/>
  <c r="Z18" i="43"/>
  <c r="H27" i="40"/>
  <c r="N18" i="40"/>
  <c r="P27" i="35"/>
  <c r="X18" i="35"/>
  <c r="H27" i="29"/>
  <c r="N18" i="29"/>
  <c r="X18" i="23"/>
  <c r="P27" i="23"/>
  <c r="T27" i="20"/>
  <c r="Z18" i="20"/>
  <c r="T27" i="17"/>
  <c r="Z18" i="17"/>
  <c r="X18" i="16"/>
  <c r="P27" i="16"/>
  <c r="T27" i="19"/>
  <c r="Z18" i="19"/>
  <c r="L18" i="17"/>
  <c r="D27" i="17"/>
  <c r="H27" i="17"/>
  <c r="N18" i="17"/>
  <c r="H73" i="73"/>
  <c r="N108" i="74"/>
  <c r="J65" i="75"/>
  <c r="J59" i="75"/>
  <c r="J51" i="75"/>
  <c r="H28" i="75"/>
  <c r="J66" i="75"/>
  <c r="J42" i="75"/>
  <c r="J69" i="75"/>
  <c r="J37" i="75"/>
  <c r="J33" i="75"/>
  <c r="J68" i="75"/>
  <c r="J60" i="75"/>
  <c r="J52" i="75"/>
  <c r="J73" i="75"/>
  <c r="J53" i="75"/>
  <c r="J43" i="75"/>
  <c r="J54" i="75"/>
  <c r="J44" i="75"/>
  <c r="J38" i="75"/>
  <c r="J34" i="75"/>
  <c r="J61" i="75"/>
  <c r="J55" i="75"/>
  <c r="J45" i="75"/>
  <c r="J56" i="75"/>
  <c r="J46" i="75"/>
  <c r="N12" i="75"/>
  <c r="J57" i="75"/>
  <c r="J47" i="75"/>
  <c r="J39" i="75"/>
  <c r="J35" i="75"/>
  <c r="J64" i="75"/>
  <c r="J50" i="75"/>
  <c r="J36" i="75"/>
  <c r="J32" i="75"/>
  <c r="J30" i="75"/>
  <c r="J26" i="75"/>
  <c r="J48" i="75"/>
  <c r="J63" i="75"/>
  <c r="J58" i="75"/>
  <c r="J31" i="75"/>
  <c r="J41" i="75"/>
  <c r="J49" i="75"/>
  <c r="J62" i="75"/>
  <c r="J40" i="75"/>
  <c r="V100" i="70"/>
  <c r="V92" i="70"/>
  <c r="V80" i="70"/>
  <c r="V72" i="70"/>
  <c r="V48" i="70"/>
  <c r="V44" i="70"/>
  <c r="V40" i="70"/>
  <c r="V105" i="70"/>
  <c r="V99" i="70"/>
  <c r="V83" i="70"/>
  <c r="V71" i="70"/>
  <c r="V67" i="70"/>
  <c r="V104" i="70"/>
  <c r="V82" i="70"/>
  <c r="V74" i="70"/>
  <c r="V62" i="70"/>
  <c r="V58" i="70"/>
  <c r="V103" i="70"/>
  <c r="V101" i="70"/>
  <c r="V93" i="70"/>
  <c r="V85" i="70"/>
  <c r="V73" i="70"/>
  <c r="V49" i="70"/>
  <c r="V45" i="70"/>
  <c r="V41" i="70"/>
  <c r="V37" i="70"/>
  <c r="V84" i="70"/>
  <c r="V68" i="70"/>
  <c r="V109" i="70"/>
  <c r="V95" i="70"/>
  <c r="V87" i="70"/>
  <c r="V75" i="70"/>
  <c r="V63" i="70"/>
  <c r="V59" i="70"/>
  <c r="V55" i="70"/>
  <c r="V94" i="70"/>
  <c r="V86" i="70"/>
  <c r="V54" i="70"/>
  <c r="V50" i="70"/>
  <c r="V46" i="70"/>
  <c r="V42" i="70"/>
  <c r="V38" i="70"/>
  <c r="V89" i="70"/>
  <c r="V77" i="70"/>
  <c r="V69" i="70"/>
  <c r="V65" i="70"/>
  <c r="T52" i="70"/>
  <c r="V52" i="70" s="1"/>
  <c r="V96" i="70"/>
  <c r="V88" i="70"/>
  <c r="V76" i="70"/>
  <c r="V64" i="70"/>
  <c r="V60" i="70"/>
  <c r="V56" i="70"/>
  <c r="V97" i="70"/>
  <c r="V81" i="70"/>
  <c r="V61" i="70"/>
  <c r="V57" i="70"/>
  <c r="V98" i="70"/>
  <c r="V91" i="70"/>
  <c r="V47" i="70"/>
  <c r="V78" i="70"/>
  <c r="V39" i="70"/>
  <c r="V66" i="70"/>
  <c r="V70" i="70"/>
  <c r="V79" i="70"/>
  <c r="V43" i="70"/>
  <c r="V90" i="70"/>
  <c r="D49" i="67"/>
  <c r="L45" i="67"/>
  <c r="X16" i="57"/>
  <c r="P60" i="57"/>
  <c r="F23" i="45"/>
  <c r="D59" i="48"/>
  <c r="L55" i="48"/>
  <c r="N55" i="48" s="1"/>
  <c r="N113" i="36"/>
  <c r="J125" i="39"/>
  <c r="J119" i="39"/>
  <c r="J109" i="39"/>
  <c r="J103" i="39"/>
  <c r="J99" i="39"/>
  <c r="J87" i="39"/>
  <c r="J77" i="39"/>
  <c r="J67" i="39"/>
  <c r="J59" i="39"/>
  <c r="J51" i="39"/>
  <c r="J47" i="39"/>
  <c r="J118" i="39"/>
  <c r="J110" i="39"/>
  <c r="J78" i="39"/>
  <c r="J68" i="39"/>
  <c r="J60" i="39"/>
  <c r="J42" i="39"/>
  <c r="J38" i="39"/>
  <c r="J111" i="39"/>
  <c r="J93" i="39"/>
  <c r="J79" i="39"/>
  <c r="J69" i="39"/>
  <c r="J61" i="39"/>
  <c r="J112" i="39"/>
  <c r="J104" i="39"/>
  <c r="J100" i="39"/>
  <c r="J88" i="39"/>
  <c r="J80" i="39"/>
  <c r="J70" i="39"/>
  <c r="J52" i="39"/>
  <c r="J48" i="39"/>
  <c r="N12" i="39"/>
  <c r="J89" i="39"/>
  <c r="J81" i="39"/>
  <c r="J71" i="39"/>
  <c r="J43" i="39"/>
  <c r="J39" i="39"/>
  <c r="J29" i="39"/>
  <c r="J94" i="39"/>
  <c r="J90" i="39"/>
  <c r="J82" i="39"/>
  <c r="J72" i="39"/>
  <c r="J62" i="39"/>
  <c r="J113" i="39"/>
  <c r="J105" i="39"/>
  <c r="J101" i="39"/>
  <c r="J95" i="39"/>
  <c r="J83" i="39"/>
  <c r="J73" i="39"/>
  <c r="J53" i="39"/>
  <c r="J49" i="39"/>
  <c r="J97" i="39"/>
  <c r="J91" i="39"/>
  <c r="J63" i="39"/>
  <c r="J55" i="39"/>
  <c r="J31" i="39"/>
  <c r="J114" i="39"/>
  <c r="J106" i="39"/>
  <c r="J102" i="39"/>
  <c r="J98" i="39"/>
  <c r="J74" i="39"/>
  <c r="J64" i="39"/>
  <c r="J56" i="39"/>
  <c r="J50" i="39"/>
  <c r="J36" i="39"/>
  <c r="J120" i="39"/>
  <c r="J116" i="39"/>
  <c r="J108" i="39"/>
  <c r="J92" i="39"/>
  <c r="J86" i="39"/>
  <c r="J76" i="39"/>
  <c r="J66" i="39"/>
  <c r="J58" i="39"/>
  <c r="J46" i="39"/>
  <c r="H33" i="39"/>
  <c r="J44" i="39"/>
  <c r="J33" i="39"/>
  <c r="J85" i="39"/>
  <c r="J41" i="39"/>
  <c r="J121" i="39"/>
  <c r="J96" i="39"/>
  <c r="J57" i="39"/>
  <c r="J107" i="39"/>
  <c r="J84" i="39"/>
  <c r="J75" i="39"/>
  <c r="J45" i="39"/>
  <c r="J40" i="39"/>
  <c r="J35" i="39"/>
  <c r="J54" i="39"/>
  <c r="J37" i="39"/>
  <c r="J30" i="39"/>
  <c r="J65" i="39"/>
  <c r="J115" i="39"/>
  <c r="D118" i="36"/>
  <c r="V26" i="21"/>
  <c r="D273" i="18"/>
  <c r="J202" i="15"/>
  <c r="J192" i="15"/>
  <c r="J182" i="15"/>
  <c r="J174" i="15"/>
  <c r="J166" i="15"/>
  <c r="J162" i="15"/>
  <c r="J245" i="15"/>
  <c r="J213" i="15"/>
  <c r="J193" i="15"/>
  <c r="J183" i="15"/>
  <c r="J175" i="15"/>
  <c r="J157" i="15"/>
  <c r="J153" i="15"/>
  <c r="J244" i="15"/>
  <c r="J232" i="15"/>
  <c r="J224" i="15"/>
  <c r="J220" i="15"/>
  <c r="J214" i="15"/>
  <c r="J208" i="15"/>
  <c r="J194" i="15"/>
  <c r="J184" i="15"/>
  <c r="J176" i="15"/>
  <c r="J144" i="15"/>
  <c r="J140" i="15"/>
  <c r="J136" i="15"/>
  <c r="J132" i="15"/>
  <c r="J128" i="15"/>
  <c r="J124" i="15"/>
  <c r="J120" i="15"/>
  <c r="J116" i="15"/>
  <c r="J112" i="15"/>
  <c r="J108" i="15"/>
  <c r="J104" i="15"/>
  <c r="J100" i="15"/>
  <c r="J249" i="15"/>
  <c r="J243" i="15"/>
  <c r="J225" i="15"/>
  <c r="J215" i="15"/>
  <c r="J241" i="15"/>
  <c r="J233" i="15"/>
  <c r="J221" i="15"/>
  <c r="J197" i="15"/>
  <c r="J187" i="15"/>
  <c r="J177" i="15"/>
  <c r="J145" i="15"/>
  <c r="J141" i="15"/>
  <c r="J137" i="15"/>
  <c r="J133" i="15"/>
  <c r="J129" i="15"/>
  <c r="J125" i="15"/>
  <c r="J121" i="15"/>
  <c r="J117" i="15"/>
  <c r="J113" i="15"/>
  <c r="J109" i="15"/>
  <c r="J105" i="15"/>
  <c r="J101" i="15"/>
  <c r="J240" i="15"/>
  <c r="J234" i="15"/>
  <c r="J216" i="15"/>
  <c r="J204" i="15"/>
  <c r="J198" i="15"/>
  <c r="J188" i="15"/>
  <c r="J178" i="15"/>
  <c r="J168" i="15"/>
  <c r="J164" i="15"/>
  <c r="J150" i="15"/>
  <c r="N12" i="15"/>
  <c r="J239" i="15"/>
  <c r="J235" i="15"/>
  <c r="J227" i="15"/>
  <c r="J217" i="15"/>
  <c r="J211" i="15"/>
  <c r="J205" i="15"/>
  <c r="J199" i="15"/>
  <c r="J179" i="15"/>
  <c r="J169" i="15"/>
  <c r="J159" i="15"/>
  <c r="J155" i="15"/>
  <c r="J151" i="15"/>
  <c r="J149" i="15"/>
  <c r="J147" i="15"/>
  <c r="J238" i="15"/>
  <c r="J228" i="15"/>
  <c r="J222" i="15"/>
  <c r="J218" i="15"/>
  <c r="J206" i="15"/>
  <c r="J200" i="15"/>
  <c r="J170" i="15"/>
  <c r="H147" i="15"/>
  <c r="J142" i="15"/>
  <c r="J138" i="15"/>
  <c r="J134" i="15"/>
  <c r="J130" i="15"/>
  <c r="J126" i="15"/>
  <c r="J122" i="15"/>
  <c r="J118" i="15"/>
  <c r="J114" i="15"/>
  <c r="J110" i="15"/>
  <c r="J106" i="15"/>
  <c r="J102" i="15"/>
  <c r="J237" i="15"/>
  <c r="J229" i="15"/>
  <c r="J201" i="15"/>
  <c r="J189" i="15"/>
  <c r="J171" i="15"/>
  <c r="J165" i="15"/>
  <c r="J231" i="15"/>
  <c r="J223" i="15"/>
  <c r="J219" i="15"/>
  <c r="J207" i="15"/>
  <c r="J191" i="15"/>
  <c r="J181" i="15"/>
  <c r="J173" i="15"/>
  <c r="J161" i="15"/>
  <c r="J143" i="15"/>
  <c r="J139" i="15"/>
  <c r="J135" i="15"/>
  <c r="J131" i="15"/>
  <c r="J127" i="15"/>
  <c r="J123" i="15"/>
  <c r="J119" i="15"/>
  <c r="J115" i="15"/>
  <c r="J111" i="15"/>
  <c r="J107" i="15"/>
  <c r="J103" i="15"/>
  <c r="J99" i="15"/>
  <c r="J160" i="15"/>
  <c r="J210" i="15"/>
  <c r="J203" i="15"/>
  <c r="J195" i="15"/>
  <c r="J185" i="15"/>
  <c r="J212" i="15"/>
  <c r="J209" i="15"/>
  <c r="J163" i="15"/>
  <c r="J98" i="15"/>
  <c r="J196" i="15"/>
  <c r="J190" i="15"/>
  <c r="J172" i="15"/>
  <c r="J152" i="15"/>
  <c r="J226" i="15"/>
  <c r="J154" i="15"/>
  <c r="J242" i="15"/>
  <c r="J186" i="15"/>
  <c r="J158" i="15"/>
  <c r="J156" i="15"/>
  <c r="J230" i="15"/>
  <c r="J180" i="15"/>
  <c r="J167" i="15"/>
  <c r="H27" i="111"/>
  <c r="N18" i="111"/>
  <c r="L18" i="50"/>
  <c r="D27" i="50"/>
  <c r="H27" i="47"/>
  <c r="N18" i="47"/>
  <c r="L18" i="52"/>
  <c r="D27" i="52"/>
  <c r="T27" i="41"/>
  <c r="Z18" i="41"/>
  <c r="H27" i="28"/>
  <c r="N18" i="28"/>
  <c r="T27" i="34"/>
  <c r="Z18" i="34"/>
  <c r="T27" i="23"/>
  <c r="Z18" i="23"/>
  <c r="H27" i="23"/>
  <c r="N18" i="23"/>
  <c r="T27" i="29"/>
  <c r="Z18" i="29"/>
  <c r="L18" i="11"/>
  <c r="D27" i="11"/>
  <c r="P27" i="10"/>
  <c r="X18" i="10"/>
  <c r="R61" i="105"/>
  <c r="R60" i="105"/>
  <c r="R81" i="105"/>
  <c r="R62" i="105"/>
  <c r="R72" i="105"/>
  <c r="R68" i="105"/>
  <c r="R85" i="105"/>
  <c r="R63" i="105"/>
  <c r="R76" i="105"/>
  <c r="R64" i="105"/>
  <c r="R57" i="105"/>
  <c r="R31" i="105"/>
  <c r="R27" i="105"/>
  <c r="R43" i="105"/>
  <c r="R42" i="105"/>
  <c r="R18" i="105"/>
  <c r="R67" i="105"/>
  <c r="R53" i="105"/>
  <c r="R52" i="105"/>
  <c r="R37" i="105"/>
  <c r="R70" i="105"/>
  <c r="R65" i="105"/>
  <c r="R45" i="105"/>
  <c r="R44" i="105"/>
  <c r="R32" i="105"/>
  <c r="R28" i="105"/>
  <c r="R77" i="105"/>
  <c r="R58" i="105"/>
  <c r="R24" i="105"/>
  <c r="R19" i="105"/>
  <c r="R54" i="105"/>
  <c r="R47" i="105"/>
  <c r="R46" i="105"/>
  <c r="R38" i="105"/>
  <c r="R23" i="105"/>
  <c r="R21" i="105"/>
  <c r="R78" i="105"/>
  <c r="R74" i="105"/>
  <c r="R73" i="105"/>
  <c r="R59" i="105"/>
  <c r="R34" i="105"/>
  <c r="R33" i="105"/>
  <c r="R29" i="105"/>
  <c r="R25" i="105"/>
  <c r="P21" i="105"/>
  <c r="R55" i="105"/>
  <c r="R49" i="105"/>
  <c r="R48" i="105"/>
  <c r="R66" i="105"/>
  <c r="R39" i="105"/>
  <c r="R35" i="105"/>
  <c r="R75" i="105"/>
  <c r="R69" i="105"/>
  <c r="R51" i="105"/>
  <c r="R41" i="105"/>
  <c r="R40" i="105"/>
  <c r="R36" i="105"/>
  <c r="R17" i="105"/>
  <c r="X12" i="105"/>
  <c r="R79" i="105"/>
  <c r="R50" i="105"/>
  <c r="R30" i="105"/>
  <c r="R71" i="105"/>
  <c r="R56" i="105"/>
  <c r="R26" i="105"/>
  <c r="V58" i="103"/>
  <c r="V46" i="103"/>
  <c r="V82" i="103"/>
  <c r="V60" i="103"/>
  <c r="V71" i="103"/>
  <c r="V73" i="103"/>
  <c r="V61" i="103"/>
  <c r="V53" i="103"/>
  <c r="V72" i="103"/>
  <c r="V52" i="103"/>
  <c r="V74" i="103"/>
  <c r="V67" i="103"/>
  <c r="V63" i="103"/>
  <c r="V37" i="103"/>
  <c r="V69" i="103"/>
  <c r="V48" i="103"/>
  <c r="V32" i="103"/>
  <c r="V65" i="103"/>
  <c r="V49" i="103"/>
  <c r="V23" i="103"/>
  <c r="V21" i="103"/>
  <c r="V19" i="103"/>
  <c r="V76" i="103"/>
  <c r="V38" i="103"/>
  <c r="V34" i="103"/>
  <c r="T21" i="103"/>
  <c r="V54" i="103"/>
  <c r="V45" i="103"/>
  <c r="V44" i="103"/>
  <c r="V33" i="103"/>
  <c r="V29" i="103"/>
  <c r="V25" i="103"/>
  <c r="V70" i="103"/>
  <c r="V59" i="103"/>
  <c r="V55" i="103"/>
  <c r="V68" i="103"/>
  <c r="V39" i="103"/>
  <c r="V35" i="103"/>
  <c r="V78" i="103"/>
  <c r="V66" i="103"/>
  <c r="V64" i="103"/>
  <c r="V30" i="103"/>
  <c r="V26" i="103"/>
  <c r="V75" i="103"/>
  <c r="V51" i="103"/>
  <c r="V50" i="103"/>
  <c r="V41" i="103"/>
  <c r="V57" i="103"/>
  <c r="V56" i="103"/>
  <c r="V43" i="103"/>
  <c r="V42" i="103"/>
  <c r="V18" i="103"/>
  <c r="V47" i="103"/>
  <c r="Z12" i="103"/>
  <c r="X12" i="103"/>
  <c r="V28" i="103"/>
  <c r="V27" i="103"/>
  <c r="V62" i="103"/>
  <c r="V36" i="103"/>
  <c r="V24" i="103"/>
  <c r="V31" i="103"/>
  <c r="V17" i="103"/>
  <c r="V40" i="103"/>
  <c r="J19" i="92"/>
  <c r="H44" i="104"/>
  <c r="V81" i="105"/>
  <c r="V79" i="105"/>
  <c r="V71" i="105"/>
  <c r="V67" i="105"/>
  <c r="V85" i="105"/>
  <c r="V74" i="105"/>
  <c r="V54" i="105"/>
  <c r="V53" i="105"/>
  <c r="V42" i="105"/>
  <c r="V18" i="105"/>
  <c r="V65" i="105"/>
  <c r="V52" i="105"/>
  <c r="V45" i="105"/>
  <c r="V37" i="105"/>
  <c r="V72" i="105"/>
  <c r="V70" i="105"/>
  <c r="V62" i="105"/>
  <c r="V44" i="105"/>
  <c r="V32" i="105"/>
  <c r="V28" i="105"/>
  <c r="V24" i="105"/>
  <c r="V77" i="105"/>
  <c r="V58" i="105"/>
  <c r="V47" i="105"/>
  <c r="V23" i="105"/>
  <c r="V21" i="105"/>
  <c r="V19" i="105"/>
  <c r="V78" i="105"/>
  <c r="V59" i="105"/>
  <c r="V46" i="105"/>
  <c r="V38" i="105"/>
  <c r="V34" i="105"/>
  <c r="T21" i="105"/>
  <c r="V73" i="105"/>
  <c r="V55" i="105"/>
  <c r="V49" i="105"/>
  <c r="V33" i="105"/>
  <c r="V29" i="105"/>
  <c r="V25" i="105"/>
  <c r="V63" i="105"/>
  <c r="V48" i="105"/>
  <c r="V68" i="105"/>
  <c r="V66" i="105"/>
  <c r="V39" i="105"/>
  <c r="V35" i="105"/>
  <c r="V60" i="105"/>
  <c r="V30" i="105"/>
  <c r="V26" i="105"/>
  <c r="V64" i="105"/>
  <c r="V43" i="105"/>
  <c r="V31" i="105"/>
  <c r="V27" i="105"/>
  <c r="V40" i="105"/>
  <c r="Z12" i="105"/>
  <c r="V56" i="105"/>
  <c r="V75" i="105"/>
  <c r="V51" i="105"/>
  <c r="V17" i="105"/>
  <c r="V41" i="105"/>
  <c r="V76" i="105"/>
  <c r="V57" i="105"/>
  <c r="V36" i="105"/>
  <c r="V50" i="105"/>
  <c r="V69" i="105"/>
  <c r="V61" i="105"/>
  <c r="T59" i="109"/>
  <c r="N21" i="105"/>
  <c r="H83" i="105"/>
  <c r="R37" i="100"/>
  <c r="R36" i="100"/>
  <c r="R56" i="100"/>
  <c r="R42" i="100"/>
  <c r="R33" i="100"/>
  <c r="R32" i="100"/>
  <c r="R38" i="100"/>
  <c r="R58" i="100"/>
  <c r="R44" i="100"/>
  <c r="R51" i="100"/>
  <c r="R40" i="100"/>
  <c r="R27" i="100"/>
  <c r="R52" i="100"/>
  <c r="R41" i="100"/>
  <c r="R61" i="100"/>
  <c r="R54" i="100"/>
  <c r="R46" i="100"/>
  <c r="R45" i="100"/>
  <c r="R48" i="100"/>
  <c r="R25" i="100"/>
  <c r="R30" i="100"/>
  <c r="R22" i="100"/>
  <c r="R31" i="100"/>
  <c r="R34" i="100"/>
  <c r="R17" i="100"/>
  <c r="R28" i="100"/>
  <c r="R23" i="100"/>
  <c r="R49" i="100"/>
  <c r="R47" i="100"/>
  <c r="R43" i="100"/>
  <c r="R39" i="100"/>
  <c r="R35" i="100"/>
  <c r="R26" i="100"/>
  <c r="R19" i="100"/>
  <c r="R15" i="100"/>
  <c r="R29" i="100"/>
  <c r="R24" i="100"/>
  <c r="P19" i="100"/>
  <c r="R21" i="100"/>
  <c r="R16" i="100"/>
  <c r="X12" i="100"/>
  <c r="Z12" i="100" s="1"/>
  <c r="R69" i="101"/>
  <c r="R34" i="101"/>
  <c r="R46" i="101"/>
  <c r="R45" i="101"/>
  <c r="R17" i="101"/>
  <c r="R57" i="101"/>
  <c r="R56" i="101"/>
  <c r="R36" i="101"/>
  <c r="X12" i="101"/>
  <c r="Z12" i="101" s="1"/>
  <c r="R64" i="101"/>
  <c r="R63" i="101"/>
  <c r="R72" i="101"/>
  <c r="R70" i="101"/>
  <c r="R67" i="101"/>
  <c r="R60" i="101"/>
  <c r="R59" i="101"/>
  <c r="R52" i="101"/>
  <c r="R51" i="101"/>
  <c r="R40" i="101"/>
  <c r="R39" i="101"/>
  <c r="R65" i="101"/>
  <c r="R62" i="101"/>
  <c r="R41" i="101"/>
  <c r="R35" i="101"/>
  <c r="R29" i="101"/>
  <c r="R26" i="101"/>
  <c r="R23" i="101"/>
  <c r="R79" i="101"/>
  <c r="R38" i="101"/>
  <c r="R74" i="101"/>
  <c r="R49" i="101"/>
  <c r="R42" i="101"/>
  <c r="R33" i="101"/>
  <c r="R66" i="101"/>
  <c r="R16" i="101"/>
  <c r="R53" i="101"/>
  <c r="R30" i="101"/>
  <c r="R27" i="101"/>
  <c r="R24" i="101"/>
  <c r="R50" i="101"/>
  <c r="R20" i="101"/>
  <c r="R43" i="101"/>
  <c r="P20" i="101"/>
  <c r="R76" i="101"/>
  <c r="R61" i="101"/>
  <c r="R58" i="101"/>
  <c r="R54" i="101"/>
  <c r="R47" i="101"/>
  <c r="R31" i="101"/>
  <c r="R28" i="101"/>
  <c r="R25" i="101"/>
  <c r="R18" i="101"/>
  <c r="R55" i="101"/>
  <c r="R44" i="101"/>
  <c r="R37" i="101"/>
  <c r="R32" i="101"/>
  <c r="R22" i="101"/>
  <c r="R48" i="101"/>
  <c r="L12" i="94"/>
  <c r="N12" i="94" s="1"/>
  <c r="R30" i="85"/>
  <c r="R66" i="87"/>
  <c r="R74" i="87"/>
  <c r="R73" i="87"/>
  <c r="R62" i="87"/>
  <c r="R61" i="87"/>
  <c r="R79" i="87"/>
  <c r="R77" i="87"/>
  <c r="R69" i="87"/>
  <c r="R49" i="87"/>
  <c r="R29" i="87"/>
  <c r="R25" i="87"/>
  <c r="R67" i="87"/>
  <c r="R58" i="87"/>
  <c r="R54" i="87"/>
  <c r="R43" i="87"/>
  <c r="R36" i="87"/>
  <c r="R35" i="87"/>
  <c r="R16" i="87"/>
  <c r="R81" i="87"/>
  <c r="R70" i="87"/>
  <c r="R50" i="87"/>
  <c r="R30" i="87"/>
  <c r="R26" i="87"/>
  <c r="R86" i="87"/>
  <c r="R65" i="87"/>
  <c r="R59" i="87"/>
  <c r="R55" i="87"/>
  <c r="R51" i="87"/>
  <c r="R17" i="87"/>
  <c r="R56" i="87"/>
  <c r="R45" i="87"/>
  <c r="R44" i="87"/>
  <c r="R38" i="87"/>
  <c r="R37" i="87"/>
  <c r="X12" i="87"/>
  <c r="Z12" i="87" s="1"/>
  <c r="R68" i="87"/>
  <c r="R63" i="87"/>
  <c r="R60" i="87"/>
  <c r="R32" i="87"/>
  <c r="R31" i="87"/>
  <c r="R27" i="87"/>
  <c r="R71" i="87"/>
  <c r="R52" i="87"/>
  <c r="R40" i="87"/>
  <c r="R39" i="87"/>
  <c r="R23" i="87"/>
  <c r="R18" i="87"/>
  <c r="R57" i="87"/>
  <c r="R47" i="87"/>
  <c r="R46" i="87"/>
  <c r="R33" i="87"/>
  <c r="R22" i="87"/>
  <c r="R20" i="87"/>
  <c r="R53" i="87"/>
  <c r="R48" i="87"/>
  <c r="R42" i="87"/>
  <c r="R34" i="87"/>
  <c r="R28" i="87"/>
  <c r="P20" i="87"/>
  <c r="R41" i="87"/>
  <c r="R72" i="87"/>
  <c r="R24" i="87"/>
  <c r="R75" i="87"/>
  <c r="R83" i="87"/>
  <c r="R64" i="87"/>
  <c r="D76" i="83"/>
  <c r="L20" i="83"/>
  <c r="N20" i="83" s="1"/>
  <c r="F18" i="85"/>
  <c r="Z52" i="78"/>
  <c r="F62" i="80"/>
  <c r="F61" i="80"/>
  <c r="F50" i="80"/>
  <c r="F18" i="80"/>
  <c r="F57" i="80"/>
  <c r="F41" i="80"/>
  <c r="F40" i="80"/>
  <c r="F33" i="80"/>
  <c r="F32" i="80"/>
  <c r="F64" i="80"/>
  <c r="F63" i="80"/>
  <c r="F52" i="80"/>
  <c r="F51" i="80"/>
  <c r="F28" i="80"/>
  <c r="F24" i="80"/>
  <c r="F23" i="80"/>
  <c r="F43" i="80"/>
  <c r="F42" i="80"/>
  <c r="F58" i="80"/>
  <c r="F68" i="80"/>
  <c r="F66" i="80"/>
  <c r="F53" i="80"/>
  <c r="F45" i="80"/>
  <c r="F44" i="80"/>
  <c r="F29" i="80"/>
  <c r="F25" i="80"/>
  <c r="F70" i="80"/>
  <c r="F59" i="80"/>
  <c r="F47" i="80"/>
  <c r="F46" i="80"/>
  <c r="F35" i="80"/>
  <c r="F54" i="80"/>
  <c r="F30" i="80"/>
  <c r="F26" i="80"/>
  <c r="F39" i="80"/>
  <c r="F38" i="80"/>
  <c r="F31" i="80"/>
  <c r="F27" i="80"/>
  <c r="F20" i="80"/>
  <c r="L12" i="80"/>
  <c r="N12" i="80" s="1"/>
  <c r="F60" i="80"/>
  <c r="D20" i="80"/>
  <c r="F55" i="80"/>
  <c r="F48" i="80"/>
  <c r="F36" i="80"/>
  <c r="F34" i="80"/>
  <c r="F16" i="80"/>
  <c r="F22" i="80"/>
  <c r="F75" i="80"/>
  <c r="F37" i="80"/>
  <c r="F17" i="80"/>
  <c r="F72" i="80"/>
  <c r="F49" i="80"/>
  <c r="F56" i="80"/>
  <c r="X20" i="79"/>
  <c r="Z20" i="79" s="1"/>
  <c r="P64" i="79"/>
  <c r="T58" i="78"/>
  <c r="V52" i="78"/>
  <c r="P67" i="72"/>
  <c r="X23" i="72"/>
  <c r="P45" i="67"/>
  <c r="X16" i="67"/>
  <c r="T70" i="58"/>
  <c r="Z16" i="58"/>
  <c r="D48" i="60"/>
  <c r="L44" i="60"/>
  <c r="D63" i="56"/>
  <c r="L16" i="56"/>
  <c r="F33" i="39"/>
  <c r="J109" i="36"/>
  <c r="J101" i="36"/>
  <c r="J97" i="36"/>
  <c r="J93" i="36"/>
  <c r="J116" i="36"/>
  <c r="J110" i="36"/>
  <c r="J102" i="36"/>
  <c r="J80" i="36"/>
  <c r="J115" i="36"/>
  <c r="J111" i="36"/>
  <c r="J103" i="36"/>
  <c r="J120" i="36"/>
  <c r="J114" i="36"/>
  <c r="J104" i="36"/>
  <c r="J98" i="36"/>
  <c r="J94" i="36"/>
  <c r="J82" i="36"/>
  <c r="J72" i="36"/>
  <c r="J106" i="36"/>
  <c r="J88" i="36"/>
  <c r="J74" i="36"/>
  <c r="J84" i="36"/>
  <c r="J76" i="36"/>
  <c r="J67" i="36"/>
  <c r="J49" i="36"/>
  <c r="J39" i="36"/>
  <c r="J35" i="36"/>
  <c r="J105" i="36"/>
  <c r="J89" i="36"/>
  <c r="J77" i="36"/>
  <c r="J73" i="36"/>
  <c r="J68" i="36"/>
  <c r="J58" i="36"/>
  <c r="J50" i="36"/>
  <c r="J26" i="36"/>
  <c r="J59" i="36"/>
  <c r="J51" i="36"/>
  <c r="J45" i="36"/>
  <c r="J31" i="36"/>
  <c r="J99" i="36"/>
  <c r="J95" i="36"/>
  <c r="J90" i="36"/>
  <c r="J81" i="36"/>
  <c r="J78" i="36"/>
  <c r="J69" i="36"/>
  <c r="J60" i="36"/>
  <c r="J52" i="36"/>
  <c r="J40" i="36"/>
  <c r="J36" i="36"/>
  <c r="J32" i="36"/>
  <c r="J30" i="36"/>
  <c r="J87" i="36"/>
  <c r="J61" i="36"/>
  <c r="J53" i="36"/>
  <c r="J41" i="36"/>
  <c r="H28" i="36"/>
  <c r="L28" i="36" s="1"/>
  <c r="J113" i="36"/>
  <c r="J108" i="36"/>
  <c r="J70" i="36"/>
  <c r="J62" i="36"/>
  <c r="J54" i="36"/>
  <c r="J46" i="36"/>
  <c r="J42" i="36"/>
  <c r="J85" i="36"/>
  <c r="J63" i="36"/>
  <c r="J55" i="36"/>
  <c r="J37" i="36"/>
  <c r="J33" i="36"/>
  <c r="J75" i="36"/>
  <c r="J64" i="36"/>
  <c r="J100" i="36"/>
  <c r="J96" i="36"/>
  <c r="J91" i="36"/>
  <c r="J79" i="36"/>
  <c r="J71" i="36"/>
  <c r="J65" i="36"/>
  <c r="J47" i="36"/>
  <c r="J43" i="36"/>
  <c r="J66" i="36"/>
  <c r="J38" i="36"/>
  <c r="J34" i="36"/>
  <c r="J24" i="36"/>
  <c r="J107" i="36"/>
  <c r="J92" i="36"/>
  <c r="J83" i="36"/>
  <c r="J48" i="36"/>
  <c r="J44" i="36"/>
  <c r="N12" i="36"/>
  <c r="J57" i="36"/>
  <c r="J86" i="36"/>
  <c r="J56" i="36"/>
  <c r="J25" i="36"/>
  <c r="L136" i="30"/>
  <c r="N136" i="30" s="1"/>
  <c r="F80" i="33"/>
  <c r="R68" i="24"/>
  <c r="V97" i="27"/>
  <c r="V89" i="27"/>
  <c r="V77" i="27"/>
  <c r="V65" i="27"/>
  <c r="V61" i="27"/>
  <c r="V57" i="27"/>
  <c r="V92" i="27"/>
  <c r="V80" i="27"/>
  <c r="V99" i="27"/>
  <c r="V91" i="27"/>
  <c r="V79" i="27"/>
  <c r="V71" i="27"/>
  <c r="V67" i="27"/>
  <c r="V98" i="27"/>
  <c r="V82" i="27"/>
  <c r="V62" i="27"/>
  <c r="V58" i="27"/>
  <c r="V101" i="27"/>
  <c r="V93" i="27"/>
  <c r="V81" i="27"/>
  <c r="V73" i="27"/>
  <c r="V106" i="27"/>
  <c r="V100" i="27"/>
  <c r="V84" i="27"/>
  <c r="V72" i="27"/>
  <c r="V68" i="27"/>
  <c r="Z12" i="27"/>
  <c r="V105" i="27"/>
  <c r="V83" i="27"/>
  <c r="V75" i="27"/>
  <c r="V63" i="27"/>
  <c r="V59" i="27"/>
  <c r="V85" i="27"/>
  <c r="V69" i="27"/>
  <c r="V110" i="27"/>
  <c r="V96" i="27"/>
  <c r="V88" i="27"/>
  <c r="V76" i="27"/>
  <c r="V64" i="27"/>
  <c r="V60" i="27"/>
  <c r="V56" i="27"/>
  <c r="V90" i="27"/>
  <c r="V78" i="27"/>
  <c r="V70" i="27"/>
  <c r="V66" i="27"/>
  <c r="V40" i="27"/>
  <c r="V55" i="27"/>
  <c r="V42" i="27"/>
  <c r="V102" i="27"/>
  <c r="V46" i="27"/>
  <c r="V44" i="27"/>
  <c r="V74" i="27"/>
  <c r="V94" i="27"/>
  <c r="V48" i="27"/>
  <c r="V39" i="27"/>
  <c r="V50" i="27"/>
  <c r="T53" i="27"/>
  <c r="V43" i="27"/>
  <c r="V41" i="27"/>
  <c r="V87" i="27"/>
  <c r="V47" i="27"/>
  <c r="V38" i="27"/>
  <c r="V104" i="27"/>
  <c r="V45" i="27"/>
  <c r="V86" i="27"/>
  <c r="V51" i="27"/>
  <c r="V49" i="27"/>
  <c r="V95" i="27"/>
  <c r="R78" i="21"/>
  <c r="R77" i="21"/>
  <c r="R62" i="21"/>
  <c r="R61" i="21"/>
  <c r="R38" i="21"/>
  <c r="R37" i="21"/>
  <c r="R33" i="21"/>
  <c r="R94" i="21"/>
  <c r="R72" i="21"/>
  <c r="R52" i="21"/>
  <c r="R29" i="21"/>
  <c r="R24" i="21"/>
  <c r="R83" i="21"/>
  <c r="R79" i="21"/>
  <c r="R64" i="21"/>
  <c r="R63" i="21"/>
  <c r="R43" i="21"/>
  <c r="R39" i="21"/>
  <c r="R28" i="21"/>
  <c r="R34" i="21"/>
  <c r="R30" i="21"/>
  <c r="P26" i="21"/>
  <c r="R73" i="21"/>
  <c r="R66" i="21"/>
  <c r="R65" i="21"/>
  <c r="R54" i="21"/>
  <c r="R53" i="21"/>
  <c r="R85" i="21"/>
  <c r="R84" i="21"/>
  <c r="R80" i="21"/>
  <c r="R45" i="21"/>
  <c r="R44" i="21"/>
  <c r="R40" i="21"/>
  <c r="X12" i="21"/>
  <c r="Z12" i="21" s="1"/>
  <c r="R68" i="21"/>
  <c r="R67" i="21"/>
  <c r="R56" i="21"/>
  <c r="R55" i="21"/>
  <c r="R35" i="21"/>
  <c r="R31" i="21"/>
  <c r="R87" i="21"/>
  <c r="R86" i="21"/>
  <c r="R74" i="21"/>
  <c r="R81" i="21"/>
  <c r="R69" i="21"/>
  <c r="R58" i="21"/>
  <c r="R57" i="21"/>
  <c r="R41" i="21"/>
  <c r="R22" i="21"/>
  <c r="R88" i="21"/>
  <c r="R49" i="21"/>
  <c r="R48" i="21"/>
  <c r="R36" i="21"/>
  <c r="R32" i="21"/>
  <c r="R82" i="21"/>
  <c r="R71" i="21"/>
  <c r="R70" i="21"/>
  <c r="R51" i="21"/>
  <c r="R50" i="21"/>
  <c r="R42" i="21"/>
  <c r="R60" i="21"/>
  <c r="R46" i="21"/>
  <c r="R23" i="21"/>
  <c r="R75" i="21"/>
  <c r="R90" i="21"/>
  <c r="R47" i="21"/>
  <c r="R76" i="21"/>
  <c r="R59" i="21"/>
  <c r="D112" i="24"/>
  <c r="L68" i="24"/>
  <c r="H26" i="6"/>
  <c r="N22" i="6"/>
  <c r="J105" i="27"/>
  <c r="J85" i="27"/>
  <c r="J75" i="27"/>
  <c r="J69" i="27"/>
  <c r="J110" i="27"/>
  <c r="J104" i="27"/>
  <c r="J86" i="27"/>
  <c r="J76" i="27"/>
  <c r="J64" i="27"/>
  <c r="J60" i="27"/>
  <c r="J95" i="27"/>
  <c r="J87" i="27"/>
  <c r="J51" i="27"/>
  <c r="J47" i="27"/>
  <c r="J43" i="27"/>
  <c r="J39" i="27"/>
  <c r="J96" i="27"/>
  <c r="J88" i="27"/>
  <c r="J70" i="27"/>
  <c r="J56" i="27"/>
  <c r="J97" i="27"/>
  <c r="J89" i="27"/>
  <c r="J77" i="27"/>
  <c r="J65" i="27"/>
  <c r="J61" i="27"/>
  <c r="J57" i="27"/>
  <c r="J55" i="27"/>
  <c r="J53" i="27"/>
  <c r="J90" i="27"/>
  <c r="J78" i="27"/>
  <c r="J66" i="27"/>
  <c r="H53" i="27"/>
  <c r="J48" i="27"/>
  <c r="J44" i="27"/>
  <c r="J40" i="27"/>
  <c r="J91" i="27"/>
  <c r="J79" i="27"/>
  <c r="J71" i="27"/>
  <c r="J67" i="27"/>
  <c r="J99" i="27"/>
  <c r="J93" i="27"/>
  <c r="J81" i="27"/>
  <c r="J49" i="27"/>
  <c r="J45" i="27"/>
  <c r="J41" i="27"/>
  <c r="J100" i="27"/>
  <c r="J82" i="27"/>
  <c r="J72" i="27"/>
  <c r="J68" i="27"/>
  <c r="J106" i="27"/>
  <c r="J102" i="27"/>
  <c r="J94" i="27"/>
  <c r="J84" i="27"/>
  <c r="J74" i="27"/>
  <c r="J38" i="27"/>
  <c r="J92" i="27"/>
  <c r="J80" i="27"/>
  <c r="J42" i="27"/>
  <c r="J59" i="27"/>
  <c r="J63" i="27"/>
  <c r="J46" i="27"/>
  <c r="J98" i="27"/>
  <c r="J50" i="27"/>
  <c r="J73" i="27"/>
  <c r="J101" i="27"/>
  <c r="J62" i="27"/>
  <c r="L12" i="27"/>
  <c r="N12" i="27" s="1"/>
  <c r="J83" i="27"/>
  <c r="J58" i="27"/>
  <c r="P295" i="3"/>
  <c r="X183" i="3"/>
  <c r="D295" i="3"/>
  <c r="L183" i="3"/>
  <c r="N183" i="3" s="1"/>
  <c r="H27" i="52"/>
  <c r="N18" i="52"/>
  <c r="X18" i="47"/>
  <c r="P27" i="47"/>
  <c r="X18" i="43"/>
  <c r="P27" i="43"/>
  <c r="L18" i="31"/>
  <c r="D27" i="31"/>
  <c r="T27" i="14"/>
  <c r="Z18" i="14"/>
  <c r="X18" i="5"/>
  <c r="P27" i="5"/>
  <c r="P63" i="93"/>
  <c r="H97" i="63"/>
  <c r="N16" i="63"/>
  <c r="P87" i="33"/>
  <c r="T76" i="107"/>
  <c r="Z20" i="107"/>
  <c r="V58" i="97"/>
  <c r="V66" i="97"/>
  <c r="V50" i="97"/>
  <c r="V42" i="97"/>
  <c r="V34" i="97"/>
  <c r="V57" i="97"/>
  <c r="V41" i="97"/>
  <c r="V29" i="97"/>
  <c r="V25" i="97"/>
  <c r="V78" i="97"/>
  <c r="V71" i="97"/>
  <c r="V63" i="97"/>
  <c r="V62" i="97"/>
  <c r="V56" i="97"/>
  <c r="V52" i="97"/>
  <c r="V44" i="97"/>
  <c r="V16" i="97"/>
  <c r="V43" i="97"/>
  <c r="V35" i="97"/>
  <c r="V67" i="97"/>
  <c r="V30" i="97"/>
  <c r="V26" i="97"/>
  <c r="V73" i="97"/>
  <c r="V68" i="97"/>
  <c r="V45" i="97"/>
  <c r="V17" i="97"/>
  <c r="V74" i="97"/>
  <c r="V64" i="97"/>
  <c r="V54" i="97"/>
  <c r="V53" i="97"/>
  <c r="V36" i="97"/>
  <c r="V32" i="97"/>
  <c r="Z12" i="97"/>
  <c r="V47" i="97"/>
  <c r="V59" i="97"/>
  <c r="V46" i="97"/>
  <c r="V38" i="97"/>
  <c r="V22" i="97"/>
  <c r="V18" i="97"/>
  <c r="V60" i="97"/>
  <c r="V51" i="97"/>
  <c r="V39" i="97"/>
  <c r="V49" i="97"/>
  <c r="V70" i="97"/>
  <c r="V40" i="97"/>
  <c r="V55" i="97"/>
  <c r="V27" i="97"/>
  <c r="V24" i="97"/>
  <c r="V23" i="97"/>
  <c r="V48" i="97"/>
  <c r="V61" i="97"/>
  <c r="V33" i="97"/>
  <c r="V31" i="97"/>
  <c r="V69" i="97"/>
  <c r="V37" i="97"/>
  <c r="T20" i="97"/>
  <c r="X20" i="97" s="1"/>
  <c r="V28" i="97"/>
  <c r="V65" i="97"/>
  <c r="V36" i="93"/>
  <c r="V16" i="93"/>
  <c r="V54" i="93"/>
  <c r="V38" i="93"/>
  <c r="V30" i="93"/>
  <c r="V26" i="93"/>
  <c r="V49" i="93"/>
  <c r="V48" i="93"/>
  <c r="V55" i="93"/>
  <c r="V39" i="93"/>
  <c r="V31" i="93"/>
  <c r="V27" i="93"/>
  <c r="V23" i="93"/>
  <c r="V53" i="93"/>
  <c r="V45" i="93"/>
  <c r="V44" i="93"/>
  <c r="V25" i="93"/>
  <c r="V18" i="93"/>
  <c r="V65" i="93"/>
  <c r="V61" i="93"/>
  <c r="V47" i="93"/>
  <c r="V28" i="93"/>
  <c r="V20" i="93"/>
  <c r="V50" i="93"/>
  <c r="V41" i="93"/>
  <c r="V32" i="93"/>
  <c r="T20" i="93"/>
  <c r="V37" i="93"/>
  <c r="V34" i="93"/>
  <c r="V22" i="93"/>
  <c r="V58" i="93"/>
  <c r="V42" i="93"/>
  <c r="V29" i="93"/>
  <c r="V56" i="93"/>
  <c r="V51" i="93"/>
  <c r="Z12" i="93"/>
  <c r="V60" i="93"/>
  <c r="V43" i="93"/>
  <c r="V40" i="93"/>
  <c r="V46" i="93"/>
  <c r="V33" i="93"/>
  <c r="V24" i="93"/>
  <c r="V52" i="93"/>
  <c r="V17" i="93"/>
  <c r="V57" i="93"/>
  <c r="V35" i="93"/>
  <c r="T27" i="82"/>
  <c r="Z21" i="82"/>
  <c r="V26" i="104"/>
  <c r="V37" i="104"/>
  <c r="V17" i="104"/>
  <c r="V28" i="104"/>
  <c r="Z12" i="104"/>
  <c r="V39" i="104"/>
  <c r="V23" i="104"/>
  <c r="V38" i="104"/>
  <c r="V30" i="104"/>
  <c r="V22" i="104"/>
  <c r="V20" i="104"/>
  <c r="V18" i="104"/>
  <c r="V29" i="104"/>
  <c r="T20" i="104"/>
  <c r="V42" i="104"/>
  <c r="V40" i="104"/>
  <c r="V32" i="104"/>
  <c r="V24" i="104"/>
  <c r="V34" i="104"/>
  <c r="V35" i="104"/>
  <c r="V27" i="104"/>
  <c r="V36" i="104"/>
  <c r="V46" i="104"/>
  <c r="V25" i="104"/>
  <c r="V16" i="104"/>
  <c r="V33" i="104"/>
  <c r="V31" i="104"/>
  <c r="P51" i="104"/>
  <c r="D63" i="93"/>
  <c r="H63" i="93"/>
  <c r="N20" i="93"/>
  <c r="T68" i="88"/>
  <c r="D105" i="84"/>
  <c r="L51" i="84"/>
  <c r="V53" i="80"/>
  <c r="V45" i="80"/>
  <c r="V29" i="80"/>
  <c r="V25" i="80"/>
  <c r="V70" i="80"/>
  <c r="V48" i="80"/>
  <c r="V36" i="80"/>
  <c r="V16" i="80"/>
  <c r="V59" i="80"/>
  <c r="V55" i="80"/>
  <c r="V47" i="80"/>
  <c r="V35" i="80"/>
  <c r="V54" i="80"/>
  <c r="V38" i="80"/>
  <c r="V30" i="80"/>
  <c r="V61" i="80"/>
  <c r="V49" i="80"/>
  <c r="V60" i="80"/>
  <c r="V56" i="80"/>
  <c r="V40" i="80"/>
  <c r="V32" i="80"/>
  <c r="Z12" i="80"/>
  <c r="V63" i="80"/>
  <c r="V51" i="80"/>
  <c r="V39" i="80"/>
  <c r="V62" i="80"/>
  <c r="V50" i="80"/>
  <c r="V42" i="80"/>
  <c r="V22" i="80"/>
  <c r="V18" i="80"/>
  <c r="V57" i="80"/>
  <c r="V41" i="80"/>
  <c r="V33" i="80"/>
  <c r="T20" i="80"/>
  <c r="X20" i="80" s="1"/>
  <c r="V58" i="80"/>
  <c r="V46" i="80"/>
  <c r="V34" i="80"/>
  <c r="V44" i="80"/>
  <c r="V24" i="80"/>
  <c r="V28" i="80"/>
  <c r="V52" i="80"/>
  <c r="V26" i="80"/>
  <c r="V66" i="80"/>
  <c r="V43" i="80"/>
  <c r="V37" i="80"/>
  <c r="V23" i="80"/>
  <c r="V17" i="80"/>
  <c r="V64" i="80"/>
  <c r="V31" i="80"/>
  <c r="X12" i="80"/>
  <c r="V27" i="80"/>
  <c r="V21" i="82"/>
  <c r="R60" i="75"/>
  <c r="R53" i="75"/>
  <c r="R52" i="75"/>
  <c r="R73" i="75"/>
  <c r="R44" i="75"/>
  <c r="R43" i="75"/>
  <c r="R55" i="75"/>
  <c r="R54" i="75"/>
  <c r="R38" i="75"/>
  <c r="R34" i="75"/>
  <c r="R61" i="75"/>
  <c r="R46" i="75"/>
  <c r="R45" i="75"/>
  <c r="R57" i="75"/>
  <c r="R56" i="75"/>
  <c r="X12" i="75"/>
  <c r="Z12" i="75" s="1"/>
  <c r="R48" i="75"/>
  <c r="R47" i="75"/>
  <c r="R40" i="75"/>
  <c r="R39" i="75"/>
  <c r="R35" i="75"/>
  <c r="R63" i="75"/>
  <c r="R62" i="75"/>
  <c r="R58" i="75"/>
  <c r="R31" i="75"/>
  <c r="R50" i="75"/>
  <c r="R49" i="75"/>
  <c r="R41" i="75"/>
  <c r="R30" i="75"/>
  <c r="R26" i="75"/>
  <c r="R65" i="75"/>
  <c r="R64" i="75"/>
  <c r="R36" i="75"/>
  <c r="R32" i="75"/>
  <c r="P28" i="75"/>
  <c r="R68" i="75"/>
  <c r="R37" i="75"/>
  <c r="R33" i="75"/>
  <c r="R42" i="75"/>
  <c r="R51" i="75"/>
  <c r="R69" i="75"/>
  <c r="R66" i="75"/>
  <c r="R59" i="75"/>
  <c r="F28" i="75"/>
  <c r="V28" i="75"/>
  <c r="V62" i="73"/>
  <c r="T49" i="73"/>
  <c r="V75" i="73"/>
  <c r="V57" i="73"/>
  <c r="V53" i="73"/>
  <c r="V64" i="73"/>
  <c r="V44" i="73"/>
  <c r="V40" i="73"/>
  <c r="V36" i="73"/>
  <c r="V66" i="73"/>
  <c r="V58" i="73"/>
  <c r="V54" i="73"/>
  <c r="V65" i="73"/>
  <c r="V45" i="73"/>
  <c r="V41" i="73"/>
  <c r="V37" i="73"/>
  <c r="V33" i="73"/>
  <c r="V68" i="73"/>
  <c r="V60" i="73"/>
  <c r="Z12" i="73"/>
  <c r="V46" i="73"/>
  <c r="V42" i="73"/>
  <c r="V38" i="73"/>
  <c r="V34" i="73"/>
  <c r="V71" i="73"/>
  <c r="V69" i="73"/>
  <c r="V61" i="73"/>
  <c r="V52" i="73"/>
  <c r="V55" i="73"/>
  <c r="V43" i="73"/>
  <c r="V49" i="73"/>
  <c r="V63" i="73"/>
  <c r="V47" i="73"/>
  <c r="V35" i="73"/>
  <c r="V67" i="73"/>
  <c r="V59" i="73"/>
  <c r="V56" i="73"/>
  <c r="V51" i="73"/>
  <c r="V39" i="73"/>
  <c r="H62" i="69"/>
  <c r="F79" i="68"/>
  <c r="F78" i="68"/>
  <c r="F89" i="68"/>
  <c r="F81" i="68"/>
  <c r="F80" i="68"/>
  <c r="F65" i="68"/>
  <c r="F61" i="68"/>
  <c r="F83" i="68"/>
  <c r="F82" i="68"/>
  <c r="F85" i="68"/>
  <c r="F84" i="68"/>
  <c r="F98" i="68"/>
  <c r="F88" i="68"/>
  <c r="F87" i="68"/>
  <c r="F64" i="68"/>
  <c r="F60" i="68"/>
  <c r="D54" i="68"/>
  <c r="F54" i="68" s="1"/>
  <c r="F48" i="68"/>
  <c r="F40" i="68"/>
  <c r="L12" i="68"/>
  <c r="N12" i="68" s="1"/>
  <c r="F75" i="68"/>
  <c r="F71" i="68"/>
  <c r="F57" i="68"/>
  <c r="F56" i="68"/>
  <c r="F86" i="68"/>
  <c r="F76" i="68"/>
  <c r="F51" i="68"/>
  <c r="F43" i="68"/>
  <c r="F94" i="68"/>
  <c r="F91" i="68"/>
  <c r="F72" i="68"/>
  <c r="F68" i="68"/>
  <c r="F58" i="68"/>
  <c r="F46" i="68"/>
  <c r="F38" i="68"/>
  <c r="F49" i="68"/>
  <c r="F41" i="68"/>
  <c r="F52" i="68"/>
  <c r="F44" i="68"/>
  <c r="F92" i="68"/>
  <c r="F73" i="68"/>
  <c r="F69" i="68"/>
  <c r="F62" i="68"/>
  <c r="F59" i="68"/>
  <c r="F47" i="68"/>
  <c r="F39" i="68"/>
  <c r="F67" i="68"/>
  <c r="F63" i="68"/>
  <c r="F45" i="68"/>
  <c r="F37" i="68"/>
  <c r="F66" i="68"/>
  <c r="F77" i="68"/>
  <c r="F42" i="68"/>
  <c r="F90" i="68"/>
  <c r="F70" i="68"/>
  <c r="F36" i="68"/>
  <c r="F50" i="68"/>
  <c r="F74" i="68"/>
  <c r="F74" i="72"/>
  <c r="F71" i="72"/>
  <c r="F60" i="72"/>
  <c r="F61" i="72"/>
  <c r="F56" i="72"/>
  <c r="F55" i="72"/>
  <c r="F58" i="72"/>
  <c r="F57" i="72"/>
  <c r="F49" i="72"/>
  <c r="F20" i="72"/>
  <c r="F19" i="72"/>
  <c r="F54" i="72"/>
  <c r="F63" i="72"/>
  <c r="F50" i="72"/>
  <c r="F45" i="72"/>
  <c r="F39" i="72"/>
  <c r="F34" i="72"/>
  <c r="F30" i="72"/>
  <c r="F46" i="72"/>
  <c r="F21" i="72"/>
  <c r="F36" i="72"/>
  <c r="F35" i="72"/>
  <c r="L12" i="72"/>
  <c r="N12" i="72" s="1"/>
  <c r="F40" i="72"/>
  <c r="F31" i="72"/>
  <c r="F27" i="72"/>
  <c r="F26" i="72"/>
  <c r="F51" i="72"/>
  <c r="F47" i="72"/>
  <c r="F25" i="72"/>
  <c r="F23" i="72"/>
  <c r="F69" i="72"/>
  <c r="F48" i="72"/>
  <c r="F42" i="72"/>
  <c r="F41" i="72"/>
  <c r="F37" i="72"/>
  <c r="D23" i="72"/>
  <c r="F65" i="72"/>
  <c r="F52" i="72"/>
  <c r="F32" i="72"/>
  <c r="F28" i="72"/>
  <c r="F67" i="72"/>
  <c r="F62" i="72"/>
  <c r="F53" i="72"/>
  <c r="F44" i="72"/>
  <c r="F33" i="72"/>
  <c r="F29" i="72"/>
  <c r="F43" i="72"/>
  <c r="F38" i="72"/>
  <c r="F59" i="72"/>
  <c r="L52" i="70"/>
  <c r="D107" i="70"/>
  <c r="P46" i="61"/>
  <c r="X16" i="61"/>
  <c r="N16" i="56"/>
  <c r="H63" i="56"/>
  <c r="L16" i="60"/>
  <c r="F108" i="42"/>
  <c r="R114" i="36"/>
  <c r="R111" i="36"/>
  <c r="R104" i="36"/>
  <c r="R120" i="36"/>
  <c r="R113" i="36"/>
  <c r="R98" i="36"/>
  <c r="R94" i="36"/>
  <c r="R106" i="36"/>
  <c r="R105" i="36"/>
  <c r="R107" i="36"/>
  <c r="R99" i="36"/>
  <c r="R95" i="36"/>
  <c r="R84" i="36"/>
  <c r="R83" i="36"/>
  <c r="R76" i="36"/>
  <c r="R75" i="36"/>
  <c r="R90" i="36"/>
  <c r="R89" i="36"/>
  <c r="R85" i="36"/>
  <c r="R78" i="36"/>
  <c r="R77" i="36"/>
  <c r="R92" i="36"/>
  <c r="R91" i="36"/>
  <c r="R79" i="36"/>
  <c r="R68" i="36"/>
  <c r="R115" i="36"/>
  <c r="R69" i="36"/>
  <c r="R61" i="36"/>
  <c r="R60" i="36"/>
  <c r="R53" i="36"/>
  <c r="R52" i="36"/>
  <c r="R41" i="36"/>
  <c r="R40" i="36"/>
  <c r="R36" i="36"/>
  <c r="R32" i="36"/>
  <c r="P28" i="36"/>
  <c r="R110" i="36"/>
  <c r="R101" i="36"/>
  <c r="R97" i="36"/>
  <c r="R87" i="36"/>
  <c r="R74" i="36"/>
  <c r="R70" i="36"/>
  <c r="R108" i="36"/>
  <c r="R93" i="36"/>
  <c r="R63" i="36"/>
  <c r="R62" i="36"/>
  <c r="R55" i="36"/>
  <c r="R54" i="36"/>
  <c r="R46" i="36"/>
  <c r="R42" i="36"/>
  <c r="R37" i="36"/>
  <c r="R33" i="36"/>
  <c r="R82" i="36"/>
  <c r="R65" i="36"/>
  <c r="R64" i="36"/>
  <c r="R56" i="36"/>
  <c r="R102" i="36"/>
  <c r="R71" i="36"/>
  <c r="R47" i="36"/>
  <c r="R43" i="36"/>
  <c r="R24" i="36"/>
  <c r="R100" i="36"/>
  <c r="R96" i="36"/>
  <c r="R88" i="36"/>
  <c r="R72" i="36"/>
  <c r="R66" i="36"/>
  <c r="R38" i="36"/>
  <c r="R34" i="36"/>
  <c r="R86" i="36"/>
  <c r="R116" i="36"/>
  <c r="R49" i="36"/>
  <c r="R48" i="36"/>
  <c r="R44" i="36"/>
  <c r="X12" i="36"/>
  <c r="Z12" i="36" s="1"/>
  <c r="R109" i="36"/>
  <c r="R67" i="36"/>
  <c r="R39" i="36"/>
  <c r="R35" i="36"/>
  <c r="R103" i="36"/>
  <c r="R81" i="36"/>
  <c r="R45" i="36"/>
  <c r="R30" i="36"/>
  <c r="R28" i="36"/>
  <c r="R73" i="36"/>
  <c r="R50" i="36"/>
  <c r="R31" i="36"/>
  <c r="R26" i="36"/>
  <c r="R58" i="36"/>
  <c r="R51" i="36"/>
  <c r="R25" i="36"/>
  <c r="R59" i="36"/>
  <c r="R57" i="36"/>
  <c r="R80" i="36"/>
  <c r="V131" i="30"/>
  <c r="V123" i="30"/>
  <c r="V130" i="30"/>
  <c r="V133" i="30"/>
  <c r="V117" i="30"/>
  <c r="V109" i="30"/>
  <c r="V138" i="30"/>
  <c r="V132" i="30"/>
  <c r="V124" i="30"/>
  <c r="V137" i="30"/>
  <c r="V136" i="30"/>
  <c r="V134" i="30"/>
  <c r="V118" i="30"/>
  <c r="V142" i="30"/>
  <c r="V120" i="30"/>
  <c r="V104" i="30"/>
  <c r="V127" i="30"/>
  <c r="V115" i="30"/>
  <c r="V129" i="30"/>
  <c r="V121" i="30"/>
  <c r="V116" i="30"/>
  <c r="V106" i="30"/>
  <c r="V105" i="30"/>
  <c r="V84" i="30"/>
  <c r="V80" i="30"/>
  <c r="V119" i="30"/>
  <c r="V100" i="30"/>
  <c r="V99" i="30"/>
  <c r="V71" i="30"/>
  <c r="V67" i="30"/>
  <c r="V63" i="30"/>
  <c r="V59" i="30"/>
  <c r="V55" i="30"/>
  <c r="V111" i="30"/>
  <c r="V90" i="30"/>
  <c r="V86" i="30"/>
  <c r="V125" i="30"/>
  <c r="V114" i="30"/>
  <c r="V85" i="30"/>
  <c r="V81" i="30"/>
  <c r="V77" i="30"/>
  <c r="V112" i="30"/>
  <c r="V92" i="30"/>
  <c r="V76" i="30"/>
  <c r="V72" i="30"/>
  <c r="V68" i="30"/>
  <c r="V64" i="30"/>
  <c r="V60" i="30"/>
  <c r="V56" i="30"/>
  <c r="V108" i="30"/>
  <c r="V107" i="30"/>
  <c r="V102" i="30"/>
  <c r="V101" i="30"/>
  <c r="V91" i="30"/>
  <c r="V87" i="30"/>
  <c r="T74" i="30"/>
  <c r="V94" i="30"/>
  <c r="V82" i="30"/>
  <c r="V78" i="30"/>
  <c r="V122" i="30"/>
  <c r="V93" i="30"/>
  <c r="V103" i="30"/>
  <c r="V96" i="30"/>
  <c r="V88" i="30"/>
  <c r="Z12" i="30"/>
  <c r="V126" i="30"/>
  <c r="V95" i="30"/>
  <c r="V83" i="30"/>
  <c r="V79" i="30"/>
  <c r="V97" i="30"/>
  <c r="V89" i="30"/>
  <c r="V128" i="30"/>
  <c r="V57" i="30"/>
  <c r="V54" i="30"/>
  <c r="V65" i="30"/>
  <c r="V110" i="30"/>
  <c r="V62" i="30"/>
  <c r="V70" i="30"/>
  <c r="V53" i="30"/>
  <c r="V98" i="30"/>
  <c r="V61" i="30"/>
  <c r="V58" i="30"/>
  <c r="V69" i="30"/>
  <c r="V66" i="30"/>
  <c r="V113" i="30"/>
  <c r="R36" i="33"/>
  <c r="D92" i="21"/>
  <c r="L26" i="21"/>
  <c r="L261" i="18"/>
  <c r="T90" i="9"/>
  <c r="X90" i="9" s="1"/>
  <c r="Z16" i="9"/>
  <c r="R262" i="18"/>
  <c r="R259" i="18"/>
  <c r="R252" i="18"/>
  <c r="R251" i="18"/>
  <c r="R235" i="18"/>
  <c r="R224" i="18"/>
  <c r="R223" i="18"/>
  <c r="R203" i="18"/>
  <c r="R183" i="18"/>
  <c r="R179" i="18"/>
  <c r="R175" i="18"/>
  <c r="P171" i="18"/>
  <c r="R261" i="18"/>
  <c r="R246" i="18"/>
  <c r="R242" i="18"/>
  <c r="R230" i="18"/>
  <c r="R195" i="18"/>
  <c r="R194" i="18"/>
  <c r="R166" i="18"/>
  <c r="R162" i="18"/>
  <c r="R158" i="18"/>
  <c r="R154" i="18"/>
  <c r="R150" i="18"/>
  <c r="R146" i="18"/>
  <c r="R142" i="18"/>
  <c r="R138" i="18"/>
  <c r="R134" i="18"/>
  <c r="R130" i="18"/>
  <c r="R126" i="18"/>
  <c r="R122" i="18"/>
  <c r="R118" i="18"/>
  <c r="R254" i="18"/>
  <c r="R253" i="18"/>
  <c r="R225" i="18"/>
  <c r="R214" i="18"/>
  <c r="R213" i="18"/>
  <c r="R189" i="18"/>
  <c r="R271" i="18"/>
  <c r="R236" i="18"/>
  <c r="R205" i="18"/>
  <c r="R204" i="18"/>
  <c r="R197" i="18"/>
  <c r="R196" i="18"/>
  <c r="R185" i="18"/>
  <c r="R184" i="18"/>
  <c r="R180" i="18"/>
  <c r="R176" i="18"/>
  <c r="R270" i="18"/>
  <c r="R255" i="18"/>
  <c r="R247" i="18"/>
  <c r="R243" i="18"/>
  <c r="R231" i="18"/>
  <c r="R216" i="18"/>
  <c r="R215" i="18"/>
  <c r="R167" i="18"/>
  <c r="R163" i="18"/>
  <c r="R159" i="18"/>
  <c r="R155" i="18"/>
  <c r="R151" i="18"/>
  <c r="R147" i="18"/>
  <c r="R143" i="18"/>
  <c r="R139" i="18"/>
  <c r="R135" i="18"/>
  <c r="R131" i="18"/>
  <c r="R127" i="18"/>
  <c r="R123" i="18"/>
  <c r="R119" i="18"/>
  <c r="R269" i="18"/>
  <c r="R226" i="18"/>
  <c r="R207" i="18"/>
  <c r="R206" i="18"/>
  <c r="R199" i="18"/>
  <c r="R198" i="18"/>
  <c r="R190" i="18"/>
  <c r="R186" i="18"/>
  <c r="R275" i="18"/>
  <c r="R268" i="18"/>
  <c r="R238" i="18"/>
  <c r="R237" i="18"/>
  <c r="R218" i="18"/>
  <c r="R217" i="18"/>
  <c r="R181" i="18"/>
  <c r="R177" i="18"/>
  <c r="R266" i="18"/>
  <c r="R239" i="18"/>
  <c r="R227" i="18"/>
  <c r="R220" i="18"/>
  <c r="R219" i="18"/>
  <c r="R191" i="18"/>
  <c r="R187" i="18"/>
  <c r="R265" i="18"/>
  <c r="R250" i="18"/>
  <c r="R234" i="18"/>
  <c r="R211" i="18"/>
  <c r="R210" i="18"/>
  <c r="R182" i="18"/>
  <c r="R178" i="18"/>
  <c r="R263" i="18"/>
  <c r="R241" i="18"/>
  <c r="R240" i="18"/>
  <c r="R229" i="18"/>
  <c r="R228" i="18"/>
  <c r="R212" i="18"/>
  <c r="R193" i="18"/>
  <c r="R192" i="18"/>
  <c r="R188" i="18"/>
  <c r="R173" i="18"/>
  <c r="R171" i="18"/>
  <c r="R117" i="18"/>
  <c r="R168" i="18"/>
  <c r="R141" i="18"/>
  <c r="R125" i="18"/>
  <c r="R157" i="18"/>
  <c r="R148" i="18"/>
  <c r="R136" i="18"/>
  <c r="R129" i="18"/>
  <c r="R257" i="18"/>
  <c r="R244" i="18"/>
  <c r="R161" i="18"/>
  <c r="R152" i="18"/>
  <c r="R120" i="18"/>
  <c r="R221" i="18"/>
  <c r="R174" i="18"/>
  <c r="R145" i="18"/>
  <c r="R264" i="18"/>
  <c r="R248" i="18"/>
  <c r="R232" i="18"/>
  <c r="R208" i="18"/>
  <c r="R165" i="18"/>
  <c r="R140" i="18"/>
  <c r="R133" i="18"/>
  <c r="R124" i="18"/>
  <c r="R201" i="18"/>
  <c r="R156" i="18"/>
  <c r="R258" i="18"/>
  <c r="R169" i="18"/>
  <c r="R149" i="18"/>
  <c r="R128" i="18"/>
  <c r="R222" i="18"/>
  <c r="R160" i="18"/>
  <c r="R137" i="18"/>
  <c r="R267" i="18"/>
  <c r="R256" i="18"/>
  <c r="R249" i="18"/>
  <c r="R245" i="18"/>
  <c r="R144" i="18"/>
  <c r="R200" i="18"/>
  <c r="X12" i="18"/>
  <c r="Z12" i="18" s="1"/>
  <c r="R132" i="18"/>
  <c r="R233" i="18"/>
  <c r="R202" i="18"/>
  <c r="R164" i="18"/>
  <c r="R153" i="18"/>
  <c r="R209" i="18"/>
  <c r="R121" i="18"/>
  <c r="N16" i="9"/>
  <c r="H90" i="9"/>
  <c r="J266" i="18"/>
  <c r="J250" i="18"/>
  <c r="J234" i="18"/>
  <c r="J220" i="18"/>
  <c r="J210" i="18"/>
  <c r="J182" i="18"/>
  <c r="J178" i="18"/>
  <c r="J265" i="18"/>
  <c r="J257" i="18"/>
  <c r="J245" i="18"/>
  <c r="J221" i="18"/>
  <c r="J211" i="18"/>
  <c r="J201" i="18"/>
  <c r="J169" i="18"/>
  <c r="J165" i="18"/>
  <c r="J161" i="18"/>
  <c r="J157" i="18"/>
  <c r="J153" i="18"/>
  <c r="J149" i="18"/>
  <c r="J145" i="18"/>
  <c r="J141" i="18"/>
  <c r="J137" i="18"/>
  <c r="J133" i="18"/>
  <c r="J129" i="18"/>
  <c r="J125" i="18"/>
  <c r="J121" i="18"/>
  <c r="J264" i="18"/>
  <c r="J258" i="18"/>
  <c r="J240" i="18"/>
  <c r="J228" i="18"/>
  <c r="J222" i="18"/>
  <c r="J212" i="18"/>
  <c r="J202" i="18"/>
  <c r="J192" i="18"/>
  <c r="J188" i="18"/>
  <c r="J174" i="18"/>
  <c r="J263" i="18"/>
  <c r="J259" i="18"/>
  <c r="J251" i="18"/>
  <c r="J241" i="18"/>
  <c r="J235" i="18"/>
  <c r="J229" i="18"/>
  <c r="J223" i="18"/>
  <c r="J203" i="18"/>
  <c r="J193" i="18"/>
  <c r="J183" i="18"/>
  <c r="J179" i="18"/>
  <c r="J175" i="18"/>
  <c r="J173" i="18"/>
  <c r="J171" i="18"/>
  <c r="J117" i="18"/>
  <c r="J262" i="18"/>
  <c r="J252" i="18"/>
  <c r="J246" i="18"/>
  <c r="J242" i="18"/>
  <c r="J230" i="18"/>
  <c r="J224" i="18"/>
  <c r="J194" i="18"/>
  <c r="H171" i="18"/>
  <c r="J166" i="18"/>
  <c r="J162" i="18"/>
  <c r="J158" i="18"/>
  <c r="J154" i="18"/>
  <c r="J150" i="18"/>
  <c r="J146" i="18"/>
  <c r="J142" i="18"/>
  <c r="J138" i="18"/>
  <c r="J134" i="18"/>
  <c r="J130" i="18"/>
  <c r="J126" i="18"/>
  <c r="J122" i="18"/>
  <c r="J118" i="18"/>
  <c r="J261" i="18"/>
  <c r="J253" i="18"/>
  <c r="J225" i="18"/>
  <c r="J213" i="18"/>
  <c r="J195" i="18"/>
  <c r="J189" i="18"/>
  <c r="J254" i="18"/>
  <c r="J236" i="18"/>
  <c r="J214" i="18"/>
  <c r="J204" i="18"/>
  <c r="J196" i="18"/>
  <c r="J184" i="18"/>
  <c r="J180" i="18"/>
  <c r="J176" i="18"/>
  <c r="J270" i="18"/>
  <c r="J226" i="18"/>
  <c r="J216" i="18"/>
  <c r="J206" i="18"/>
  <c r="J198" i="18"/>
  <c r="J190" i="18"/>
  <c r="J186" i="18"/>
  <c r="J275" i="18"/>
  <c r="J269" i="18"/>
  <c r="J237" i="18"/>
  <c r="J217" i="18"/>
  <c r="J207" i="18"/>
  <c r="J199" i="18"/>
  <c r="J181" i="18"/>
  <c r="J177" i="18"/>
  <c r="J267" i="18"/>
  <c r="J249" i="18"/>
  <c r="J239" i="18"/>
  <c r="J233" i="18"/>
  <c r="J227" i="18"/>
  <c r="J219" i="18"/>
  <c r="J209" i="18"/>
  <c r="J191" i="18"/>
  <c r="J187" i="18"/>
  <c r="J164" i="18"/>
  <c r="J139" i="18"/>
  <c r="J132" i="18"/>
  <c r="J247" i="18"/>
  <c r="J231" i="18"/>
  <c r="J200" i="18"/>
  <c r="J155" i="18"/>
  <c r="J123" i="18"/>
  <c r="J185" i="18"/>
  <c r="J168" i="18"/>
  <c r="J127" i="18"/>
  <c r="N12" i="18"/>
  <c r="J268" i="18"/>
  <c r="J148" i="18"/>
  <c r="J136" i="18"/>
  <c r="J197" i="18"/>
  <c r="J159" i="18"/>
  <c r="J143" i="18"/>
  <c r="J255" i="18"/>
  <c r="J244" i="18"/>
  <c r="J152" i="18"/>
  <c r="J131" i="18"/>
  <c r="J120" i="18"/>
  <c r="J215" i="18"/>
  <c r="J163" i="18"/>
  <c r="J271" i="18"/>
  <c r="J248" i="18"/>
  <c r="J232" i="18"/>
  <c r="J208" i="18"/>
  <c r="J140" i="18"/>
  <c r="J124" i="18"/>
  <c r="J205" i="18"/>
  <c r="J167" i="18"/>
  <c r="J156" i="18"/>
  <c r="J147" i="18"/>
  <c r="J135" i="18"/>
  <c r="J218" i="18"/>
  <c r="J128" i="18"/>
  <c r="J256" i="18"/>
  <c r="J243" i="18"/>
  <c r="J151" i="18"/>
  <c r="J144" i="18"/>
  <c r="J160" i="18"/>
  <c r="J238" i="18"/>
  <c r="J119" i="18"/>
  <c r="V282" i="3"/>
  <c r="H27" i="49"/>
  <c r="N18" i="49"/>
  <c r="X18" i="44"/>
  <c r="P27" i="44"/>
  <c r="L18" i="47"/>
  <c r="D27" i="47"/>
  <c r="N18" i="38"/>
  <c r="H27" i="38"/>
  <c r="L18" i="34"/>
  <c r="D27" i="34"/>
  <c r="P27" i="41"/>
  <c r="X18" i="41"/>
  <c r="L18" i="19"/>
  <c r="D27" i="19"/>
  <c r="T27" i="13"/>
  <c r="Z18" i="13"/>
  <c r="T27" i="8"/>
  <c r="Z18" i="8"/>
  <c r="L18" i="4"/>
  <c r="D27" i="4"/>
  <c r="H27" i="7"/>
  <c r="N18" i="7"/>
  <c r="T27" i="5"/>
  <c r="Z18" i="5"/>
  <c r="D44" i="102"/>
  <c r="L16" i="102"/>
  <c r="T85" i="91"/>
  <c r="R79" i="84"/>
  <c r="R78" i="84"/>
  <c r="R63" i="84"/>
  <c r="R62" i="84"/>
  <c r="R58" i="84"/>
  <c r="R98" i="84"/>
  <c r="R97" i="84"/>
  <c r="R89" i="84"/>
  <c r="R81" i="84"/>
  <c r="R80" i="84"/>
  <c r="R69" i="84"/>
  <c r="R68" i="84"/>
  <c r="R64" i="84"/>
  <c r="R53" i="84"/>
  <c r="R37" i="84"/>
  <c r="X12" i="84"/>
  <c r="Z12" i="84" s="1"/>
  <c r="R100" i="84"/>
  <c r="R99" i="84"/>
  <c r="R59" i="84"/>
  <c r="R55" i="84"/>
  <c r="R91" i="84"/>
  <c r="R90" i="84"/>
  <c r="R83" i="84"/>
  <c r="R82" i="84"/>
  <c r="R71" i="84"/>
  <c r="R70" i="84"/>
  <c r="R46" i="84"/>
  <c r="R42" i="84"/>
  <c r="R38" i="84"/>
  <c r="R101" i="84"/>
  <c r="R65" i="84"/>
  <c r="R103" i="84"/>
  <c r="R94" i="84"/>
  <c r="R87" i="84"/>
  <c r="R86" i="84"/>
  <c r="R75" i="84"/>
  <c r="R74" i="84"/>
  <c r="R66" i="84"/>
  <c r="R96" i="84"/>
  <c r="R95" i="84"/>
  <c r="R67" i="84"/>
  <c r="R45" i="84"/>
  <c r="R88" i="84"/>
  <c r="R76" i="84"/>
  <c r="R61" i="84"/>
  <c r="R54" i="84"/>
  <c r="R93" i="84"/>
  <c r="R43" i="84"/>
  <c r="R41" i="84"/>
  <c r="R84" i="84"/>
  <c r="R72" i="84"/>
  <c r="R57" i="84"/>
  <c r="P51" i="84"/>
  <c r="R48" i="84"/>
  <c r="R77" i="84"/>
  <c r="R39" i="84"/>
  <c r="R85" i="84"/>
  <c r="R73" i="84"/>
  <c r="R44" i="84"/>
  <c r="R107" i="84"/>
  <c r="R60" i="84"/>
  <c r="R40" i="84"/>
  <c r="R47" i="84"/>
  <c r="R56" i="84"/>
  <c r="R92" i="84"/>
  <c r="R49" i="84"/>
  <c r="P47" i="99"/>
  <c r="X43" i="99"/>
  <c r="V67" i="33"/>
  <c r="V59" i="33"/>
  <c r="V58" i="33"/>
  <c r="V50" i="33"/>
  <c r="V73" i="33"/>
  <c r="V69" i="33"/>
  <c r="V45" i="33"/>
  <c r="V41" i="33"/>
  <c r="V60" i="33"/>
  <c r="V32" i="33"/>
  <c r="V85" i="33"/>
  <c r="V75" i="33"/>
  <c r="V51" i="33"/>
  <c r="V84" i="33"/>
  <c r="V74" i="33"/>
  <c r="V70" i="33"/>
  <c r="V62" i="33"/>
  <c r="V46" i="33"/>
  <c r="V42" i="33"/>
  <c r="V83" i="33"/>
  <c r="V77" i="33"/>
  <c r="V61" i="33"/>
  <c r="V53" i="33"/>
  <c r="V33" i="33"/>
  <c r="V29" i="33"/>
  <c r="V89" i="33"/>
  <c r="V81" i="33"/>
  <c r="V71" i="33"/>
  <c r="V63" i="33"/>
  <c r="V55" i="33"/>
  <c r="V47" i="33"/>
  <c r="V43" i="33"/>
  <c r="V39" i="33"/>
  <c r="V80" i="33"/>
  <c r="V78" i="33"/>
  <c r="V66" i="33"/>
  <c r="V54" i="33"/>
  <c r="V38" i="33"/>
  <c r="V34" i="33"/>
  <c r="V30" i="33"/>
  <c r="V72" i="33"/>
  <c r="V68" i="33"/>
  <c r="V56" i="33"/>
  <c r="V44" i="33"/>
  <c r="V40" i="33"/>
  <c r="V76" i="33"/>
  <c r="V49" i="33"/>
  <c r="V52" i="33"/>
  <c r="V64" i="33"/>
  <c r="V48" i="33"/>
  <c r="V31" i="33"/>
  <c r="V82" i="33"/>
  <c r="V57" i="33"/>
  <c r="Z12" i="33"/>
  <c r="V65" i="33"/>
  <c r="T36" i="33"/>
  <c r="X36" i="33" s="1"/>
  <c r="R21" i="103"/>
  <c r="D81" i="91"/>
  <c r="L16" i="91"/>
  <c r="R66" i="83"/>
  <c r="R51" i="83"/>
  <c r="R50" i="83"/>
  <c r="R34" i="83"/>
  <c r="R78" i="83"/>
  <c r="R60" i="83"/>
  <c r="R53" i="83"/>
  <c r="R52" i="83"/>
  <c r="R62" i="83"/>
  <c r="R61" i="83"/>
  <c r="R71" i="83"/>
  <c r="R70" i="83"/>
  <c r="R47" i="83"/>
  <c r="R46" i="83"/>
  <c r="R23" i="83"/>
  <c r="R41" i="83"/>
  <c r="R37" i="83"/>
  <c r="R30" i="83"/>
  <c r="R27" i="83"/>
  <c r="R24" i="83"/>
  <c r="R69" i="83"/>
  <c r="R42" i="83"/>
  <c r="R72" i="83"/>
  <c r="R38" i="83"/>
  <c r="R16" i="83"/>
  <c r="R43" i="83"/>
  <c r="R35" i="83"/>
  <c r="R57" i="83"/>
  <c r="R32" i="83"/>
  <c r="R31" i="83"/>
  <c r="R28" i="83"/>
  <c r="R25" i="83"/>
  <c r="R17" i="83"/>
  <c r="R74" i="83"/>
  <c r="R67" i="83"/>
  <c r="R64" i="83"/>
  <c r="R63" i="83"/>
  <c r="R44" i="83"/>
  <c r="X12" i="83"/>
  <c r="Z12" i="83" s="1"/>
  <c r="R80" i="83"/>
  <c r="R58" i="83"/>
  <c r="R54" i="83"/>
  <c r="R39" i="83"/>
  <c r="R55" i="83"/>
  <c r="R33" i="83"/>
  <c r="R18" i="83"/>
  <c r="R40" i="83"/>
  <c r="R36" i="83"/>
  <c r="R29" i="83"/>
  <c r="R26" i="83"/>
  <c r="R22" i="83"/>
  <c r="R20" i="83"/>
  <c r="R59" i="83"/>
  <c r="R56" i="83"/>
  <c r="R49" i="83"/>
  <c r="R68" i="83"/>
  <c r="R83" i="83"/>
  <c r="R48" i="83"/>
  <c r="R65" i="83"/>
  <c r="R45" i="83"/>
  <c r="P20" i="83"/>
  <c r="R76" i="83"/>
  <c r="D55" i="109"/>
  <c r="L17" i="109"/>
  <c r="N17" i="109" s="1"/>
  <c r="J78" i="107"/>
  <c r="J59" i="107"/>
  <c r="J51" i="107"/>
  <c r="J39" i="107"/>
  <c r="J35" i="107"/>
  <c r="J71" i="107"/>
  <c r="J60" i="107"/>
  <c r="J52" i="107"/>
  <c r="J40" i="107"/>
  <c r="J30" i="107"/>
  <c r="J26" i="107"/>
  <c r="J16" i="107"/>
  <c r="J65" i="107"/>
  <c r="J61" i="107"/>
  <c r="J53" i="107"/>
  <c r="J41" i="107"/>
  <c r="J72" i="107"/>
  <c r="J54" i="107"/>
  <c r="J42" i="107"/>
  <c r="J36" i="107"/>
  <c r="N12" i="107"/>
  <c r="J55" i="107"/>
  <c r="J43" i="107"/>
  <c r="J31" i="107"/>
  <c r="J27" i="107"/>
  <c r="J66" i="107"/>
  <c r="J62" i="107"/>
  <c r="J56" i="107"/>
  <c r="J44" i="107"/>
  <c r="J18" i="107"/>
  <c r="J67" i="107"/>
  <c r="J57" i="107"/>
  <c r="J45" i="107"/>
  <c r="J37" i="107"/>
  <c r="J23" i="107"/>
  <c r="J74" i="107"/>
  <c r="J68" i="107"/>
  <c r="J63" i="107"/>
  <c r="J47" i="107"/>
  <c r="J64" i="107"/>
  <c r="J50" i="107"/>
  <c r="J34" i="107"/>
  <c r="J69" i="107"/>
  <c r="J38" i="107"/>
  <c r="J32" i="107"/>
  <c r="J28" i="107"/>
  <c r="H20" i="107"/>
  <c r="J17" i="107"/>
  <c r="J24" i="107"/>
  <c r="J49" i="107"/>
  <c r="J33" i="107"/>
  <c r="J22" i="107"/>
  <c r="J70" i="107"/>
  <c r="J58" i="107"/>
  <c r="J48" i="107"/>
  <c r="J46" i="107"/>
  <c r="J29" i="107"/>
  <c r="J25" i="107"/>
  <c r="D44" i="104"/>
  <c r="L20" i="104"/>
  <c r="N20" i="104" s="1"/>
  <c r="D83" i="95"/>
  <c r="X20" i="95"/>
  <c r="P83" i="95"/>
  <c r="R20" i="95"/>
  <c r="H81" i="91"/>
  <c r="N16" i="91"/>
  <c r="J61" i="88"/>
  <c r="J47" i="88"/>
  <c r="J31" i="88"/>
  <c r="J27" i="88"/>
  <c r="J62" i="88"/>
  <c r="J48" i="88"/>
  <c r="J32" i="88"/>
  <c r="J18" i="88"/>
  <c r="J63" i="88"/>
  <c r="J57" i="88"/>
  <c r="J49" i="88"/>
  <c r="J37" i="88"/>
  <c r="J33" i="88"/>
  <c r="J23" i="88"/>
  <c r="J64" i="88"/>
  <c r="J50" i="88"/>
  <c r="J38" i="88"/>
  <c r="J28" i="88"/>
  <c r="J24" i="88"/>
  <c r="J22" i="88"/>
  <c r="J51" i="88"/>
  <c r="J66" i="88"/>
  <c r="J58" i="88"/>
  <c r="J40" i="88"/>
  <c r="J34" i="88"/>
  <c r="J70" i="88"/>
  <c r="J52" i="88"/>
  <c r="J42" i="88"/>
  <c r="J59" i="88"/>
  <c r="J53" i="88"/>
  <c r="J43" i="88"/>
  <c r="J35" i="88"/>
  <c r="J60" i="88"/>
  <c r="J56" i="88"/>
  <c r="J46" i="88"/>
  <c r="J36" i="88"/>
  <c r="N12" i="88"/>
  <c r="J54" i="88"/>
  <c r="J17" i="88"/>
  <c r="H20" i="88"/>
  <c r="J20" i="88" s="1"/>
  <c r="J29" i="88"/>
  <c r="J25" i="88"/>
  <c r="J16" i="88"/>
  <c r="J55" i="88"/>
  <c r="J45" i="88"/>
  <c r="J41" i="88"/>
  <c r="J39" i="88"/>
  <c r="J30" i="88"/>
  <c r="J26" i="88"/>
  <c r="J44" i="88"/>
  <c r="X92" i="76"/>
  <c r="Z92" i="76" s="1"/>
  <c r="R52" i="73"/>
  <c r="R47" i="73"/>
  <c r="R43" i="73"/>
  <c r="R39" i="73"/>
  <c r="R35" i="73"/>
  <c r="R63" i="73"/>
  <c r="R62" i="73"/>
  <c r="R51" i="73"/>
  <c r="R49" i="73"/>
  <c r="R75" i="73"/>
  <c r="R57" i="73"/>
  <c r="R53" i="73"/>
  <c r="P49" i="73"/>
  <c r="R80" i="73"/>
  <c r="R77" i="73"/>
  <c r="R64" i="73"/>
  <c r="R44" i="73"/>
  <c r="R40" i="73"/>
  <c r="R36" i="73"/>
  <c r="R58" i="73"/>
  <c r="R54" i="73"/>
  <c r="R66" i="73"/>
  <c r="R65" i="73"/>
  <c r="R45" i="73"/>
  <c r="R41" i="73"/>
  <c r="R37" i="73"/>
  <c r="R68" i="73"/>
  <c r="R67" i="73"/>
  <c r="R60" i="73"/>
  <c r="R59" i="73"/>
  <c r="R55" i="73"/>
  <c r="R46" i="73"/>
  <c r="R42" i="73"/>
  <c r="R38" i="73"/>
  <c r="R34" i="73"/>
  <c r="R71" i="73"/>
  <c r="R33" i="73"/>
  <c r="R69" i="73"/>
  <c r="R61" i="73"/>
  <c r="R56" i="73"/>
  <c r="X12" i="73"/>
  <c r="R73" i="73"/>
  <c r="J85" i="74"/>
  <c r="J75" i="74"/>
  <c r="J71" i="74"/>
  <c r="J69" i="74"/>
  <c r="J102" i="74"/>
  <c r="J86" i="74"/>
  <c r="H67" i="74"/>
  <c r="J62" i="74"/>
  <c r="J58" i="74"/>
  <c r="J54" i="74"/>
  <c r="J103" i="74"/>
  <c r="J97" i="74"/>
  <c r="J87" i="74"/>
  <c r="J81" i="74"/>
  <c r="J104" i="74"/>
  <c r="J98" i="74"/>
  <c r="J88" i="74"/>
  <c r="J76" i="74"/>
  <c r="J72" i="74"/>
  <c r="J50" i="74"/>
  <c r="J105" i="74"/>
  <c r="J99" i="74"/>
  <c r="J89" i="74"/>
  <c r="J63" i="74"/>
  <c r="J59" i="74"/>
  <c r="J55" i="74"/>
  <c r="J51" i="74"/>
  <c r="J110" i="74"/>
  <c r="J106" i="74"/>
  <c r="J90" i="74"/>
  <c r="J82" i="74"/>
  <c r="J114" i="74"/>
  <c r="J108" i="74"/>
  <c r="J100" i="74"/>
  <c r="J92" i="74"/>
  <c r="J64" i="74"/>
  <c r="J60" i="74"/>
  <c r="J56" i="74"/>
  <c r="J52" i="74"/>
  <c r="J93" i="74"/>
  <c r="J96" i="74"/>
  <c r="J84" i="74"/>
  <c r="J80" i="74"/>
  <c r="J70" i="74"/>
  <c r="J53" i="74"/>
  <c r="J94" i="74"/>
  <c r="J79" i="74"/>
  <c r="J57" i="74"/>
  <c r="J83" i="74"/>
  <c r="J73" i="74"/>
  <c r="J61" i="74"/>
  <c r="J77" i="74"/>
  <c r="J65" i="74"/>
  <c r="J109" i="74"/>
  <c r="N12" i="74"/>
  <c r="J95" i="74"/>
  <c r="J78" i="74"/>
  <c r="J91" i="74"/>
  <c r="J101" i="74"/>
  <c r="J74" i="74"/>
  <c r="R98" i="70"/>
  <c r="R97" i="70"/>
  <c r="R61" i="70"/>
  <c r="R57" i="70"/>
  <c r="R92" i="70"/>
  <c r="R81" i="70"/>
  <c r="R80" i="70"/>
  <c r="R48" i="70"/>
  <c r="R44" i="70"/>
  <c r="R40" i="70"/>
  <c r="R100" i="70"/>
  <c r="R99" i="70"/>
  <c r="R72" i="70"/>
  <c r="R71" i="70"/>
  <c r="R67" i="70"/>
  <c r="R105" i="70"/>
  <c r="R83" i="70"/>
  <c r="R82" i="70"/>
  <c r="R62" i="70"/>
  <c r="R58" i="70"/>
  <c r="R104" i="70"/>
  <c r="R101" i="70"/>
  <c r="R93" i="70"/>
  <c r="R74" i="70"/>
  <c r="R73" i="70"/>
  <c r="R49" i="70"/>
  <c r="R45" i="70"/>
  <c r="R41" i="70"/>
  <c r="R103" i="70"/>
  <c r="R85" i="70"/>
  <c r="R84" i="70"/>
  <c r="R68" i="70"/>
  <c r="R37" i="70"/>
  <c r="X12" i="70"/>
  <c r="Z12" i="70" s="1"/>
  <c r="R109" i="70"/>
  <c r="R75" i="70"/>
  <c r="R63" i="70"/>
  <c r="R59" i="70"/>
  <c r="R95" i="70"/>
  <c r="R94" i="70"/>
  <c r="R87" i="70"/>
  <c r="R86" i="70"/>
  <c r="R55" i="70"/>
  <c r="R50" i="70"/>
  <c r="R46" i="70"/>
  <c r="R42" i="70"/>
  <c r="R38" i="70"/>
  <c r="R69" i="70"/>
  <c r="R54" i="70"/>
  <c r="R91" i="70"/>
  <c r="R90" i="70"/>
  <c r="R79" i="70"/>
  <c r="R78" i="70"/>
  <c r="R70" i="70"/>
  <c r="R66" i="70"/>
  <c r="R60" i="70"/>
  <c r="R96" i="70"/>
  <c r="R89" i="70"/>
  <c r="R76" i="70"/>
  <c r="R47" i="70"/>
  <c r="R64" i="70"/>
  <c r="R39" i="70"/>
  <c r="R56" i="70"/>
  <c r="R88" i="70"/>
  <c r="R65" i="70"/>
  <c r="P52" i="70"/>
  <c r="R52" i="70" s="1"/>
  <c r="R43" i="70"/>
  <c r="R77" i="70"/>
  <c r="T67" i="72"/>
  <c r="Z23" i="72"/>
  <c r="H26" i="71"/>
  <c r="N22" i="71"/>
  <c r="P62" i="69"/>
  <c r="X20" i="69"/>
  <c r="Z20" i="69" s="1"/>
  <c r="P97" i="63"/>
  <c r="X16" i="63"/>
  <c r="D46" i="61"/>
  <c r="L16" i="61"/>
  <c r="R84" i="68"/>
  <c r="R83" i="68"/>
  <c r="R91" i="68"/>
  <c r="R90" i="68"/>
  <c r="R85" i="68"/>
  <c r="R49" i="68"/>
  <c r="R45" i="68"/>
  <c r="R41" i="68"/>
  <c r="R37" i="68"/>
  <c r="R92" i="68"/>
  <c r="R94" i="68"/>
  <c r="R78" i="68"/>
  <c r="R77" i="68"/>
  <c r="R73" i="68"/>
  <c r="R72" i="68"/>
  <c r="R57" i="68"/>
  <c r="R52" i="68"/>
  <c r="R48" i="68"/>
  <c r="R44" i="68"/>
  <c r="R40" i="68"/>
  <c r="R76" i="68"/>
  <c r="R61" i="68"/>
  <c r="R58" i="68"/>
  <c r="R46" i="68"/>
  <c r="R38" i="68"/>
  <c r="R98" i="68"/>
  <c r="R82" i="68"/>
  <c r="R87" i="68"/>
  <c r="R79" i="68"/>
  <c r="R89" i="68"/>
  <c r="R69" i="68"/>
  <c r="R59" i="68"/>
  <c r="R65" i="68"/>
  <c r="R62" i="68"/>
  <c r="R80" i="68"/>
  <c r="R66" i="68"/>
  <c r="R47" i="68"/>
  <c r="R39" i="68"/>
  <c r="R36" i="68"/>
  <c r="R74" i="68"/>
  <c r="R70" i="68"/>
  <c r="R54" i="68"/>
  <c r="R50" i="68"/>
  <c r="R42" i="68"/>
  <c r="R75" i="68"/>
  <c r="R67" i="68"/>
  <c r="R63" i="68"/>
  <c r="R60" i="68"/>
  <c r="P54" i="68"/>
  <c r="R88" i="68"/>
  <c r="R71" i="68"/>
  <c r="R56" i="68"/>
  <c r="X12" i="68"/>
  <c r="Z12" i="68" s="1"/>
  <c r="R86" i="68"/>
  <c r="R68" i="68"/>
  <c r="R64" i="68"/>
  <c r="R51" i="68"/>
  <c r="R43" i="68"/>
  <c r="R81" i="68"/>
  <c r="D97" i="51"/>
  <c r="V51" i="51"/>
  <c r="R112" i="39"/>
  <c r="R104" i="39"/>
  <c r="R100" i="39"/>
  <c r="R89" i="39"/>
  <c r="R88" i="39"/>
  <c r="R81" i="39"/>
  <c r="R80" i="39"/>
  <c r="R52" i="39"/>
  <c r="R48" i="39"/>
  <c r="R29" i="39"/>
  <c r="X12" i="39"/>
  <c r="Z12" i="39" s="1"/>
  <c r="R72" i="39"/>
  <c r="R71" i="39"/>
  <c r="R43" i="39"/>
  <c r="R39" i="39"/>
  <c r="R95" i="39"/>
  <c r="R94" i="39"/>
  <c r="R90" i="39"/>
  <c r="R83" i="39"/>
  <c r="R82" i="39"/>
  <c r="R62" i="39"/>
  <c r="R30" i="39"/>
  <c r="R113" i="39"/>
  <c r="R105" i="39"/>
  <c r="R101" i="39"/>
  <c r="R73" i="39"/>
  <c r="R54" i="39"/>
  <c r="R53" i="39"/>
  <c r="R49" i="39"/>
  <c r="R97" i="39"/>
  <c r="R96" i="39"/>
  <c r="R84" i="39"/>
  <c r="R44" i="39"/>
  <c r="R40" i="39"/>
  <c r="R91" i="39"/>
  <c r="R64" i="39"/>
  <c r="R63" i="39"/>
  <c r="R56" i="39"/>
  <c r="R55" i="39"/>
  <c r="R36" i="39"/>
  <c r="R121" i="39"/>
  <c r="R115" i="39"/>
  <c r="R114" i="39"/>
  <c r="R107" i="39"/>
  <c r="R106" i="39"/>
  <c r="R102" i="39"/>
  <c r="R98" i="39"/>
  <c r="R75" i="39"/>
  <c r="R74" i="39"/>
  <c r="R50" i="39"/>
  <c r="R35" i="39"/>
  <c r="R33" i="39"/>
  <c r="R119" i="39"/>
  <c r="R116" i="39"/>
  <c r="R109" i="39"/>
  <c r="R108" i="39"/>
  <c r="R92" i="39"/>
  <c r="R77" i="39"/>
  <c r="R76" i="39"/>
  <c r="R125" i="39"/>
  <c r="R118" i="39"/>
  <c r="R103" i="39"/>
  <c r="R99" i="39"/>
  <c r="R87" i="39"/>
  <c r="R68" i="39"/>
  <c r="R67" i="39"/>
  <c r="R60" i="39"/>
  <c r="R59" i="39"/>
  <c r="R51" i="39"/>
  <c r="R47" i="39"/>
  <c r="R93" i="39"/>
  <c r="R70" i="39"/>
  <c r="R69" i="39"/>
  <c r="R61" i="39"/>
  <c r="R120" i="39"/>
  <c r="R85" i="39"/>
  <c r="R41" i="39"/>
  <c r="R66" i="39"/>
  <c r="R110" i="39"/>
  <c r="R78" i="39"/>
  <c r="R31" i="39"/>
  <c r="R38" i="39"/>
  <c r="R57" i="39"/>
  <c r="R86" i="39"/>
  <c r="R45" i="39"/>
  <c r="R111" i="39"/>
  <c r="R79" i="39"/>
  <c r="R37" i="39"/>
  <c r="R65" i="39"/>
  <c r="R42" i="39"/>
  <c r="R58" i="39"/>
  <c r="P33" i="39"/>
  <c r="R46" i="39"/>
  <c r="D108" i="27"/>
  <c r="L53" i="27"/>
  <c r="H112" i="24"/>
  <c r="N68" i="24"/>
  <c r="H92" i="21"/>
  <c r="N26" i="21"/>
  <c r="J246" i="12"/>
  <c r="J236" i="12"/>
  <c r="J230" i="12"/>
  <c r="J226" i="12"/>
  <c r="J245" i="12"/>
  <c r="J237" i="12"/>
  <c r="J209" i="12"/>
  <c r="J199" i="12"/>
  <c r="J189" i="12"/>
  <c r="J181" i="12"/>
  <c r="J238" i="12"/>
  <c r="J220" i="12"/>
  <c r="J200" i="12"/>
  <c r="J190" i="12"/>
  <c r="J172" i="12"/>
  <c r="J168" i="12"/>
  <c r="J253" i="12"/>
  <c r="J221" i="12"/>
  <c r="J217" i="12"/>
  <c r="J203" i="12"/>
  <c r="J193" i="12"/>
  <c r="J183" i="12"/>
  <c r="J173" i="12"/>
  <c r="J169" i="12"/>
  <c r="J155" i="12"/>
  <c r="J252" i="12"/>
  <c r="J240" i="12"/>
  <c r="J232" i="12"/>
  <c r="J228" i="12"/>
  <c r="J222" i="12"/>
  <c r="J204" i="12"/>
  <c r="J184" i="12"/>
  <c r="J174" i="12"/>
  <c r="J164" i="12"/>
  <c r="J160" i="12"/>
  <c r="J156" i="12"/>
  <c r="J154" i="12"/>
  <c r="J257" i="12"/>
  <c r="J251" i="12"/>
  <c r="J250" i="12"/>
  <c r="J234" i="12"/>
  <c r="J218" i="12"/>
  <c r="J212" i="12"/>
  <c r="J206" i="12"/>
  <c r="J194" i="12"/>
  <c r="J176" i="12"/>
  <c r="J170" i="12"/>
  <c r="J249" i="12"/>
  <c r="J241" i="12"/>
  <c r="J229" i="12"/>
  <c r="J213" i="12"/>
  <c r="J207" i="12"/>
  <c r="J195" i="12"/>
  <c r="J185" i="12"/>
  <c r="J177" i="12"/>
  <c r="J165" i="12"/>
  <c r="J161" i="12"/>
  <c r="J157" i="12"/>
  <c r="J233" i="12"/>
  <c r="J219" i="12"/>
  <c r="J215" i="12"/>
  <c r="J146" i="12"/>
  <c r="J141" i="12"/>
  <c r="J136" i="12"/>
  <c r="J128" i="12"/>
  <c r="J101" i="12"/>
  <c r="J248" i="12"/>
  <c r="J242" i="12"/>
  <c r="H152" i="12"/>
  <c r="J152" i="12" s="1"/>
  <c r="J117" i="12"/>
  <c r="J114" i="12"/>
  <c r="J111" i="12"/>
  <c r="J235" i="12"/>
  <c r="J224" i="12"/>
  <c r="J201" i="12"/>
  <c r="J198" i="12"/>
  <c r="J182" i="12"/>
  <c r="J163" i="12"/>
  <c r="J149" i="12"/>
  <c r="J144" i="12"/>
  <c r="J131" i="12"/>
  <c r="J120" i="12"/>
  <c r="J108" i="12"/>
  <c r="J231" i="12"/>
  <c r="J216" i="12"/>
  <c r="J180" i="12"/>
  <c r="J166" i="12"/>
  <c r="J139" i="12"/>
  <c r="J123" i="12"/>
  <c r="J105" i="12"/>
  <c r="J102" i="12"/>
  <c r="J227" i="12"/>
  <c r="J211" i="12"/>
  <c r="J188" i="12"/>
  <c r="J159" i="12"/>
  <c r="J134" i="12"/>
  <c r="J126" i="12"/>
  <c r="J225" i="12"/>
  <c r="J191" i="12"/>
  <c r="J178" i="12"/>
  <c r="J147" i="12"/>
  <c r="J142" i="12"/>
  <c r="J137" i="12"/>
  <c r="J129" i="12"/>
  <c r="J115" i="12"/>
  <c r="J112" i="12"/>
  <c r="J214" i="12"/>
  <c r="J186" i="12"/>
  <c r="J175" i="12"/>
  <c r="J132" i="12"/>
  <c r="J121" i="12"/>
  <c r="J118" i="12"/>
  <c r="J109" i="12"/>
  <c r="J243" i="12"/>
  <c r="J205" i="12"/>
  <c r="J196" i="12"/>
  <c r="J150" i="12"/>
  <c r="J145" i="12"/>
  <c r="J140" i="12"/>
  <c r="J124" i="12"/>
  <c r="J106" i="12"/>
  <c r="J103" i="12"/>
  <c r="J202" i="12"/>
  <c r="J192" i="12"/>
  <c r="J167" i="12"/>
  <c r="J162" i="12"/>
  <c r="J135" i="12"/>
  <c r="J127" i="12"/>
  <c r="J171" i="12"/>
  <c r="J148" i="12"/>
  <c r="J116" i="12"/>
  <c r="J113" i="12"/>
  <c r="J247" i="12"/>
  <c r="J208" i="12"/>
  <c r="J187" i="12"/>
  <c r="J133" i="12"/>
  <c r="J125" i="12"/>
  <c r="J122" i="12"/>
  <c r="J107" i="12"/>
  <c r="J104" i="12"/>
  <c r="N12" i="12"/>
  <c r="J223" i="12"/>
  <c r="J210" i="12"/>
  <c r="J119" i="12"/>
  <c r="J138" i="12"/>
  <c r="J179" i="12"/>
  <c r="J130" i="12"/>
  <c r="J239" i="12"/>
  <c r="J158" i="12"/>
  <c r="J143" i="12"/>
  <c r="J197" i="12"/>
  <c r="J110" i="12"/>
  <c r="J282" i="3"/>
  <c r="T295" i="3"/>
  <c r="Z183" i="3"/>
  <c r="T27" i="111"/>
  <c r="Z18" i="111"/>
  <c r="P27" i="110"/>
  <c r="X18" i="110"/>
  <c r="X18" i="52"/>
  <c r="P27" i="52"/>
  <c r="H27" i="44"/>
  <c r="N18" i="44"/>
  <c r="T27" i="37"/>
  <c r="Z18" i="37"/>
  <c r="L18" i="35"/>
  <c r="D27" i="35"/>
  <c r="P27" i="34"/>
  <c r="X18" i="34"/>
  <c r="L18" i="29"/>
  <c r="D27" i="29"/>
  <c r="T27" i="28"/>
  <c r="Z18" i="28"/>
  <c r="H27" i="26"/>
  <c r="N18" i="26"/>
  <c r="X18" i="22"/>
  <c r="P27" i="22"/>
  <c r="L18" i="22"/>
  <c r="D27" i="22"/>
  <c r="H27" i="16"/>
  <c r="N18" i="16"/>
  <c r="L18" i="5"/>
  <c r="D27" i="5"/>
  <c r="D27" i="8"/>
  <c r="L18" i="8"/>
  <c r="D48" i="102" l="1"/>
  <c r="L44" i="102"/>
  <c r="L92" i="21"/>
  <c r="D96" i="21"/>
  <c r="F92" i="21"/>
  <c r="P105" i="84"/>
  <c r="X51" i="84"/>
  <c r="P31" i="41"/>
  <c r="X27" i="41"/>
  <c r="H77" i="73"/>
  <c r="J73" i="73"/>
  <c r="T273" i="18"/>
  <c r="T49" i="67"/>
  <c r="D73" i="92"/>
  <c r="L69" i="92"/>
  <c r="N27" i="13"/>
  <c r="H31" i="13"/>
  <c r="Z27" i="50"/>
  <c r="T31" i="50"/>
  <c r="Z27" i="111"/>
  <c r="T31" i="111"/>
  <c r="H112" i="74"/>
  <c r="L27" i="47"/>
  <c r="D31" i="47"/>
  <c r="T140" i="30"/>
  <c r="H31" i="26"/>
  <c r="N27" i="26"/>
  <c r="X27" i="52"/>
  <c r="P31" i="52"/>
  <c r="H116" i="24"/>
  <c r="N112" i="24"/>
  <c r="J112" i="24"/>
  <c r="L46" i="61"/>
  <c r="N46" i="61" s="1"/>
  <c r="D50" i="61"/>
  <c r="D48" i="104"/>
  <c r="L44" i="104"/>
  <c r="D31" i="19"/>
  <c r="L27" i="19"/>
  <c r="P67" i="93"/>
  <c r="H108" i="27"/>
  <c r="N53" i="27"/>
  <c r="T74" i="58"/>
  <c r="Z21" i="103"/>
  <c r="T80" i="103"/>
  <c r="X80" i="103" s="1"/>
  <c r="T31" i="23"/>
  <c r="Z27" i="23"/>
  <c r="D52" i="67"/>
  <c r="N27" i="40"/>
  <c r="H31" i="40"/>
  <c r="X55" i="59"/>
  <c r="Z55" i="59" s="1"/>
  <c r="P59" i="59"/>
  <c r="X21" i="103"/>
  <c r="N27" i="10"/>
  <c r="H31" i="10"/>
  <c r="X27" i="26"/>
  <c r="P31" i="26"/>
  <c r="L27" i="41"/>
  <c r="D31" i="41"/>
  <c r="H50" i="61"/>
  <c r="T26" i="71"/>
  <c r="Z22" i="71"/>
  <c r="L152" i="12"/>
  <c r="D255" i="12"/>
  <c r="T48" i="60"/>
  <c r="D31" i="14"/>
  <c r="L27" i="14"/>
  <c r="T62" i="59"/>
  <c r="P97" i="76"/>
  <c r="X51" i="76"/>
  <c r="Z51" i="76" s="1"/>
  <c r="X58" i="78"/>
  <c r="P62" i="78"/>
  <c r="H31" i="25"/>
  <c r="N27" i="25"/>
  <c r="N27" i="22"/>
  <c r="H31" i="22"/>
  <c r="N36" i="33"/>
  <c r="H87" i="33"/>
  <c r="P67" i="56"/>
  <c r="X63" i="56"/>
  <c r="Z63" i="56" s="1"/>
  <c r="D122" i="36"/>
  <c r="F118" i="36"/>
  <c r="X27" i="14"/>
  <c r="P31" i="14"/>
  <c r="P70" i="94"/>
  <c r="X20" i="94"/>
  <c r="D68" i="79"/>
  <c r="L64" i="79"/>
  <c r="N64" i="79" s="1"/>
  <c r="F64" i="79"/>
  <c r="D31" i="25"/>
  <c r="L27" i="25"/>
  <c r="P48" i="60"/>
  <c r="X44" i="60"/>
  <c r="Z44" i="60" s="1"/>
  <c r="X46" i="61"/>
  <c r="P50" i="61"/>
  <c r="P31" i="47"/>
  <c r="X27" i="47"/>
  <c r="P92" i="21"/>
  <c r="X26" i="21"/>
  <c r="Z26" i="21" s="1"/>
  <c r="T108" i="27"/>
  <c r="Z53" i="27"/>
  <c r="L113" i="42"/>
  <c r="D117" i="42"/>
  <c r="F113" i="42"/>
  <c r="H68" i="79"/>
  <c r="J64" i="79"/>
  <c r="P55" i="109"/>
  <c r="X17" i="109"/>
  <c r="Z17" i="109" s="1"/>
  <c r="P84" i="103"/>
  <c r="R80" i="103"/>
  <c r="D47" i="99"/>
  <c r="L43" i="99"/>
  <c r="X27" i="111"/>
  <c r="P31" i="111"/>
  <c r="T101" i="76"/>
  <c r="V97" i="76"/>
  <c r="L27" i="10"/>
  <c r="D31" i="10"/>
  <c r="P72" i="80"/>
  <c r="X68" i="80"/>
  <c r="T71" i="79"/>
  <c r="V68" i="79"/>
  <c r="D31" i="5"/>
  <c r="L27" i="5"/>
  <c r="L27" i="29"/>
  <c r="D31" i="29"/>
  <c r="D112" i="27"/>
  <c r="L108" i="27"/>
  <c r="F108" i="27"/>
  <c r="P101" i="63"/>
  <c r="X97" i="63"/>
  <c r="Z20" i="80"/>
  <c r="T68" i="80"/>
  <c r="V53" i="27"/>
  <c r="X21" i="105"/>
  <c r="P83" i="105"/>
  <c r="Z27" i="34"/>
  <c r="T31" i="34"/>
  <c r="H31" i="111"/>
  <c r="N27" i="111"/>
  <c r="H247" i="15"/>
  <c r="N147" i="15"/>
  <c r="T31" i="17"/>
  <c r="Z27" i="17"/>
  <c r="T31" i="43"/>
  <c r="Z27" i="43"/>
  <c r="X27" i="11"/>
  <c r="P31" i="11"/>
  <c r="N27" i="110"/>
  <c r="H31" i="110"/>
  <c r="H47" i="99"/>
  <c r="N43" i="99"/>
  <c r="P69" i="92"/>
  <c r="X19" i="92"/>
  <c r="Z19" i="92" s="1"/>
  <c r="P108" i="27"/>
  <c r="X53" i="27"/>
  <c r="D77" i="58"/>
  <c r="H107" i="70"/>
  <c r="N52" i="70"/>
  <c r="D83" i="87"/>
  <c r="L79" i="87"/>
  <c r="N79" i="87" s="1"/>
  <c r="H70" i="94"/>
  <c r="N20" i="94"/>
  <c r="N27" i="34"/>
  <c r="H31" i="34"/>
  <c r="H113" i="42"/>
  <c r="N27" i="42"/>
  <c r="L27" i="37"/>
  <c r="D31" i="37"/>
  <c r="H61" i="100"/>
  <c r="J58" i="100"/>
  <c r="Z27" i="35"/>
  <c r="T31" i="35"/>
  <c r="P255" i="12"/>
  <c r="X152" i="12"/>
  <c r="Z152" i="12" s="1"/>
  <c r="D26" i="54"/>
  <c r="L22" i="54"/>
  <c r="T87" i="95"/>
  <c r="V83" i="95"/>
  <c r="D31" i="26"/>
  <c r="L27" i="26"/>
  <c r="N27" i="53"/>
  <c r="H31" i="53"/>
  <c r="P31" i="29"/>
  <c r="X27" i="29"/>
  <c r="T31" i="47"/>
  <c r="Z27" i="47"/>
  <c r="T259" i="12"/>
  <c r="V255" i="12"/>
  <c r="P92" i="45"/>
  <c r="R88" i="45"/>
  <c r="T58" i="100"/>
  <c r="V54" i="100"/>
  <c r="L20" i="101"/>
  <c r="D72" i="101"/>
  <c r="L27" i="40"/>
  <c r="D31" i="40"/>
  <c r="P112" i="74"/>
  <c r="X67" i="74"/>
  <c r="Z67" i="74" s="1"/>
  <c r="D31" i="82"/>
  <c r="L27" i="82"/>
  <c r="N27" i="82" s="1"/>
  <c r="F27" i="82"/>
  <c r="X27" i="25"/>
  <c r="P31" i="25"/>
  <c r="P113" i="42"/>
  <c r="X27" i="42"/>
  <c r="Z27" i="42" s="1"/>
  <c r="L83" i="105"/>
  <c r="D87" i="105"/>
  <c r="F83" i="105"/>
  <c r="X27" i="49"/>
  <c r="P31" i="49"/>
  <c r="T96" i="68"/>
  <c r="X33" i="39"/>
  <c r="P123" i="39"/>
  <c r="D101" i="51"/>
  <c r="F97" i="51"/>
  <c r="P66" i="69"/>
  <c r="X62" i="69"/>
  <c r="Z62" i="69" s="1"/>
  <c r="D59" i="109"/>
  <c r="L55" i="109"/>
  <c r="F55" i="109"/>
  <c r="V36" i="33"/>
  <c r="L27" i="34"/>
  <c r="D31" i="34"/>
  <c r="D111" i="70"/>
  <c r="F107" i="70"/>
  <c r="T73" i="73"/>
  <c r="D109" i="84"/>
  <c r="F105" i="84"/>
  <c r="T80" i="107"/>
  <c r="Z76" i="107"/>
  <c r="V76" i="107"/>
  <c r="N27" i="52"/>
  <c r="H31" i="52"/>
  <c r="R26" i="21"/>
  <c r="P31" i="10"/>
  <c r="X27" i="10"/>
  <c r="N27" i="28"/>
  <c r="H31" i="28"/>
  <c r="Z27" i="20"/>
  <c r="T31" i="20"/>
  <c r="D144" i="30"/>
  <c r="L140" i="30"/>
  <c r="N140" i="30" s="1"/>
  <c r="F140" i="30"/>
  <c r="H97" i="51"/>
  <c r="L97" i="51" s="1"/>
  <c r="N51" i="51"/>
  <c r="L51" i="51"/>
  <c r="R33" i="85"/>
  <c r="Z27" i="11"/>
  <c r="T31" i="11"/>
  <c r="N44" i="60"/>
  <c r="H48" i="60"/>
  <c r="T73" i="92"/>
  <c r="V69" i="92"/>
  <c r="T47" i="99"/>
  <c r="Z43" i="99"/>
  <c r="P31" i="8"/>
  <c r="X27" i="8"/>
  <c r="P31" i="28"/>
  <c r="X27" i="28"/>
  <c r="L147" i="15"/>
  <c r="D247" i="15"/>
  <c r="Z44" i="102"/>
  <c r="T48" i="102"/>
  <c r="P31" i="40"/>
  <c r="X27" i="40"/>
  <c r="P31" i="46"/>
  <c r="X27" i="46"/>
  <c r="D72" i="88"/>
  <c r="Z39" i="108"/>
  <c r="T42" i="108"/>
  <c r="P68" i="88"/>
  <c r="X20" i="88"/>
  <c r="Z20" i="88" s="1"/>
  <c r="Z27" i="110"/>
  <c r="T31" i="110"/>
  <c r="N45" i="67"/>
  <c r="H49" i="67"/>
  <c r="T31" i="7"/>
  <c r="Z27" i="7"/>
  <c r="Z27" i="31"/>
  <c r="T31" i="31"/>
  <c r="P34" i="55"/>
  <c r="X30" i="55"/>
  <c r="L80" i="103"/>
  <c r="D84" i="103"/>
  <c r="F80" i="103"/>
  <c r="X28" i="75"/>
  <c r="Z28" i="75" s="1"/>
  <c r="P71" i="75"/>
  <c r="P91" i="33"/>
  <c r="R87" i="33"/>
  <c r="X27" i="5"/>
  <c r="P31" i="5"/>
  <c r="H118" i="36"/>
  <c r="L118" i="36" s="1"/>
  <c r="N28" i="36"/>
  <c r="P71" i="72"/>
  <c r="X67" i="72"/>
  <c r="X19" i="100"/>
  <c r="Z19" i="100" s="1"/>
  <c r="P54" i="100"/>
  <c r="L27" i="11"/>
  <c r="D31" i="11"/>
  <c r="D62" i="48"/>
  <c r="L59" i="48"/>
  <c r="N59" i="48" s="1"/>
  <c r="F59" i="48"/>
  <c r="P31" i="23"/>
  <c r="X27" i="23"/>
  <c r="P31" i="53"/>
  <c r="X27" i="53"/>
  <c r="L64" i="57"/>
  <c r="D67" i="57"/>
  <c r="N51" i="84"/>
  <c r="H105" i="84"/>
  <c r="L105" i="84" s="1"/>
  <c r="R20" i="94"/>
  <c r="H31" i="20"/>
  <c r="N27" i="20"/>
  <c r="H62" i="48"/>
  <c r="J59" i="48"/>
  <c r="L30" i="55"/>
  <c r="D34" i="55"/>
  <c r="N27" i="11"/>
  <c r="H31" i="11"/>
  <c r="N27" i="31"/>
  <c r="H31" i="31"/>
  <c r="L20" i="88"/>
  <c r="P31" i="13"/>
  <c r="X27" i="13"/>
  <c r="X27" i="4"/>
  <c r="P31" i="4"/>
  <c r="T64" i="57"/>
  <c r="H80" i="97"/>
  <c r="J76" i="97"/>
  <c r="X27" i="31"/>
  <c r="P31" i="31"/>
  <c r="L27" i="8"/>
  <c r="D31" i="8"/>
  <c r="H76" i="107"/>
  <c r="H83" i="95"/>
  <c r="L27" i="46"/>
  <c r="D31" i="46"/>
  <c r="P31" i="32"/>
  <c r="X27" i="32"/>
  <c r="T30" i="85"/>
  <c r="V26" i="85"/>
  <c r="X26" i="85"/>
  <c r="Z26" i="85" s="1"/>
  <c r="H31" i="16"/>
  <c r="N27" i="16"/>
  <c r="J20" i="107"/>
  <c r="L27" i="22"/>
  <c r="D31" i="22"/>
  <c r="L27" i="35"/>
  <c r="D31" i="35"/>
  <c r="N26" i="71"/>
  <c r="H29" i="71"/>
  <c r="N29" i="71" s="1"/>
  <c r="P73" i="73"/>
  <c r="X49" i="73"/>
  <c r="Z49" i="73" s="1"/>
  <c r="P76" i="83"/>
  <c r="X20" i="83"/>
  <c r="L27" i="4"/>
  <c r="D31" i="4"/>
  <c r="N27" i="38"/>
  <c r="H31" i="38"/>
  <c r="H273" i="18"/>
  <c r="P118" i="36"/>
  <c r="X28" i="36"/>
  <c r="Z28" i="36" s="1"/>
  <c r="T72" i="88"/>
  <c r="V68" i="88"/>
  <c r="Z20" i="104"/>
  <c r="T44" i="104"/>
  <c r="X20" i="104"/>
  <c r="D299" i="3"/>
  <c r="L295" i="3"/>
  <c r="F295" i="3"/>
  <c r="Z27" i="41"/>
  <c r="T31" i="41"/>
  <c r="N27" i="17"/>
  <c r="H31" i="17"/>
  <c r="Z20" i="94"/>
  <c r="T70" i="94"/>
  <c r="J20" i="95"/>
  <c r="H26" i="98"/>
  <c r="N22" i="98"/>
  <c r="N27" i="8"/>
  <c r="H31" i="8"/>
  <c r="T31" i="46"/>
  <c r="Z27" i="46"/>
  <c r="D94" i="9"/>
  <c r="L90" i="9"/>
  <c r="N90" i="9" s="1"/>
  <c r="D97" i="76"/>
  <c r="L51" i="76"/>
  <c r="L27" i="28"/>
  <c r="D31" i="28"/>
  <c r="L27" i="43"/>
  <c r="D31" i="43"/>
  <c r="R53" i="27"/>
  <c r="L49" i="73"/>
  <c r="N49" i="73" s="1"/>
  <c r="D73" i="73"/>
  <c r="T79" i="87"/>
  <c r="N27" i="43"/>
  <c r="H31" i="43"/>
  <c r="P26" i="71"/>
  <c r="X22" i="71"/>
  <c r="L27" i="23"/>
  <c r="D31" i="23"/>
  <c r="H59" i="59"/>
  <c r="L20" i="94"/>
  <c r="T31" i="38"/>
  <c r="Z27" i="38"/>
  <c r="R152" i="12"/>
  <c r="H100" i="68"/>
  <c r="J96" i="68"/>
  <c r="Z27" i="32"/>
  <c r="T31" i="32"/>
  <c r="Z27" i="112"/>
  <c r="T31" i="112"/>
  <c r="L88" i="45"/>
  <c r="D92" i="45"/>
  <c r="F88" i="45"/>
  <c r="N20" i="101"/>
  <c r="H72" i="101"/>
  <c r="X39" i="108"/>
  <c r="P42" i="108"/>
  <c r="X42" i="108" s="1"/>
  <c r="N27" i="14"/>
  <c r="H31" i="14"/>
  <c r="Z27" i="49"/>
  <c r="T31" i="49"/>
  <c r="H144" i="30"/>
  <c r="J140" i="30"/>
  <c r="Z27" i="28"/>
  <c r="T31" i="28"/>
  <c r="P31" i="34"/>
  <c r="X27" i="34"/>
  <c r="H94" i="9"/>
  <c r="T299" i="3"/>
  <c r="V295" i="3"/>
  <c r="P87" i="95"/>
  <c r="X83" i="95"/>
  <c r="Z83" i="95" s="1"/>
  <c r="R83" i="95"/>
  <c r="R51" i="84"/>
  <c r="D67" i="72"/>
  <c r="L23" i="72"/>
  <c r="N23" i="72" s="1"/>
  <c r="V20" i="80"/>
  <c r="L63" i="56"/>
  <c r="D67" i="56"/>
  <c r="P72" i="101"/>
  <c r="X20" i="101"/>
  <c r="N83" i="105"/>
  <c r="H87" i="105"/>
  <c r="J83" i="105"/>
  <c r="L27" i="52"/>
  <c r="D31" i="52"/>
  <c r="P64" i="57"/>
  <c r="X60" i="57"/>
  <c r="Z60" i="57" s="1"/>
  <c r="D31" i="17"/>
  <c r="L27" i="17"/>
  <c r="T122" i="36"/>
  <c r="V118" i="36"/>
  <c r="J51" i="51"/>
  <c r="D59" i="59"/>
  <c r="L55" i="59"/>
  <c r="N55" i="59" s="1"/>
  <c r="D112" i="74"/>
  <c r="L67" i="74"/>
  <c r="N67" i="74" s="1"/>
  <c r="T105" i="84"/>
  <c r="Z51" i="84"/>
  <c r="V51" i="84"/>
  <c r="L54" i="100"/>
  <c r="N54" i="100" s="1"/>
  <c r="D58" i="100"/>
  <c r="L27" i="53"/>
  <c r="D31" i="53"/>
  <c r="L22" i="6"/>
  <c r="D26" i="6"/>
  <c r="L97" i="63"/>
  <c r="N97" i="63" s="1"/>
  <c r="D101" i="63"/>
  <c r="H48" i="102"/>
  <c r="N44" i="102"/>
  <c r="T31" i="16"/>
  <c r="Z27" i="16"/>
  <c r="T251" i="15"/>
  <c r="V247" i="15"/>
  <c r="T50" i="61"/>
  <c r="Z46" i="61"/>
  <c r="H59" i="109"/>
  <c r="N55" i="109"/>
  <c r="J55" i="109"/>
  <c r="L20" i="97"/>
  <c r="N20" i="97" s="1"/>
  <c r="D76" i="97"/>
  <c r="H31" i="32"/>
  <c r="N27" i="32"/>
  <c r="T31" i="52"/>
  <c r="Z27" i="52"/>
  <c r="T70" i="56"/>
  <c r="L70" i="94"/>
  <c r="D74" i="94"/>
  <c r="H74" i="58"/>
  <c r="N70" i="58"/>
  <c r="P31" i="82"/>
  <c r="X27" i="82"/>
  <c r="Z27" i="82" s="1"/>
  <c r="R27" i="82"/>
  <c r="L27" i="32"/>
  <c r="D31" i="32"/>
  <c r="P31" i="17"/>
  <c r="X27" i="17"/>
  <c r="L36" i="33"/>
  <c r="V54" i="68"/>
  <c r="Z27" i="5"/>
  <c r="T31" i="5"/>
  <c r="D96" i="68"/>
  <c r="L54" i="68"/>
  <c r="N54" i="68" s="1"/>
  <c r="X20" i="87"/>
  <c r="Z20" i="87" s="1"/>
  <c r="P79" i="87"/>
  <c r="V74" i="30"/>
  <c r="H101" i="63"/>
  <c r="Z27" i="14"/>
  <c r="T31" i="14"/>
  <c r="X295" i="3"/>
  <c r="Z295" i="3" s="1"/>
  <c r="P299" i="3"/>
  <c r="R295" i="3"/>
  <c r="T62" i="78"/>
  <c r="Z58" i="78"/>
  <c r="V58" i="78"/>
  <c r="L76" i="83"/>
  <c r="D80" i="83"/>
  <c r="Z21" i="105"/>
  <c r="T83" i="105"/>
  <c r="Z27" i="29"/>
  <c r="T31" i="29"/>
  <c r="H71" i="75"/>
  <c r="L71" i="75" s="1"/>
  <c r="N28" i="75"/>
  <c r="N27" i="29"/>
  <c r="H31" i="29"/>
  <c r="N27" i="112"/>
  <c r="H31" i="112"/>
  <c r="Z97" i="63"/>
  <c r="T101" i="63"/>
  <c r="H31" i="4"/>
  <c r="N27" i="4"/>
  <c r="D31" i="20"/>
  <c r="L27" i="20"/>
  <c r="P31" i="38"/>
  <c r="X27" i="38"/>
  <c r="T101" i="51"/>
  <c r="V97" i="51"/>
  <c r="T75" i="75"/>
  <c r="V71" i="75"/>
  <c r="N51" i="76"/>
  <c r="H97" i="76"/>
  <c r="H31" i="82"/>
  <c r="J27" i="82"/>
  <c r="Z27" i="26"/>
  <c r="T31" i="26"/>
  <c r="Z27" i="4"/>
  <c r="T31" i="4"/>
  <c r="N27" i="46"/>
  <c r="H31" i="46"/>
  <c r="R67" i="74"/>
  <c r="P80" i="107"/>
  <c r="X76" i="107"/>
  <c r="H31" i="5"/>
  <c r="N27" i="5"/>
  <c r="T31" i="40"/>
  <c r="Z27" i="40"/>
  <c r="T31" i="53"/>
  <c r="Z27" i="53"/>
  <c r="D91" i="33"/>
  <c r="L87" i="33"/>
  <c r="F87" i="33"/>
  <c r="D39" i="108"/>
  <c r="L35" i="108"/>
  <c r="N35" i="108" s="1"/>
  <c r="L20" i="69"/>
  <c r="N20" i="69" s="1"/>
  <c r="D62" i="69"/>
  <c r="H80" i="103"/>
  <c r="N21" i="103"/>
  <c r="L112" i="24"/>
  <c r="D116" i="24"/>
  <c r="F112" i="24"/>
  <c r="X27" i="110"/>
  <c r="P31" i="110"/>
  <c r="Z20" i="97"/>
  <c r="T76" i="97"/>
  <c r="X76" i="97" s="1"/>
  <c r="P49" i="67"/>
  <c r="X45" i="67"/>
  <c r="Z45" i="67" s="1"/>
  <c r="X27" i="50"/>
  <c r="P31" i="50"/>
  <c r="P97" i="9"/>
  <c r="Z20" i="101"/>
  <c r="T72" i="101"/>
  <c r="X22" i="54"/>
  <c r="P26" i="54"/>
  <c r="N81" i="91"/>
  <c r="H85" i="91"/>
  <c r="N27" i="7"/>
  <c r="H31" i="7"/>
  <c r="X27" i="22"/>
  <c r="P31" i="22"/>
  <c r="H255" i="12"/>
  <c r="N152" i="12"/>
  <c r="X54" i="68"/>
  <c r="Z54" i="68" s="1"/>
  <c r="P96" i="68"/>
  <c r="T71" i="72"/>
  <c r="Z67" i="72"/>
  <c r="V67" i="72"/>
  <c r="D85" i="91"/>
  <c r="L81" i="91"/>
  <c r="T31" i="37"/>
  <c r="Z27" i="37"/>
  <c r="L20" i="95"/>
  <c r="N20" i="95" s="1"/>
  <c r="T31" i="8"/>
  <c r="Z27" i="8"/>
  <c r="P273" i="18"/>
  <c r="X171" i="18"/>
  <c r="Z171" i="18" s="1"/>
  <c r="T31" i="82"/>
  <c r="V27" i="82"/>
  <c r="T63" i="93"/>
  <c r="X63" i="93" s="1"/>
  <c r="L27" i="31"/>
  <c r="D31" i="31"/>
  <c r="D51" i="60"/>
  <c r="L48" i="60"/>
  <c r="X64" i="79"/>
  <c r="Z64" i="79" s="1"/>
  <c r="P68" i="79"/>
  <c r="R64" i="79"/>
  <c r="H48" i="104"/>
  <c r="N44" i="104"/>
  <c r="J44" i="104"/>
  <c r="T107" i="70"/>
  <c r="Z52" i="70"/>
  <c r="D31" i="111"/>
  <c r="L27" i="111"/>
  <c r="V120" i="42"/>
  <c r="T112" i="74"/>
  <c r="P48" i="102"/>
  <c r="X44" i="102"/>
  <c r="D31" i="112"/>
  <c r="L27" i="112"/>
  <c r="T31" i="44"/>
  <c r="Z27" i="44"/>
  <c r="H71" i="72"/>
  <c r="J67" i="72"/>
  <c r="L58" i="78"/>
  <c r="N58" i="78" s="1"/>
  <c r="D62" i="78"/>
  <c r="T31" i="22"/>
  <c r="Z27" i="22"/>
  <c r="N27" i="35"/>
  <c r="H31" i="35"/>
  <c r="X147" i="15"/>
  <c r="Z147" i="15" s="1"/>
  <c r="P247" i="15"/>
  <c r="D26" i="98"/>
  <c r="L22" i="98"/>
  <c r="X27" i="112"/>
  <c r="P31" i="112"/>
  <c r="P31" i="7"/>
  <c r="X27" i="7"/>
  <c r="L27" i="49"/>
  <c r="D31" i="49"/>
  <c r="Z55" i="48"/>
  <c r="T59" i="48"/>
  <c r="V55" i="48"/>
  <c r="H72" i="80"/>
  <c r="J68" i="80"/>
  <c r="Z27" i="10"/>
  <c r="T31" i="10"/>
  <c r="D31" i="38"/>
  <c r="L27" i="38"/>
  <c r="T96" i="21"/>
  <c r="V92" i="21"/>
  <c r="X97" i="51"/>
  <c r="Z97" i="51" s="1"/>
  <c r="D31" i="13"/>
  <c r="L27" i="13"/>
  <c r="T26" i="6"/>
  <c r="Z22" i="6"/>
  <c r="T69" i="69"/>
  <c r="V66" i="69"/>
  <c r="P80" i="97"/>
  <c r="H31" i="49"/>
  <c r="N27" i="49"/>
  <c r="P116" i="24"/>
  <c r="X112" i="24"/>
  <c r="R112" i="24"/>
  <c r="J67" i="74"/>
  <c r="N92" i="21"/>
  <c r="H96" i="21"/>
  <c r="J92" i="21"/>
  <c r="N20" i="88"/>
  <c r="H68" i="88"/>
  <c r="L68" i="88" s="1"/>
  <c r="L83" i="95"/>
  <c r="D87" i="95"/>
  <c r="F83" i="95"/>
  <c r="T87" i="33"/>
  <c r="Z36" i="33"/>
  <c r="P31" i="44"/>
  <c r="X27" i="44"/>
  <c r="Z90" i="9"/>
  <c r="T94" i="9"/>
  <c r="X94" i="9" s="1"/>
  <c r="N63" i="56"/>
  <c r="H67" i="56"/>
  <c r="H66" i="69"/>
  <c r="J62" i="69"/>
  <c r="H67" i="93"/>
  <c r="J63" i="93"/>
  <c r="J28" i="36"/>
  <c r="T62" i="109"/>
  <c r="V59" i="109"/>
  <c r="N27" i="23"/>
  <c r="H31" i="23"/>
  <c r="N27" i="47"/>
  <c r="H31" i="47"/>
  <c r="D277" i="18"/>
  <c r="L273" i="18"/>
  <c r="F273" i="18"/>
  <c r="N33" i="39"/>
  <c r="H123" i="39"/>
  <c r="L123" i="39" s="1"/>
  <c r="J28" i="75"/>
  <c r="Z27" i="19"/>
  <c r="T31" i="19"/>
  <c r="P31" i="35"/>
  <c r="X27" i="35"/>
  <c r="Z33" i="39"/>
  <c r="T123" i="39"/>
  <c r="L33" i="39"/>
  <c r="X27" i="20"/>
  <c r="P31" i="20"/>
  <c r="J51" i="84"/>
  <c r="X27" i="19"/>
  <c r="P31" i="19"/>
  <c r="X74" i="30"/>
  <c r="Z74" i="30" s="1"/>
  <c r="P140" i="30"/>
  <c r="P74" i="58"/>
  <c r="X70" i="58"/>
  <c r="Z70" i="58" s="1"/>
  <c r="L28" i="75"/>
  <c r="H39" i="108"/>
  <c r="L22" i="71"/>
  <c r="D26" i="71"/>
  <c r="H34" i="55"/>
  <c r="N30" i="55"/>
  <c r="L20" i="107"/>
  <c r="N20" i="107" s="1"/>
  <c r="D76" i="107"/>
  <c r="N26" i="54"/>
  <c r="H31" i="54"/>
  <c r="Z20" i="83"/>
  <c r="T76" i="83"/>
  <c r="R27" i="42"/>
  <c r="P104" i="51"/>
  <c r="X101" i="51"/>
  <c r="R101" i="51"/>
  <c r="H31" i="19"/>
  <c r="N27" i="19"/>
  <c r="N27" i="41"/>
  <c r="H31" i="41"/>
  <c r="D30" i="85"/>
  <c r="L26" i="85"/>
  <c r="N26" i="85" s="1"/>
  <c r="F26" i="85"/>
  <c r="N27" i="44"/>
  <c r="H31" i="44"/>
  <c r="P107" i="70"/>
  <c r="X52" i="70"/>
  <c r="X47" i="99"/>
  <c r="P50" i="99"/>
  <c r="T88" i="91"/>
  <c r="Z27" i="13"/>
  <c r="T31" i="13"/>
  <c r="R28" i="75"/>
  <c r="L63" i="93"/>
  <c r="N63" i="93" s="1"/>
  <c r="D67" i="93"/>
  <c r="V20" i="97"/>
  <c r="X20" i="93"/>
  <c r="Z20" i="93" s="1"/>
  <c r="X27" i="43"/>
  <c r="P31" i="43"/>
  <c r="N26" i="6"/>
  <c r="H31" i="6"/>
  <c r="L20" i="80"/>
  <c r="N20" i="80" s="1"/>
  <c r="D68" i="80"/>
  <c r="D31" i="50"/>
  <c r="L27" i="50"/>
  <c r="L171" i="18"/>
  <c r="N171" i="18" s="1"/>
  <c r="P31" i="16"/>
  <c r="X27" i="16"/>
  <c r="V171" i="18"/>
  <c r="V33" i="39"/>
  <c r="D127" i="39"/>
  <c r="F123" i="39"/>
  <c r="L27" i="16"/>
  <c r="D31" i="16"/>
  <c r="L27" i="110"/>
  <c r="D31" i="110"/>
  <c r="T112" i="24"/>
  <c r="Z68" i="24"/>
  <c r="N64" i="57"/>
  <c r="H67" i="57"/>
  <c r="H62" i="78"/>
  <c r="J58" i="78"/>
  <c r="R17" i="109"/>
  <c r="H299" i="3"/>
  <c r="N295" i="3"/>
  <c r="J295" i="3"/>
  <c r="N69" i="92"/>
  <c r="H73" i="92"/>
  <c r="J69" i="92"/>
  <c r="H92" i="45"/>
  <c r="N88" i="45"/>
  <c r="J88" i="45"/>
  <c r="D75" i="75"/>
  <c r="F71" i="75"/>
  <c r="T31" i="25"/>
  <c r="Z27" i="25"/>
  <c r="H31" i="37"/>
  <c r="N27" i="37"/>
  <c r="R147" i="15"/>
  <c r="J51" i="76"/>
  <c r="H83" i="87"/>
  <c r="J79" i="87"/>
  <c r="H31" i="50"/>
  <c r="N27" i="50"/>
  <c r="H80" i="83"/>
  <c r="N76" i="83"/>
  <c r="J76" i="83"/>
  <c r="P85" i="91"/>
  <c r="X81" i="91"/>
  <c r="Z81" i="91" s="1"/>
  <c r="X27" i="37"/>
  <c r="P31" i="37"/>
  <c r="Z30" i="55"/>
  <c r="T34" i="55"/>
  <c r="L27" i="7"/>
  <c r="D31" i="7"/>
  <c r="L27" i="44"/>
  <c r="D31" i="44"/>
  <c r="P26" i="6"/>
  <c r="X22" i="6"/>
  <c r="P59" i="48"/>
  <c r="X55" i="48"/>
  <c r="R55" i="48"/>
  <c r="T88" i="45"/>
  <c r="X88" i="45" s="1"/>
  <c r="Z23" i="45"/>
  <c r="D36" i="13" l="1"/>
  <c r="L31" i="13"/>
  <c r="D94" i="33"/>
  <c r="F91" i="33"/>
  <c r="H76" i="101"/>
  <c r="J72" i="101"/>
  <c r="P77" i="73"/>
  <c r="X73" i="73"/>
  <c r="X34" i="55"/>
  <c r="P37" i="55"/>
  <c r="L31" i="7"/>
  <c r="D36" i="7"/>
  <c r="N31" i="50"/>
  <c r="H36" i="50"/>
  <c r="N36" i="50" s="1"/>
  <c r="L68" i="80"/>
  <c r="N68" i="80" s="1"/>
  <c r="D72" i="80"/>
  <c r="X104" i="51"/>
  <c r="R104" i="51"/>
  <c r="Z87" i="33"/>
  <c r="T91" i="33"/>
  <c r="V87" i="33"/>
  <c r="P119" i="24"/>
  <c r="R116" i="24"/>
  <c r="T62" i="48"/>
  <c r="V59" i="48"/>
  <c r="P251" i="15"/>
  <c r="X247" i="15"/>
  <c r="Z247" i="15" s="1"/>
  <c r="R247" i="15"/>
  <c r="T36" i="44"/>
  <c r="Z36" i="44" s="1"/>
  <c r="Z31" i="44"/>
  <c r="T111" i="70"/>
  <c r="V107" i="70"/>
  <c r="T87" i="105"/>
  <c r="V83" i="105"/>
  <c r="D77" i="94"/>
  <c r="H62" i="109"/>
  <c r="J59" i="109"/>
  <c r="L26" i="6"/>
  <c r="D31" i="6"/>
  <c r="L31" i="6" s="1"/>
  <c r="L59" i="59"/>
  <c r="D62" i="59"/>
  <c r="H90" i="105"/>
  <c r="J87" i="105"/>
  <c r="P90" i="95"/>
  <c r="X87" i="95"/>
  <c r="Z87" i="95" s="1"/>
  <c r="R87" i="95"/>
  <c r="L31" i="11"/>
  <c r="D36" i="11"/>
  <c r="X87" i="33"/>
  <c r="T36" i="31"/>
  <c r="Z36" i="31" s="1"/>
  <c r="Z31" i="31"/>
  <c r="N48" i="60"/>
  <c r="H51" i="60"/>
  <c r="Z31" i="20"/>
  <c r="T36" i="20"/>
  <c r="Z36" i="20" s="1"/>
  <c r="X112" i="74"/>
  <c r="P116" i="74"/>
  <c r="R112" i="74"/>
  <c r="L83" i="87"/>
  <c r="D86" i="87"/>
  <c r="H36" i="111"/>
  <c r="N36" i="111" s="1"/>
  <c r="N31" i="111"/>
  <c r="L31" i="10"/>
  <c r="D36" i="10"/>
  <c r="T112" i="27"/>
  <c r="V108" i="27"/>
  <c r="D125" i="36"/>
  <c r="L122" i="36"/>
  <c r="F122" i="36"/>
  <c r="D259" i="12"/>
  <c r="L255" i="12"/>
  <c r="F255" i="12"/>
  <c r="P62" i="59"/>
  <c r="X62" i="59" s="1"/>
  <c r="X59" i="59"/>
  <c r="Z59" i="59" s="1"/>
  <c r="H119" i="24"/>
  <c r="J116" i="24"/>
  <c r="H80" i="73"/>
  <c r="J77" i="73"/>
  <c r="Z31" i="4"/>
  <c r="T36" i="4"/>
  <c r="Z36" i="4" s="1"/>
  <c r="N74" i="58"/>
  <c r="H77" i="58"/>
  <c r="T75" i="88"/>
  <c r="V72" i="88"/>
  <c r="P94" i="33"/>
  <c r="R91" i="33"/>
  <c r="T83" i="107"/>
  <c r="V80" i="107"/>
  <c r="P104" i="63"/>
  <c r="X101" i="63"/>
  <c r="H42" i="108"/>
  <c r="N255" i="12"/>
  <c r="H259" i="12"/>
  <c r="J255" i="12"/>
  <c r="T36" i="53"/>
  <c r="Z36" i="53" s="1"/>
  <c r="Z31" i="53"/>
  <c r="T104" i="51"/>
  <c r="Z101" i="51"/>
  <c r="V101" i="51"/>
  <c r="H104" i="63"/>
  <c r="T36" i="38"/>
  <c r="Z36" i="38" s="1"/>
  <c r="Z31" i="38"/>
  <c r="T83" i="87"/>
  <c r="V79" i="87"/>
  <c r="L94" i="9"/>
  <c r="D97" i="9"/>
  <c r="Z31" i="41"/>
  <c r="T36" i="41"/>
  <c r="Z36" i="41" s="1"/>
  <c r="P122" i="36"/>
  <c r="X118" i="36"/>
  <c r="Z118" i="36" s="1"/>
  <c r="R118" i="36"/>
  <c r="N31" i="11"/>
  <c r="H36" i="11"/>
  <c r="N36" i="11" s="1"/>
  <c r="P75" i="75"/>
  <c r="X71" i="75"/>
  <c r="Z71" i="75" s="1"/>
  <c r="R71" i="75"/>
  <c r="D75" i="88"/>
  <c r="L247" i="15"/>
  <c r="D251" i="15"/>
  <c r="F247" i="15"/>
  <c r="L59" i="109"/>
  <c r="N59" i="109" s="1"/>
  <c r="D62" i="109"/>
  <c r="F59" i="109"/>
  <c r="L31" i="40"/>
  <c r="D36" i="40"/>
  <c r="X31" i="11"/>
  <c r="P36" i="11"/>
  <c r="T36" i="34"/>
  <c r="Z36" i="34" s="1"/>
  <c r="Z31" i="34"/>
  <c r="D36" i="25"/>
  <c r="L31" i="25"/>
  <c r="H36" i="25"/>
  <c r="N36" i="25" s="1"/>
  <c r="N31" i="25"/>
  <c r="H112" i="27"/>
  <c r="N108" i="27"/>
  <c r="J108" i="27"/>
  <c r="X31" i="52"/>
  <c r="P36" i="52"/>
  <c r="Z31" i="50"/>
  <c r="T36" i="50"/>
  <c r="Z36" i="50" s="1"/>
  <c r="L31" i="31"/>
  <c r="D36" i="31"/>
  <c r="D101" i="76"/>
  <c r="L97" i="76"/>
  <c r="N97" i="76" s="1"/>
  <c r="F97" i="76"/>
  <c r="N31" i="31"/>
  <c r="H36" i="31"/>
  <c r="N36" i="31" s="1"/>
  <c r="T76" i="92"/>
  <c r="V73" i="92"/>
  <c r="N31" i="110"/>
  <c r="H36" i="110"/>
  <c r="N36" i="110" s="1"/>
  <c r="X48" i="60"/>
  <c r="P51" i="60"/>
  <c r="T77" i="58"/>
  <c r="Z74" i="58"/>
  <c r="D78" i="75"/>
  <c r="F75" i="75"/>
  <c r="T37" i="55"/>
  <c r="Z34" i="55"/>
  <c r="H65" i="78"/>
  <c r="J62" i="78"/>
  <c r="N31" i="6"/>
  <c r="T80" i="83"/>
  <c r="V76" i="83"/>
  <c r="D280" i="18"/>
  <c r="F277" i="18"/>
  <c r="D90" i="95"/>
  <c r="F87" i="95"/>
  <c r="H36" i="49"/>
  <c r="N36" i="49" s="1"/>
  <c r="N31" i="49"/>
  <c r="L31" i="49"/>
  <c r="D36" i="49"/>
  <c r="N31" i="35"/>
  <c r="H36" i="35"/>
  <c r="N36" i="35" s="1"/>
  <c r="D36" i="112"/>
  <c r="L31" i="112"/>
  <c r="T36" i="37"/>
  <c r="Z36" i="37" s="1"/>
  <c r="Z31" i="37"/>
  <c r="X31" i="22"/>
  <c r="P36" i="22"/>
  <c r="X31" i="50"/>
  <c r="P36" i="50"/>
  <c r="Z101" i="63"/>
  <c r="T104" i="63"/>
  <c r="D83" i="83"/>
  <c r="L80" i="83"/>
  <c r="T53" i="61"/>
  <c r="L31" i="53"/>
  <c r="D36" i="53"/>
  <c r="T304" i="3"/>
  <c r="V299" i="3"/>
  <c r="L92" i="45"/>
  <c r="D95" i="45"/>
  <c r="F92" i="45"/>
  <c r="H277" i="18"/>
  <c r="L277" i="18" s="1"/>
  <c r="N273" i="18"/>
  <c r="J273" i="18"/>
  <c r="L31" i="35"/>
  <c r="D36" i="35"/>
  <c r="P36" i="32"/>
  <c r="X31" i="32"/>
  <c r="H83" i="97"/>
  <c r="J80" i="97"/>
  <c r="X54" i="100"/>
  <c r="Z54" i="100" s="1"/>
  <c r="P58" i="100"/>
  <c r="Z31" i="11"/>
  <c r="T36" i="11"/>
  <c r="Z36" i="11" s="1"/>
  <c r="N31" i="28"/>
  <c r="H36" i="28"/>
  <c r="N36" i="28" s="1"/>
  <c r="D112" i="84"/>
  <c r="F109" i="84"/>
  <c r="D90" i="105"/>
  <c r="L87" i="105"/>
  <c r="N87" i="105" s="1"/>
  <c r="F87" i="105"/>
  <c r="P95" i="45"/>
  <c r="R92" i="45"/>
  <c r="D36" i="26"/>
  <c r="L31" i="26"/>
  <c r="J61" i="100"/>
  <c r="H111" i="70"/>
  <c r="J107" i="70"/>
  <c r="L112" i="27"/>
  <c r="D115" i="27"/>
  <c r="F112" i="27"/>
  <c r="P87" i="103"/>
  <c r="R84" i="103"/>
  <c r="P96" i="21"/>
  <c r="X92" i="21"/>
  <c r="Z92" i="21" s="1"/>
  <c r="R92" i="21"/>
  <c r="P65" i="78"/>
  <c r="X62" i="78"/>
  <c r="Z62" i="78" s="1"/>
  <c r="N31" i="10"/>
  <c r="H36" i="10"/>
  <c r="N36" i="10" s="1"/>
  <c r="N31" i="40"/>
  <c r="H36" i="40"/>
  <c r="N36" i="40" s="1"/>
  <c r="T36" i="8"/>
  <c r="Z36" i="8" s="1"/>
  <c r="Z31" i="8"/>
  <c r="N31" i="17"/>
  <c r="H36" i="17"/>
  <c r="N36" i="17" s="1"/>
  <c r="L62" i="48"/>
  <c r="F62" i="48"/>
  <c r="L144" i="30"/>
  <c r="D147" i="30"/>
  <c r="F144" i="30"/>
  <c r="Z31" i="13"/>
  <c r="T36" i="13"/>
  <c r="Z36" i="13" s="1"/>
  <c r="N67" i="93"/>
  <c r="H70" i="93"/>
  <c r="J67" i="93"/>
  <c r="L116" i="24"/>
  <c r="N116" i="24" s="1"/>
  <c r="D119" i="24"/>
  <c r="F116" i="24"/>
  <c r="H86" i="87"/>
  <c r="N83" i="87"/>
  <c r="J83" i="87"/>
  <c r="N31" i="47"/>
  <c r="H36" i="47"/>
  <c r="N36" i="47" s="1"/>
  <c r="H69" i="69"/>
  <c r="J66" i="69"/>
  <c r="T99" i="21"/>
  <c r="V96" i="21"/>
  <c r="T67" i="93"/>
  <c r="X67" i="93" s="1"/>
  <c r="Z63" i="93"/>
  <c r="V63" i="93"/>
  <c r="Z31" i="40"/>
  <c r="T36" i="40"/>
  <c r="Z36" i="40" s="1"/>
  <c r="P36" i="38"/>
  <c r="X31" i="38"/>
  <c r="P76" i="101"/>
  <c r="X72" i="101"/>
  <c r="L73" i="73"/>
  <c r="N73" i="73" s="1"/>
  <c r="D77" i="73"/>
  <c r="T36" i="46"/>
  <c r="Z36" i="46" s="1"/>
  <c r="Z31" i="46"/>
  <c r="L31" i="46"/>
  <c r="D36" i="46"/>
  <c r="L34" i="55"/>
  <c r="N34" i="55" s="1"/>
  <c r="D37" i="55"/>
  <c r="L67" i="57"/>
  <c r="T36" i="7"/>
  <c r="Z36" i="7" s="1"/>
  <c r="Z31" i="7"/>
  <c r="T77" i="73"/>
  <c r="Z73" i="73"/>
  <c r="V73" i="73"/>
  <c r="X66" i="69"/>
  <c r="Z66" i="69" s="1"/>
  <c r="P69" i="69"/>
  <c r="X69" i="69" s="1"/>
  <c r="L31" i="37"/>
  <c r="D36" i="37"/>
  <c r="L77" i="58"/>
  <c r="P87" i="105"/>
  <c r="X83" i="105"/>
  <c r="Z83" i="105" s="1"/>
  <c r="R83" i="105"/>
  <c r="L31" i="29"/>
  <c r="D36" i="29"/>
  <c r="P70" i="93"/>
  <c r="N31" i="13"/>
  <c r="H36" i="13"/>
  <c r="N36" i="13" s="1"/>
  <c r="P36" i="41"/>
  <c r="X31" i="41"/>
  <c r="X31" i="31"/>
  <c r="P36" i="31"/>
  <c r="L30" i="85"/>
  <c r="N30" i="85" s="1"/>
  <c r="D33" i="85"/>
  <c r="F30" i="85"/>
  <c r="T127" i="39"/>
  <c r="V123" i="39"/>
  <c r="T92" i="45"/>
  <c r="X92" i="45" s="1"/>
  <c r="Z88" i="45"/>
  <c r="V88" i="45"/>
  <c r="X31" i="37"/>
  <c r="P36" i="37"/>
  <c r="N67" i="57"/>
  <c r="D130" i="39"/>
  <c r="F127" i="39"/>
  <c r="X31" i="43"/>
  <c r="P36" i="43"/>
  <c r="P77" i="58"/>
  <c r="X77" i="58" s="1"/>
  <c r="X74" i="58"/>
  <c r="N68" i="88"/>
  <c r="H72" i="88"/>
  <c r="J68" i="88"/>
  <c r="P83" i="97"/>
  <c r="P51" i="102"/>
  <c r="X48" i="102"/>
  <c r="Z48" i="102" s="1"/>
  <c r="D88" i="91"/>
  <c r="L85" i="91"/>
  <c r="N31" i="7"/>
  <c r="H36" i="7"/>
  <c r="N36" i="7" s="1"/>
  <c r="N80" i="103"/>
  <c r="H84" i="103"/>
  <c r="L84" i="103" s="1"/>
  <c r="J80" i="103"/>
  <c r="H34" i="82"/>
  <c r="J31" i="82"/>
  <c r="N31" i="112"/>
  <c r="H36" i="112"/>
  <c r="N36" i="112" s="1"/>
  <c r="P36" i="17"/>
  <c r="X31" i="17"/>
  <c r="D61" i="100"/>
  <c r="L61" i="100" s="1"/>
  <c r="N61" i="100" s="1"/>
  <c r="L58" i="100"/>
  <c r="N58" i="100" s="1"/>
  <c r="T125" i="36"/>
  <c r="V122" i="36"/>
  <c r="L67" i="56"/>
  <c r="D70" i="56"/>
  <c r="H147" i="30"/>
  <c r="N144" i="30"/>
  <c r="J144" i="30"/>
  <c r="Z31" i="112"/>
  <c r="T36" i="112"/>
  <c r="Z36" i="112" s="1"/>
  <c r="N31" i="8"/>
  <c r="H36" i="8"/>
  <c r="N36" i="8" s="1"/>
  <c r="N31" i="38"/>
  <c r="H36" i="38"/>
  <c r="N36" i="38" s="1"/>
  <c r="L31" i="22"/>
  <c r="D36" i="22"/>
  <c r="T67" i="57"/>
  <c r="H52" i="67"/>
  <c r="N49" i="67"/>
  <c r="P36" i="28"/>
  <c r="X31" i="28"/>
  <c r="T262" i="12"/>
  <c r="V259" i="12"/>
  <c r="L74" i="58"/>
  <c r="X55" i="109"/>
  <c r="Z55" i="109" s="1"/>
  <c r="P59" i="109"/>
  <c r="R55" i="109"/>
  <c r="P36" i="47"/>
  <c r="X31" i="47"/>
  <c r="D71" i="79"/>
  <c r="L68" i="79"/>
  <c r="F68" i="79"/>
  <c r="L49" i="67"/>
  <c r="H36" i="26"/>
  <c r="N36" i="26" s="1"/>
  <c r="N31" i="26"/>
  <c r="H304" i="3"/>
  <c r="N299" i="3"/>
  <c r="J299" i="3"/>
  <c r="H109" i="84"/>
  <c r="N105" i="84"/>
  <c r="J105" i="84"/>
  <c r="N31" i="53"/>
  <c r="H36" i="53"/>
  <c r="N36" i="53" s="1"/>
  <c r="Z48" i="60"/>
  <c r="T51" i="60"/>
  <c r="T36" i="26"/>
  <c r="Z36" i="26" s="1"/>
  <c r="Z31" i="26"/>
  <c r="N92" i="45"/>
  <c r="H95" i="45"/>
  <c r="J92" i="45"/>
  <c r="N67" i="56"/>
  <c r="H70" i="56"/>
  <c r="D36" i="38"/>
  <c r="L31" i="38"/>
  <c r="P36" i="7"/>
  <c r="X31" i="7"/>
  <c r="H51" i="104"/>
  <c r="J48" i="104"/>
  <c r="X49" i="67"/>
  <c r="P52" i="67"/>
  <c r="X52" i="67" s="1"/>
  <c r="D66" i="69"/>
  <c r="L62" i="69"/>
  <c r="N62" i="69" s="1"/>
  <c r="H36" i="5"/>
  <c r="N36" i="5" s="1"/>
  <c r="N31" i="5"/>
  <c r="D36" i="20"/>
  <c r="L31" i="20"/>
  <c r="X79" i="87"/>
  <c r="Z79" i="87" s="1"/>
  <c r="P83" i="87"/>
  <c r="L31" i="32"/>
  <c r="D36" i="32"/>
  <c r="T36" i="52"/>
  <c r="Z36" i="52" s="1"/>
  <c r="Z31" i="52"/>
  <c r="T254" i="15"/>
  <c r="V251" i="15"/>
  <c r="N94" i="9"/>
  <c r="H97" i="9"/>
  <c r="Z31" i="49"/>
  <c r="T36" i="49"/>
  <c r="Z36" i="49" s="1"/>
  <c r="D304" i="3"/>
  <c r="L299" i="3"/>
  <c r="F299" i="3"/>
  <c r="X71" i="72"/>
  <c r="P74" i="72"/>
  <c r="P36" i="46"/>
  <c r="X31" i="46"/>
  <c r="P36" i="10"/>
  <c r="X31" i="10"/>
  <c r="D104" i="51"/>
  <c r="F101" i="51"/>
  <c r="P117" i="42"/>
  <c r="X113" i="42"/>
  <c r="Z113" i="42" s="1"/>
  <c r="R113" i="42"/>
  <c r="L72" i="101"/>
  <c r="N72" i="101" s="1"/>
  <c r="D76" i="101"/>
  <c r="T90" i="95"/>
  <c r="V87" i="95"/>
  <c r="T104" i="76"/>
  <c r="V101" i="76"/>
  <c r="X97" i="76"/>
  <c r="Z97" i="76" s="1"/>
  <c r="P101" i="76"/>
  <c r="R97" i="76"/>
  <c r="T29" i="71"/>
  <c r="Z29" i="71" s="1"/>
  <c r="Z26" i="71"/>
  <c r="L52" i="67"/>
  <c r="D36" i="19"/>
  <c r="L31" i="19"/>
  <c r="X105" i="84"/>
  <c r="P109" i="84"/>
  <c r="R105" i="84"/>
  <c r="H36" i="4"/>
  <c r="N36" i="4" s="1"/>
  <c r="N31" i="4"/>
  <c r="N31" i="43"/>
  <c r="H36" i="43"/>
  <c r="N36" i="43" s="1"/>
  <c r="T33" i="85"/>
  <c r="V30" i="85"/>
  <c r="X30" i="85"/>
  <c r="Z30" i="85" s="1"/>
  <c r="X31" i="49"/>
  <c r="P36" i="49"/>
  <c r="P75" i="80"/>
  <c r="Z31" i="111"/>
  <c r="T36" i="111"/>
  <c r="Z36" i="111" s="1"/>
  <c r="X50" i="99"/>
  <c r="X140" i="30"/>
  <c r="P144" i="30"/>
  <c r="R140" i="30"/>
  <c r="N31" i="23"/>
  <c r="H36" i="23"/>
  <c r="N36" i="23" s="1"/>
  <c r="T36" i="22"/>
  <c r="Z36" i="22" s="1"/>
  <c r="Z31" i="22"/>
  <c r="N31" i="41"/>
  <c r="H36" i="41"/>
  <c r="N36" i="41" s="1"/>
  <c r="D80" i="107"/>
  <c r="L76" i="107"/>
  <c r="P36" i="35"/>
  <c r="X31" i="35"/>
  <c r="Z69" i="69"/>
  <c r="V69" i="69"/>
  <c r="Z31" i="10"/>
  <c r="T36" i="10"/>
  <c r="Z36" i="10" s="1"/>
  <c r="X31" i="112"/>
  <c r="P36" i="112"/>
  <c r="D65" i="78"/>
  <c r="L65" i="78" s="1"/>
  <c r="L62" i="78"/>
  <c r="N62" i="78" s="1"/>
  <c r="T116" i="74"/>
  <c r="Z112" i="74"/>
  <c r="V112" i="74"/>
  <c r="N85" i="91"/>
  <c r="H88" i="91"/>
  <c r="H101" i="76"/>
  <c r="J97" i="76"/>
  <c r="N31" i="29"/>
  <c r="H36" i="29"/>
  <c r="N36" i="29" s="1"/>
  <c r="T65" i="78"/>
  <c r="V62" i="78"/>
  <c r="D36" i="17"/>
  <c r="L31" i="17"/>
  <c r="Z31" i="32"/>
  <c r="T36" i="32"/>
  <c r="Z36" i="32" s="1"/>
  <c r="N59" i="59"/>
  <c r="H62" i="59"/>
  <c r="L31" i="43"/>
  <c r="D36" i="43"/>
  <c r="L31" i="4"/>
  <c r="D36" i="4"/>
  <c r="N83" i="95"/>
  <c r="H87" i="95"/>
  <c r="L87" i="95" s="1"/>
  <c r="J83" i="95"/>
  <c r="X31" i="4"/>
  <c r="P36" i="4"/>
  <c r="P36" i="53"/>
  <c r="X31" i="53"/>
  <c r="D87" i="103"/>
  <c r="F84" i="103"/>
  <c r="Z31" i="110"/>
  <c r="T36" i="110"/>
  <c r="Z36" i="110" s="1"/>
  <c r="P36" i="8"/>
  <c r="X31" i="8"/>
  <c r="L107" i="70"/>
  <c r="N107" i="70" s="1"/>
  <c r="X31" i="25"/>
  <c r="P36" i="25"/>
  <c r="N113" i="42"/>
  <c r="H117" i="42"/>
  <c r="J113" i="42"/>
  <c r="P112" i="27"/>
  <c r="X108" i="27"/>
  <c r="Z108" i="27" s="1"/>
  <c r="R108" i="27"/>
  <c r="T36" i="43"/>
  <c r="Z36" i="43" s="1"/>
  <c r="Z31" i="43"/>
  <c r="T72" i="80"/>
  <c r="Z68" i="80"/>
  <c r="V68" i="80"/>
  <c r="D36" i="5"/>
  <c r="L31" i="5"/>
  <c r="X70" i="94"/>
  <c r="P74" i="94"/>
  <c r="R70" i="94"/>
  <c r="Z62" i="59"/>
  <c r="Z140" i="30"/>
  <c r="T144" i="30"/>
  <c r="V140" i="30"/>
  <c r="D76" i="92"/>
  <c r="L73" i="92"/>
  <c r="Z31" i="19"/>
  <c r="T36" i="19"/>
  <c r="Z36" i="19" s="1"/>
  <c r="Z94" i="9"/>
  <c r="T97" i="9"/>
  <c r="X97" i="9" s="1"/>
  <c r="N96" i="21"/>
  <c r="H99" i="21"/>
  <c r="J96" i="21"/>
  <c r="P71" i="79"/>
  <c r="X68" i="79"/>
  <c r="Z68" i="79" s="1"/>
  <c r="R68" i="79"/>
  <c r="Z31" i="82"/>
  <c r="T34" i="82"/>
  <c r="V31" i="82"/>
  <c r="P83" i="107"/>
  <c r="X83" i="107" s="1"/>
  <c r="X80" i="107"/>
  <c r="Z80" i="107" s="1"/>
  <c r="H36" i="32"/>
  <c r="N36" i="32" s="1"/>
  <c r="N31" i="32"/>
  <c r="T36" i="16"/>
  <c r="Z36" i="16" s="1"/>
  <c r="Z31" i="16"/>
  <c r="P36" i="34"/>
  <c r="X31" i="34"/>
  <c r="N31" i="14"/>
  <c r="H36" i="14"/>
  <c r="N36" i="14" s="1"/>
  <c r="L31" i="23"/>
  <c r="D36" i="23"/>
  <c r="N26" i="98"/>
  <c r="H29" i="98"/>
  <c r="N29" i="98" s="1"/>
  <c r="Z44" i="104"/>
  <c r="T48" i="104"/>
  <c r="X44" i="104"/>
  <c r="V44" i="104"/>
  <c r="H80" i="107"/>
  <c r="N76" i="107"/>
  <c r="J76" i="107"/>
  <c r="N62" i="48"/>
  <c r="J62" i="48"/>
  <c r="N118" i="36"/>
  <c r="H122" i="36"/>
  <c r="J118" i="36"/>
  <c r="P36" i="40"/>
  <c r="X31" i="40"/>
  <c r="N31" i="52"/>
  <c r="H36" i="52"/>
  <c r="N36" i="52" s="1"/>
  <c r="D114" i="70"/>
  <c r="L111" i="70"/>
  <c r="F111" i="70"/>
  <c r="X123" i="39"/>
  <c r="Z123" i="39" s="1"/>
  <c r="P127" i="39"/>
  <c r="R123" i="39"/>
  <c r="T36" i="47"/>
  <c r="Z36" i="47" s="1"/>
  <c r="Z31" i="47"/>
  <c r="D31" i="54"/>
  <c r="L31" i="54" s="1"/>
  <c r="N31" i="54" s="1"/>
  <c r="L26" i="54"/>
  <c r="N31" i="34"/>
  <c r="H36" i="34"/>
  <c r="N36" i="34" s="1"/>
  <c r="X31" i="111"/>
  <c r="P36" i="111"/>
  <c r="H71" i="79"/>
  <c r="N68" i="79"/>
  <c r="J68" i="79"/>
  <c r="X31" i="14"/>
  <c r="P36" i="14"/>
  <c r="P70" i="56"/>
  <c r="X70" i="56" s="1"/>
  <c r="Z70" i="56" s="1"/>
  <c r="X67" i="56"/>
  <c r="Z67" i="56" s="1"/>
  <c r="N50" i="61"/>
  <c r="H53" i="61"/>
  <c r="T36" i="23"/>
  <c r="Z36" i="23" s="1"/>
  <c r="Z31" i="23"/>
  <c r="L48" i="104"/>
  <c r="N48" i="104" s="1"/>
  <c r="D51" i="104"/>
  <c r="L51" i="104" s="1"/>
  <c r="L31" i="47"/>
  <c r="D36" i="47"/>
  <c r="L96" i="21"/>
  <c r="D99" i="21"/>
  <c r="F96" i="21"/>
  <c r="D36" i="50"/>
  <c r="L31" i="50"/>
  <c r="X59" i="48"/>
  <c r="Z59" i="48" s="1"/>
  <c r="P62" i="48"/>
  <c r="R59" i="48"/>
  <c r="X85" i="91"/>
  <c r="Z85" i="91" s="1"/>
  <c r="P88" i="91"/>
  <c r="X88" i="91" s="1"/>
  <c r="Z88" i="91" s="1"/>
  <c r="H76" i="92"/>
  <c r="N73" i="92"/>
  <c r="J73" i="92"/>
  <c r="T116" i="24"/>
  <c r="X116" i="24" s="1"/>
  <c r="Z112" i="24"/>
  <c r="V112" i="24"/>
  <c r="X31" i="19"/>
  <c r="P36" i="19"/>
  <c r="L31" i="110"/>
  <c r="D36" i="110"/>
  <c r="P36" i="16"/>
  <c r="X31" i="16"/>
  <c r="X107" i="70"/>
  <c r="Z107" i="70" s="1"/>
  <c r="P111" i="70"/>
  <c r="R107" i="70"/>
  <c r="V62" i="109"/>
  <c r="X26" i="54"/>
  <c r="P31" i="54"/>
  <c r="X31" i="54" s="1"/>
  <c r="Z31" i="54" s="1"/>
  <c r="T80" i="97"/>
  <c r="Z76" i="97"/>
  <c r="V76" i="97"/>
  <c r="L39" i="108"/>
  <c r="N39" i="108" s="1"/>
  <c r="D42" i="108"/>
  <c r="X299" i="3"/>
  <c r="Z299" i="3" s="1"/>
  <c r="P304" i="3"/>
  <c r="R299" i="3"/>
  <c r="D100" i="68"/>
  <c r="L96" i="68"/>
  <c r="N96" i="68" s="1"/>
  <c r="F96" i="68"/>
  <c r="D80" i="97"/>
  <c r="L76" i="97"/>
  <c r="N76" i="97" s="1"/>
  <c r="Z105" i="84"/>
  <c r="T109" i="84"/>
  <c r="V105" i="84"/>
  <c r="P67" i="57"/>
  <c r="X67" i="57" s="1"/>
  <c r="X64" i="57"/>
  <c r="Z64" i="57" s="1"/>
  <c r="D71" i="72"/>
  <c r="L67" i="72"/>
  <c r="N67" i="72" s="1"/>
  <c r="Z31" i="28"/>
  <c r="T36" i="28"/>
  <c r="Z36" i="28" s="1"/>
  <c r="L31" i="28"/>
  <c r="D36" i="28"/>
  <c r="H36" i="16"/>
  <c r="N36" i="16" s="1"/>
  <c r="N31" i="16"/>
  <c r="P36" i="23"/>
  <c r="X36" i="23" s="1"/>
  <c r="X31" i="23"/>
  <c r="X31" i="5"/>
  <c r="P36" i="5"/>
  <c r="T51" i="102"/>
  <c r="Z47" i="99"/>
  <c r="T50" i="99"/>
  <c r="N97" i="51"/>
  <c r="H101" i="51"/>
  <c r="L101" i="51" s="1"/>
  <c r="J97" i="51"/>
  <c r="L31" i="34"/>
  <c r="D36" i="34"/>
  <c r="P73" i="92"/>
  <c r="X69" i="92"/>
  <c r="Z69" i="92" s="1"/>
  <c r="T36" i="17"/>
  <c r="Z36" i="17" s="1"/>
  <c r="Z31" i="17"/>
  <c r="P53" i="61"/>
  <c r="X50" i="61"/>
  <c r="Z50" i="61" s="1"/>
  <c r="H91" i="33"/>
  <c r="L91" i="33" s="1"/>
  <c r="N87" i="33"/>
  <c r="J87" i="33"/>
  <c r="L31" i="41"/>
  <c r="D36" i="41"/>
  <c r="T84" i="103"/>
  <c r="Z80" i="103"/>
  <c r="V80" i="103"/>
  <c r="L50" i="61"/>
  <c r="D53" i="61"/>
  <c r="L53" i="61" s="1"/>
  <c r="Z49" i="67"/>
  <c r="T52" i="67"/>
  <c r="Z31" i="25"/>
  <c r="T36" i="25"/>
  <c r="Z36" i="25" s="1"/>
  <c r="N31" i="44"/>
  <c r="H36" i="44"/>
  <c r="N36" i="44" s="1"/>
  <c r="H37" i="55"/>
  <c r="T31" i="6"/>
  <c r="Z26" i="6"/>
  <c r="H75" i="80"/>
  <c r="J72" i="80"/>
  <c r="D29" i="98"/>
  <c r="L29" i="98" s="1"/>
  <c r="L26" i="98"/>
  <c r="H74" i="72"/>
  <c r="J71" i="72"/>
  <c r="X273" i="18"/>
  <c r="P277" i="18"/>
  <c r="R273" i="18"/>
  <c r="Z71" i="72"/>
  <c r="T74" i="72"/>
  <c r="V71" i="72"/>
  <c r="N31" i="46"/>
  <c r="H36" i="46"/>
  <c r="N36" i="46" s="1"/>
  <c r="N71" i="75"/>
  <c r="H75" i="75"/>
  <c r="J71" i="75"/>
  <c r="Z31" i="5"/>
  <c r="T36" i="5"/>
  <c r="Z36" i="5" s="1"/>
  <c r="X31" i="82"/>
  <c r="P34" i="82"/>
  <c r="R31" i="82"/>
  <c r="H51" i="102"/>
  <c r="L31" i="52"/>
  <c r="D36" i="52"/>
  <c r="T74" i="94"/>
  <c r="Z70" i="94"/>
  <c r="V70" i="94"/>
  <c r="X76" i="83"/>
  <c r="Z76" i="83" s="1"/>
  <c r="P80" i="83"/>
  <c r="L31" i="8"/>
  <c r="D36" i="8"/>
  <c r="P36" i="13"/>
  <c r="X31" i="13"/>
  <c r="H36" i="20"/>
  <c r="N36" i="20" s="1"/>
  <c r="N31" i="20"/>
  <c r="P72" i="88"/>
  <c r="X68" i="88"/>
  <c r="Z68" i="88" s="1"/>
  <c r="T61" i="100"/>
  <c r="V58" i="100"/>
  <c r="P36" i="29"/>
  <c r="X31" i="29"/>
  <c r="P259" i="12"/>
  <c r="X255" i="12"/>
  <c r="Z255" i="12" s="1"/>
  <c r="R255" i="12"/>
  <c r="V71" i="79"/>
  <c r="L117" i="42"/>
  <c r="D120" i="42"/>
  <c r="F117" i="42"/>
  <c r="D36" i="14"/>
  <c r="L31" i="14"/>
  <c r="P31" i="6"/>
  <c r="X31" i="6" s="1"/>
  <c r="X26" i="6"/>
  <c r="H36" i="37"/>
  <c r="N36" i="37" s="1"/>
  <c r="N31" i="37"/>
  <c r="H36" i="19"/>
  <c r="N36" i="19" s="1"/>
  <c r="N31" i="19"/>
  <c r="L31" i="44"/>
  <c r="D36" i="44"/>
  <c r="N80" i="83"/>
  <c r="H83" i="83"/>
  <c r="J80" i="83"/>
  <c r="L31" i="16"/>
  <c r="D36" i="16"/>
  <c r="D70" i="93"/>
  <c r="L70" i="93" s="1"/>
  <c r="L67" i="93"/>
  <c r="L26" i="71"/>
  <c r="D29" i="71"/>
  <c r="L29" i="71" s="1"/>
  <c r="X31" i="20"/>
  <c r="P36" i="20"/>
  <c r="H127" i="39"/>
  <c r="N123" i="39"/>
  <c r="J123" i="39"/>
  <c r="P36" i="44"/>
  <c r="X31" i="44"/>
  <c r="D36" i="111"/>
  <c r="L31" i="111"/>
  <c r="L51" i="60"/>
  <c r="X96" i="68"/>
  <c r="P100" i="68"/>
  <c r="R96" i="68"/>
  <c r="Z72" i="101"/>
  <c r="T76" i="101"/>
  <c r="V72" i="101"/>
  <c r="X31" i="110"/>
  <c r="P36" i="110"/>
  <c r="T78" i="75"/>
  <c r="V75" i="75"/>
  <c r="T36" i="29"/>
  <c r="Z36" i="29" s="1"/>
  <c r="Z31" i="29"/>
  <c r="Z31" i="14"/>
  <c r="T36" i="14"/>
  <c r="Z36" i="14" s="1"/>
  <c r="L101" i="63"/>
  <c r="N101" i="63" s="1"/>
  <c r="D104" i="63"/>
  <c r="L104" i="63" s="1"/>
  <c r="D116" i="74"/>
  <c r="L112" i="74"/>
  <c r="F112" i="74"/>
  <c r="H103" i="68"/>
  <c r="J100" i="68"/>
  <c r="P29" i="71"/>
  <c r="X29" i="71" s="1"/>
  <c r="X26" i="71"/>
  <c r="Z42" i="108"/>
  <c r="Z96" i="68"/>
  <c r="T100" i="68"/>
  <c r="V96" i="68"/>
  <c r="D34" i="82"/>
  <c r="L31" i="82"/>
  <c r="N31" i="82" s="1"/>
  <c r="F31" i="82"/>
  <c r="Z31" i="35"/>
  <c r="T36" i="35"/>
  <c r="Z36" i="35" s="1"/>
  <c r="H74" i="94"/>
  <c r="L74" i="94" s="1"/>
  <c r="N70" i="94"/>
  <c r="J70" i="94"/>
  <c r="H50" i="99"/>
  <c r="H251" i="15"/>
  <c r="N247" i="15"/>
  <c r="J247" i="15"/>
  <c r="L47" i="99"/>
  <c r="N47" i="99" s="1"/>
  <c r="D50" i="99"/>
  <c r="L50" i="99" s="1"/>
  <c r="N31" i="22"/>
  <c r="H36" i="22"/>
  <c r="N36" i="22" s="1"/>
  <c r="X31" i="26"/>
  <c r="P36" i="26"/>
  <c r="N112" i="74"/>
  <c r="H116" i="74"/>
  <c r="J112" i="74"/>
  <c r="T277" i="18"/>
  <c r="Z273" i="18"/>
  <c r="V273" i="18"/>
  <c r="L48" i="102"/>
  <c r="N48" i="102" s="1"/>
  <c r="D51" i="102"/>
  <c r="L51" i="102" s="1"/>
  <c r="L36" i="111" l="1"/>
  <c r="X36" i="110"/>
  <c r="X36" i="111"/>
  <c r="L36" i="38"/>
  <c r="X36" i="41"/>
  <c r="X36" i="4"/>
  <c r="L36" i="4"/>
  <c r="X36" i="53"/>
  <c r="X36" i="29"/>
  <c r="X36" i="31"/>
  <c r="L36" i="110"/>
  <c r="L36" i="16"/>
  <c r="L36" i="5"/>
  <c r="X36" i="34"/>
  <c r="L36" i="43"/>
  <c r="L36" i="52"/>
  <c r="L36" i="28"/>
  <c r="L36" i="50"/>
  <c r="X36" i="49"/>
  <c r="X36" i="37"/>
  <c r="X36" i="16"/>
  <c r="X36" i="43"/>
  <c r="X36" i="8"/>
  <c r="X36" i="38"/>
  <c r="X36" i="26"/>
  <c r="X36" i="13"/>
  <c r="L36" i="47"/>
  <c r="L36" i="29"/>
  <c r="X36" i="50"/>
  <c r="L36" i="49"/>
  <c r="L36" i="17"/>
  <c r="X36" i="7"/>
  <c r="X36" i="5"/>
  <c r="L36" i="34"/>
  <c r="X36" i="19"/>
  <c r="X36" i="112"/>
  <c r="L36" i="35"/>
  <c r="X36" i="46"/>
  <c r="X36" i="52"/>
  <c r="N76" i="92"/>
  <c r="J76" i="92"/>
  <c r="T75" i="80"/>
  <c r="V72" i="80"/>
  <c r="J103" i="68"/>
  <c r="L36" i="8"/>
  <c r="T51" i="104"/>
  <c r="V48" i="104"/>
  <c r="X48" i="104"/>
  <c r="Z48" i="104" s="1"/>
  <c r="L36" i="14"/>
  <c r="T103" i="68"/>
  <c r="V100" i="68"/>
  <c r="X36" i="20"/>
  <c r="X72" i="88"/>
  <c r="Z72" i="88" s="1"/>
  <c r="P75" i="88"/>
  <c r="X75" i="88" s="1"/>
  <c r="H78" i="75"/>
  <c r="J75" i="75"/>
  <c r="Z84" i="103"/>
  <c r="T87" i="103"/>
  <c r="V84" i="103"/>
  <c r="D74" i="72"/>
  <c r="L74" i="72" s="1"/>
  <c r="N74" i="72" s="1"/>
  <c r="L71" i="72"/>
  <c r="N71" i="72" s="1"/>
  <c r="X304" i="3"/>
  <c r="Z304" i="3" s="1"/>
  <c r="R304" i="3"/>
  <c r="X111" i="70"/>
  <c r="P114" i="70"/>
  <c r="R111" i="70"/>
  <c r="P130" i="39"/>
  <c r="X127" i="39"/>
  <c r="Z127" i="39" s="1"/>
  <c r="R127" i="39"/>
  <c r="V34" i="82"/>
  <c r="X36" i="25"/>
  <c r="H75" i="88"/>
  <c r="L75" i="88" s="1"/>
  <c r="J72" i="88"/>
  <c r="L37" i="55"/>
  <c r="N69" i="69"/>
  <c r="J69" i="69"/>
  <c r="N70" i="93"/>
  <c r="J70" i="93"/>
  <c r="L36" i="26"/>
  <c r="X36" i="32"/>
  <c r="L36" i="53"/>
  <c r="X36" i="11"/>
  <c r="X94" i="33"/>
  <c r="R94" i="33"/>
  <c r="J80" i="73"/>
  <c r="T94" i="33"/>
  <c r="V91" i="33"/>
  <c r="X37" i="55"/>
  <c r="F90" i="95"/>
  <c r="T86" i="87"/>
  <c r="V83" i="87"/>
  <c r="H262" i="12"/>
  <c r="J259" i="12"/>
  <c r="X116" i="74"/>
  <c r="P119" i="74"/>
  <c r="R116" i="74"/>
  <c r="P103" i="68"/>
  <c r="X100" i="68"/>
  <c r="Z100" i="68" s="1"/>
  <c r="R100" i="68"/>
  <c r="J74" i="72"/>
  <c r="L42" i="108"/>
  <c r="J71" i="79"/>
  <c r="L36" i="19"/>
  <c r="V104" i="76"/>
  <c r="N97" i="9"/>
  <c r="L36" i="20"/>
  <c r="L71" i="79"/>
  <c r="N71" i="79" s="1"/>
  <c r="F71" i="79"/>
  <c r="V125" i="36"/>
  <c r="L36" i="37"/>
  <c r="L36" i="46"/>
  <c r="X84" i="103"/>
  <c r="Z37" i="55"/>
  <c r="L36" i="40"/>
  <c r="P78" i="75"/>
  <c r="X75" i="75"/>
  <c r="Z75" i="75" s="1"/>
  <c r="R75" i="75"/>
  <c r="Z75" i="88"/>
  <c r="V75" i="88"/>
  <c r="F125" i="36"/>
  <c r="X90" i="95"/>
  <c r="R90" i="95"/>
  <c r="L104" i="51"/>
  <c r="F104" i="51"/>
  <c r="N119" i="24"/>
  <c r="J119" i="24"/>
  <c r="X77" i="73"/>
  <c r="P80" i="73"/>
  <c r="L36" i="41"/>
  <c r="T112" i="84"/>
  <c r="V109" i="84"/>
  <c r="F114" i="70"/>
  <c r="N80" i="107"/>
  <c r="H83" i="107"/>
  <c r="J80" i="107"/>
  <c r="X71" i="79"/>
  <c r="Z71" i="79" s="1"/>
  <c r="R71" i="79"/>
  <c r="Z33" i="85"/>
  <c r="V33" i="85"/>
  <c r="X33" i="85"/>
  <c r="X36" i="10"/>
  <c r="N70" i="56"/>
  <c r="X36" i="47"/>
  <c r="X36" i="28"/>
  <c r="F115" i="27"/>
  <c r="X58" i="100"/>
  <c r="Z58" i="100" s="1"/>
  <c r="P61" i="100"/>
  <c r="X61" i="100" s="1"/>
  <c r="T115" i="27"/>
  <c r="V112" i="27"/>
  <c r="P254" i="15"/>
  <c r="X251" i="15"/>
  <c r="Z251" i="15" s="1"/>
  <c r="R251" i="15"/>
  <c r="L72" i="80"/>
  <c r="N72" i="80" s="1"/>
  <c r="D75" i="80"/>
  <c r="L75" i="80" s="1"/>
  <c r="N75" i="80" s="1"/>
  <c r="L76" i="92"/>
  <c r="N42" i="108"/>
  <c r="X259" i="12"/>
  <c r="Z259" i="12" s="1"/>
  <c r="P262" i="12"/>
  <c r="R259" i="12"/>
  <c r="N51" i="102"/>
  <c r="X62" i="48"/>
  <c r="R62" i="48"/>
  <c r="V65" i="78"/>
  <c r="X36" i="35"/>
  <c r="P147" i="30"/>
  <c r="X144" i="30"/>
  <c r="R144" i="30"/>
  <c r="H112" i="84"/>
  <c r="J109" i="84"/>
  <c r="T95" i="45"/>
  <c r="Z92" i="45"/>
  <c r="V92" i="45"/>
  <c r="L147" i="30"/>
  <c r="N147" i="30" s="1"/>
  <c r="F147" i="30"/>
  <c r="H280" i="18"/>
  <c r="N277" i="18"/>
  <c r="J277" i="18"/>
  <c r="L83" i="83"/>
  <c r="L36" i="112"/>
  <c r="F280" i="18"/>
  <c r="L78" i="75"/>
  <c r="F78" i="75"/>
  <c r="N112" i="27"/>
  <c r="H115" i="27"/>
  <c r="L115" i="27" s="1"/>
  <c r="J112" i="27"/>
  <c r="L62" i="109"/>
  <c r="F62" i="109"/>
  <c r="N104" i="63"/>
  <c r="N51" i="60"/>
  <c r="J90" i="105"/>
  <c r="T90" i="105"/>
  <c r="V87" i="105"/>
  <c r="X73" i="92"/>
  <c r="Z73" i="92" s="1"/>
  <c r="P76" i="92"/>
  <c r="X76" i="92" s="1"/>
  <c r="Z76" i="92" s="1"/>
  <c r="V76" i="92"/>
  <c r="J75" i="80"/>
  <c r="Z52" i="67"/>
  <c r="T83" i="97"/>
  <c r="V80" i="97"/>
  <c r="N53" i="61"/>
  <c r="J99" i="21"/>
  <c r="Z90" i="95"/>
  <c r="V90" i="95"/>
  <c r="V254" i="15"/>
  <c r="D69" i="69"/>
  <c r="L69" i="69" s="1"/>
  <c r="L66" i="69"/>
  <c r="N66" i="69" s="1"/>
  <c r="X59" i="109"/>
  <c r="Z59" i="109" s="1"/>
  <c r="P62" i="109"/>
  <c r="R59" i="109"/>
  <c r="N52" i="67"/>
  <c r="X36" i="17"/>
  <c r="L88" i="91"/>
  <c r="L77" i="73"/>
  <c r="N77" i="73" s="1"/>
  <c r="D80" i="73"/>
  <c r="L80" i="73" s="1"/>
  <c r="N80" i="73" s="1"/>
  <c r="L90" i="105"/>
  <c r="N90" i="105" s="1"/>
  <c r="F90" i="105"/>
  <c r="L75" i="75"/>
  <c r="N75" i="75" s="1"/>
  <c r="X104" i="63"/>
  <c r="Z104" i="63" s="1"/>
  <c r="N77" i="58"/>
  <c r="L36" i="10"/>
  <c r="L62" i="59"/>
  <c r="Z62" i="48"/>
  <c r="V62" i="48"/>
  <c r="N76" i="101"/>
  <c r="H79" i="101"/>
  <c r="J76" i="101"/>
  <c r="H90" i="95"/>
  <c r="N87" i="95"/>
  <c r="J87" i="95"/>
  <c r="V78" i="75"/>
  <c r="X101" i="76"/>
  <c r="Z101" i="76" s="1"/>
  <c r="P104" i="76"/>
  <c r="R101" i="76"/>
  <c r="L76" i="101"/>
  <c r="D79" i="101"/>
  <c r="L79" i="101" s="1"/>
  <c r="X74" i="72"/>
  <c r="J95" i="45"/>
  <c r="T130" i="39"/>
  <c r="V127" i="39"/>
  <c r="T70" i="93"/>
  <c r="X70" i="93" s="1"/>
  <c r="Z67" i="93"/>
  <c r="V67" i="93"/>
  <c r="J86" i="87"/>
  <c r="L95" i="45"/>
  <c r="N95" i="45" s="1"/>
  <c r="F95" i="45"/>
  <c r="P125" i="36"/>
  <c r="X122" i="36"/>
  <c r="Z122" i="36" s="1"/>
  <c r="R122" i="36"/>
  <c r="T77" i="94"/>
  <c r="V74" i="94"/>
  <c r="X95" i="45"/>
  <c r="R95" i="45"/>
  <c r="J304" i="3"/>
  <c r="Z67" i="57"/>
  <c r="X51" i="102"/>
  <c r="T80" i="73"/>
  <c r="Z77" i="73"/>
  <c r="V77" i="73"/>
  <c r="X65" i="78"/>
  <c r="Z65" i="78" s="1"/>
  <c r="H114" i="70"/>
  <c r="L114" i="70" s="1"/>
  <c r="N111" i="70"/>
  <c r="J111" i="70"/>
  <c r="L112" i="84"/>
  <c r="F112" i="84"/>
  <c r="T83" i="83"/>
  <c r="Z80" i="83"/>
  <c r="V80" i="83"/>
  <c r="Z77" i="58"/>
  <c r="L101" i="76"/>
  <c r="N101" i="76" s="1"/>
  <c r="D104" i="76"/>
  <c r="F101" i="76"/>
  <c r="D254" i="15"/>
  <c r="L251" i="15"/>
  <c r="F251" i="15"/>
  <c r="L94" i="33"/>
  <c r="F94" i="33"/>
  <c r="X87" i="103"/>
  <c r="R87" i="103"/>
  <c r="H77" i="94"/>
  <c r="N74" i="94"/>
  <c r="J74" i="94"/>
  <c r="X34" i="82"/>
  <c r="Z34" i="82" s="1"/>
  <c r="R34" i="82"/>
  <c r="L80" i="107"/>
  <c r="D83" i="107"/>
  <c r="L83" i="107" s="1"/>
  <c r="Z97" i="9"/>
  <c r="P115" i="27"/>
  <c r="X112" i="27"/>
  <c r="Z112" i="27" s="1"/>
  <c r="R112" i="27"/>
  <c r="Z277" i="18"/>
  <c r="T280" i="18"/>
  <c r="V277" i="18"/>
  <c r="N83" i="83"/>
  <c r="J83" i="83"/>
  <c r="X80" i="83"/>
  <c r="P83" i="83"/>
  <c r="Z31" i="6"/>
  <c r="Z50" i="99"/>
  <c r="P77" i="94"/>
  <c r="X74" i="94"/>
  <c r="Z74" i="94" s="1"/>
  <c r="R74" i="94"/>
  <c r="L87" i="103"/>
  <c r="F87" i="103"/>
  <c r="N62" i="59"/>
  <c r="L36" i="32"/>
  <c r="L36" i="22"/>
  <c r="J147" i="30"/>
  <c r="X80" i="97"/>
  <c r="Z80" i="97" s="1"/>
  <c r="X76" i="101"/>
  <c r="P79" i="101"/>
  <c r="L119" i="24"/>
  <c r="F119" i="24"/>
  <c r="L109" i="84"/>
  <c r="N109" i="84" s="1"/>
  <c r="J83" i="97"/>
  <c r="X51" i="60"/>
  <c r="Z51" i="60" s="1"/>
  <c r="L36" i="31"/>
  <c r="L36" i="25"/>
  <c r="Z104" i="51"/>
  <c r="V104" i="51"/>
  <c r="Z83" i="107"/>
  <c r="V83" i="107"/>
  <c r="N251" i="15"/>
  <c r="H254" i="15"/>
  <c r="J251" i="15"/>
  <c r="D119" i="74"/>
  <c r="L116" i="74"/>
  <c r="N116" i="74" s="1"/>
  <c r="F116" i="74"/>
  <c r="F120" i="42"/>
  <c r="X277" i="18"/>
  <c r="P280" i="18"/>
  <c r="R277" i="18"/>
  <c r="D103" i="68"/>
  <c r="L100" i="68"/>
  <c r="N100" i="68" s="1"/>
  <c r="F100" i="68"/>
  <c r="T119" i="24"/>
  <c r="X119" i="24" s="1"/>
  <c r="Z116" i="24"/>
  <c r="V116" i="24"/>
  <c r="L99" i="21"/>
  <c r="N99" i="21" s="1"/>
  <c r="F99" i="21"/>
  <c r="X36" i="14"/>
  <c r="N122" i="36"/>
  <c r="H125" i="36"/>
  <c r="J122" i="36"/>
  <c r="N117" i="42"/>
  <c r="H120" i="42"/>
  <c r="J117" i="42"/>
  <c r="H104" i="76"/>
  <c r="J101" i="76"/>
  <c r="X75" i="80"/>
  <c r="N51" i="104"/>
  <c r="J51" i="104"/>
  <c r="L70" i="56"/>
  <c r="J34" i="82"/>
  <c r="X83" i="97"/>
  <c r="F130" i="39"/>
  <c r="L33" i="85"/>
  <c r="N33" i="85" s="1"/>
  <c r="F33" i="85"/>
  <c r="V99" i="21"/>
  <c r="V304" i="3"/>
  <c r="X36" i="22"/>
  <c r="L72" i="88"/>
  <c r="N72" i="88" s="1"/>
  <c r="L97" i="9"/>
  <c r="L86" i="87"/>
  <c r="N86" i="87" s="1"/>
  <c r="L36" i="11"/>
  <c r="R119" i="24"/>
  <c r="L36" i="7"/>
  <c r="N88" i="91"/>
  <c r="N84" i="103"/>
  <c r="H87" i="103"/>
  <c r="J84" i="103"/>
  <c r="Z144" i="30"/>
  <c r="T147" i="30"/>
  <c r="V144" i="30"/>
  <c r="Z74" i="72"/>
  <c r="V74" i="72"/>
  <c r="N101" i="51"/>
  <c r="H104" i="51"/>
  <c r="J101" i="51"/>
  <c r="D83" i="97"/>
  <c r="L83" i="97" s="1"/>
  <c r="N83" i="97" s="1"/>
  <c r="L80" i="97"/>
  <c r="N80" i="97" s="1"/>
  <c r="Z116" i="74"/>
  <c r="T119" i="74"/>
  <c r="V116" i="74"/>
  <c r="X36" i="44"/>
  <c r="N91" i="33"/>
  <c r="H94" i="33"/>
  <c r="J91" i="33"/>
  <c r="X36" i="40"/>
  <c r="L34" i="82"/>
  <c r="N34" i="82" s="1"/>
  <c r="F34" i="82"/>
  <c r="Z61" i="100"/>
  <c r="V61" i="100"/>
  <c r="N37" i="55"/>
  <c r="X53" i="61"/>
  <c r="Z53" i="61" s="1"/>
  <c r="H119" i="74"/>
  <c r="J116" i="74"/>
  <c r="N50" i="99"/>
  <c r="Z76" i="101"/>
  <c r="T79" i="101"/>
  <c r="V76" i="101"/>
  <c r="N127" i="39"/>
  <c r="H130" i="39"/>
  <c r="L130" i="39" s="1"/>
  <c r="J127" i="39"/>
  <c r="L36" i="44"/>
  <c r="Z51" i="102"/>
  <c r="L36" i="23"/>
  <c r="X72" i="80"/>
  <c r="Z72" i="80" s="1"/>
  <c r="X109" i="84"/>
  <c r="Z109" i="84" s="1"/>
  <c r="P112" i="84"/>
  <c r="R109" i="84"/>
  <c r="P120" i="42"/>
  <c r="X117" i="42"/>
  <c r="Z117" i="42" s="1"/>
  <c r="R117" i="42"/>
  <c r="L304" i="3"/>
  <c r="N304" i="3" s="1"/>
  <c r="F304" i="3"/>
  <c r="P86" i="87"/>
  <c r="X86" i="87" s="1"/>
  <c r="X83" i="87"/>
  <c r="Z83" i="87" s="1"/>
  <c r="V262" i="12"/>
  <c r="L127" i="39"/>
  <c r="X87" i="105"/>
  <c r="Z87" i="105" s="1"/>
  <c r="P90" i="105"/>
  <c r="R87" i="105"/>
  <c r="P99" i="21"/>
  <c r="X96" i="21"/>
  <c r="Z96" i="21" s="1"/>
  <c r="R96" i="21"/>
  <c r="N65" i="78"/>
  <c r="J65" i="78"/>
  <c r="X91" i="33"/>
  <c r="Z91" i="33" s="1"/>
  <c r="D262" i="12"/>
  <c r="L259" i="12"/>
  <c r="N259" i="12" s="1"/>
  <c r="F259" i="12"/>
  <c r="N62" i="109"/>
  <c r="J62" i="109"/>
  <c r="Z111" i="70"/>
  <c r="T114" i="70"/>
  <c r="V111" i="70"/>
  <c r="L36" i="13"/>
  <c r="X99" i="21" l="1"/>
  <c r="Z99" i="21" s="1"/>
  <c r="R99" i="21"/>
  <c r="V80" i="73"/>
  <c r="J280" i="18"/>
  <c r="N104" i="51"/>
  <c r="J104" i="51"/>
  <c r="L119" i="74"/>
  <c r="N119" i="74" s="1"/>
  <c r="F119" i="74"/>
  <c r="Z280" i="18"/>
  <c r="V280" i="18"/>
  <c r="N77" i="94"/>
  <c r="J77" i="94"/>
  <c r="N79" i="101"/>
  <c r="J79" i="101"/>
  <c r="N83" i="107"/>
  <c r="J83" i="107"/>
  <c r="L77" i="94"/>
  <c r="Z87" i="103"/>
  <c r="V87" i="103"/>
  <c r="Z79" i="101"/>
  <c r="V79" i="101"/>
  <c r="J104" i="76"/>
  <c r="X119" i="74"/>
  <c r="R119" i="74"/>
  <c r="Z51" i="104"/>
  <c r="V51" i="104"/>
  <c r="X51" i="104"/>
  <c r="X112" i="84"/>
  <c r="Z112" i="84" s="1"/>
  <c r="R112" i="84"/>
  <c r="N94" i="33"/>
  <c r="J94" i="33"/>
  <c r="J120" i="42"/>
  <c r="Z94" i="33"/>
  <c r="V94" i="33"/>
  <c r="X130" i="39"/>
  <c r="R130" i="39"/>
  <c r="N78" i="75"/>
  <c r="J78" i="75"/>
  <c r="Z119" i="24"/>
  <c r="V119" i="24"/>
  <c r="L103" i="68"/>
  <c r="N103" i="68" s="1"/>
  <c r="F103" i="68"/>
  <c r="Z90" i="105"/>
  <c r="V90" i="105"/>
  <c r="V147" i="30"/>
  <c r="X254" i="15"/>
  <c r="Z254" i="15" s="1"/>
  <c r="R254" i="15"/>
  <c r="V112" i="84"/>
  <c r="J262" i="12"/>
  <c r="X114" i="70"/>
  <c r="R114" i="70"/>
  <c r="N115" i="27"/>
  <c r="J115" i="27"/>
  <c r="N254" i="15"/>
  <c r="J254" i="15"/>
  <c r="V83" i="83"/>
  <c r="X77" i="94"/>
  <c r="R77" i="94"/>
  <c r="X115" i="27"/>
  <c r="R115" i="27"/>
  <c r="X104" i="76"/>
  <c r="Z104" i="76" s="1"/>
  <c r="R104" i="76"/>
  <c r="J119" i="74"/>
  <c r="N125" i="36"/>
  <c r="J125" i="36"/>
  <c r="X280" i="18"/>
  <c r="R280" i="18"/>
  <c r="Z70" i="93"/>
  <c r="V70" i="93"/>
  <c r="X62" i="109"/>
  <c r="Z62" i="109" s="1"/>
  <c r="R62" i="109"/>
  <c r="Z83" i="97"/>
  <c r="V83" i="97"/>
  <c r="L280" i="18"/>
  <c r="N280" i="18" s="1"/>
  <c r="L125" i="36"/>
  <c r="L262" i="12"/>
  <c r="N262" i="12" s="1"/>
  <c r="F262" i="12"/>
  <c r="X79" i="101"/>
  <c r="Z119" i="74"/>
  <c r="V119" i="74"/>
  <c r="X83" i="83"/>
  <c r="Z83" i="83" s="1"/>
  <c r="L254" i="15"/>
  <c r="F254" i="15"/>
  <c r="N114" i="70"/>
  <c r="J114" i="70"/>
  <c r="Z95" i="45"/>
  <c r="V95" i="45"/>
  <c r="X147" i="30"/>
  <c r="Z147" i="30" s="1"/>
  <c r="R147" i="30"/>
  <c r="N87" i="103"/>
  <c r="J87" i="103"/>
  <c r="X90" i="105"/>
  <c r="R90" i="105"/>
  <c r="X120" i="42"/>
  <c r="Z120" i="42" s="1"/>
  <c r="R120" i="42"/>
  <c r="Z77" i="94"/>
  <c r="V77" i="94"/>
  <c r="Z130" i="39"/>
  <c r="V130" i="39"/>
  <c r="Z115" i="27"/>
  <c r="V115" i="27"/>
  <c r="X80" i="73"/>
  <c r="Z80" i="73" s="1"/>
  <c r="Z86" i="87"/>
  <c r="V86" i="87"/>
  <c r="N75" i="88"/>
  <c r="J75" i="88"/>
  <c r="L120" i="42"/>
  <c r="N120" i="42" s="1"/>
  <c r="L104" i="76"/>
  <c r="N104" i="76" s="1"/>
  <c r="F104" i="76"/>
  <c r="N112" i="84"/>
  <c r="J112" i="84"/>
  <c r="X262" i="12"/>
  <c r="Z262" i="12" s="1"/>
  <c r="R262" i="12"/>
  <c r="V103" i="68"/>
  <c r="Z75" i="80"/>
  <c r="V75" i="80"/>
  <c r="J90" i="95"/>
  <c r="Z114" i="70"/>
  <c r="V114" i="70"/>
  <c r="N130" i="39"/>
  <c r="J130" i="39"/>
  <c r="X125" i="36"/>
  <c r="Z125" i="36" s="1"/>
  <c r="R125" i="36"/>
  <c r="X78" i="75"/>
  <c r="Z78" i="75" s="1"/>
  <c r="R78" i="75"/>
  <c r="X103" i="68"/>
  <c r="Z103" i="68" s="1"/>
  <c r="R103" i="68"/>
  <c r="L90" i="95"/>
  <c r="N90" i="95" s="1"/>
</calcChain>
</file>

<file path=xl/sharedStrings.xml><?xml version="1.0" encoding="utf-8"?>
<sst xmlns="http://schemas.openxmlformats.org/spreadsheetml/2006/main" count="2948" uniqueCount="314">
  <si>
    <t>Credits &amp; Revenues</t>
  </si>
  <si>
    <t>Interest Income/Other</t>
  </si>
  <si>
    <t>Gain/(Loss) on FMV of Investments</t>
  </si>
  <si>
    <t>OPERATING INCOME</t>
  </si>
  <si>
    <t>OPERATING CONTRIBUTION</t>
  </si>
  <si>
    <t>NET CONTRIBUTION</t>
  </si>
  <si>
    <t>GROSS MARGIN</t>
  </si>
  <si>
    <t>Sales</t>
  </si>
  <si>
    <t>Cost of Goods Sold</t>
  </si>
  <si>
    <t>Operating Expenses</t>
  </si>
  <si>
    <t>Actual</t>
  </si>
  <si>
    <t>Variance</t>
  </si>
  <si>
    <t xml:space="preserve">Forty Niner Shops, Inc. </t>
  </si>
  <si>
    <t>G &amp; A Allocation</t>
  </si>
  <si>
    <t>% of Sales</t>
  </si>
  <si>
    <t>% Variance</t>
  </si>
  <si>
    <t>Sheet Name</t>
  </si>
  <si>
    <t>InfoManager Number</t>
  </si>
  <si>
    <t>Grid Title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</si>
  <si>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</si>
  <si>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</si>
  <si>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</si>
  <si>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</si>
  <si>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</si>
  <si>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</si>
  <si>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</si>
  <si>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</si>
  <si>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</si>
  <si>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</si>
  <si>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</si>
  <si>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</si>
  <si>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</si>
  <si>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</si>
  <si>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</si>
  <si>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</si>
  <si>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</si>
  <si>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</si>
  <si>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</si>
  <si>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</si>
  <si>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</si>
  <si>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</si>
  <si>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</si>
  <si>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Storage Type</t>
  </si>
  <si>
    <t>Created Date</t>
  </si>
  <si>
    <t>Updated Date</t>
  </si>
  <si>
    <t>Retain Zero Value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</si>
  <si>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</si>
  <si>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</si>
  <si>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</si>
  <si>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</si>
  <si>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</si>
  <si>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</si>
  <si>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</si>
  <si>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</si>
  <si>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</si>
  <si>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</si>
  <si>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</si>
  <si>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</si>
  <si>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</si>
  <si>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</si>
  <si>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</si>
  <si>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</si>
  <si>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</si>
  <si>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</si>
  <si>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</si>
  <si>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</si>
  <si>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</si>
  <si>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</si>
  <si>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</si>
  <si>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</si>
  <si>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</si>
  <si>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</si>
  <si>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</si>
  <si>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</si>
  <si>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</si>
  <si>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</si>
  <si>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</si>
  <si>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</si>
  <si>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</si>
  <si>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</si>
  <si>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</si>
  <si>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</si>
  <si>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</si>
  <si>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</si>
  <si>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</si>
  <si>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</si>
  <si>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</si>
  <si>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</si>
  <si>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</si>
  <si>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</si>
  <si>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</si>
  <si>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</si>
  <si>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</si>
  <si>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</si>
  <si>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</si>
  <si>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</si>
  <si>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</si>
  <si>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</si>
  <si>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</si>
  <si>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</si>
  <si>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</si>
  <si>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</si>
  <si>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</si>
  <si>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</si>
  <si>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</si>
  <si>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</si>
  <si>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</si>
  <si>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</si>
  <si>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</si>
  <si>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</si>
  <si>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</si>
  <si>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</si>
  <si>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</si>
  <si>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</si>
  <si>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</si>
  <si>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</si>
  <si>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</si>
  <si>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</si>
  <si>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</si>
  <si>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</si>
  <si>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</si>
  <si>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</si>
  <si>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</si>
  <si>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</si>
  <si>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</si>
  <si>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</si>
  <si>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</si>
  <si>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</si>
  <si>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</si>
  <si>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</si>
  <si>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</si>
  <si>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</si>
  <si>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</si>
  <si>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</si>
  <si>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</si>
  <si>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</si>
  <si>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</si>
  <si>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</si>
  <si>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</si>
  <si>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</si>
  <si>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</si>
  <si>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</si>
  <si>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</si>
  <si>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</si>
  <si>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</si>
  <si>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</si>
  <si>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</si>
  <si>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</si>
  <si>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</si>
  <si>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</si>
  <si>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</si>
  <si>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</si>
  <si>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</si>
  <si>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</si>
  <si>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</si>
  <si>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</si>
  <si>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</si>
  <si>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</si>
  <si>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</si>
  <si>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</si>
  <si>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</si>
  <si>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</si>
  <si>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</si>
  <si>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</si>
  <si>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</si>
  <si>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</si>
  <si>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</si>
  <si>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</si>
  <si>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</si>
  <si>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</si>
  <si>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</si>
  <si>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</si>
  <si>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</si>
  <si>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</si>
  <si>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</si>
  <si>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</si>
  <si>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</si>
  <si>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</si>
  <si>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</si>
  <si>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</si>
  <si>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</si>
  <si>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</si>
  <si>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</si>
  <si>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</si>
  <si>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</si>
  <si>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</si>
  <si>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</si>
  <si>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</si>
  <si>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</si>
  <si>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</si>
  <si>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</si>
  <si>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</si>
  <si>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</si>
  <si>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</si>
  <si>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</si>
  <si>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</si>
  <si>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</si>
  <si>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</si>
  <si>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</si>
  <si>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</si>
  <si>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</si>
  <si>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</si>
  <si>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</si>
  <si>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</si>
  <si>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</si>
  <si>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</si>
  <si>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</si>
  <si>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</si>
  <si>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</si>
  <si>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</si>
  <si>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</si>
  <si>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</si>
  <si>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</si>
  <si>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</si>
  <si>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</si>
  <si>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</si>
  <si>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</si>
  <si>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</si>
  <si>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</si>
  <si>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</si>
  <si>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</si>
  <si>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</si>
  <si>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</si>
  <si>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</si>
  <si>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</si>
  <si>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</si>
  <si>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</si>
  <si>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</si>
  <si>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</si>
  <si>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</si>
  <si>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</si>
  <si>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</si>
  <si>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</si>
  <si>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</si>
  <si>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</si>
  <si>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</si>
  <si>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DimGridName</t>
  </si>
  <si>
    <t>DimSheetName</t>
  </si>
  <si>
    <t>StorageGridName</t>
  </si>
  <si>
    <t>StorageSheetName</t>
  </si>
  <si>
    <t>Enable SIMWindow</t>
  </si>
  <si>
    <t>Period Type</t>
  </si>
  <si>
    <t>Interface Setting Grid Number</t>
  </si>
  <si>
    <t>Active Grid Number</t>
  </si>
  <si>
    <t>Running Actual Sheet row Number</t>
  </si>
  <si>
    <t>Running Actual Grid Number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</si>
  <si>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</si>
  <si>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</si>
  <si>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</si>
  <si>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</si>
  <si>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</si>
  <si>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</si>
  <si>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</si>
  <si>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</si>
  <si>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</si>
  <si>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</si>
  <si>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</si>
  <si>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</si>
  <si>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</si>
  <si>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</si>
  <si>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 6th Data Series</t>
  </si>
  <si>
    <t>Chart 6th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</si>
  <si>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</si>
  <si>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</si>
  <si>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</si>
  <si>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</si>
  <si>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</si>
  <si>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</si>
  <si>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</si>
  <si>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</si>
  <si>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</si>
  <si>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</si>
  <si>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</si>
  <si>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</si>
  <si>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</si>
  <si>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</si>
  <si>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</si>
  <si>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</si>
  <si>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</si>
  <si>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</si>
  <si>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</si>
  <si>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</si>
  <si>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</si>
  <si>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</si>
  <si>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</si>
  <si>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</si>
  <si>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</si>
  <si>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</si>
  <si>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</si>
  <si>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MinChart</t>
  </si>
  <si>
    <t>MinDG</t>
  </si>
  <si>
    <t>EnableCustomSpreading</t>
  </si>
  <si>
    <t>CURRENT PERIOD</t>
  </si>
  <si>
    <t>YEAR TO DATE</t>
  </si>
  <si>
    <t>Combined Operating Statement by Department</t>
  </si>
  <si>
    <t>All Departments</t>
  </si>
  <si>
    <t>Division 5 - ID Card Services</t>
  </si>
  <si>
    <t>Division 1 - Corporate</t>
  </si>
  <si>
    <t>Division 2 - Administration</t>
  </si>
  <si>
    <t>Division 491 - Cash Food Operations</t>
  </si>
  <si>
    <t>Division 492 - Residential Dining</t>
  </si>
  <si>
    <t>Division 308 - Combined Textbooks</t>
  </si>
  <si>
    <t>Division 331 - Combined 315 &amp; 326</t>
  </si>
  <si>
    <t>Division 332 - Combined 316, 320, &amp; 323</t>
  </si>
  <si>
    <t>Division 330 - Combined 307 &amp; 314</t>
  </si>
  <si>
    <t>Division 310 - C-Stores</t>
  </si>
  <si>
    <t>Prior Year</t>
  </si>
  <si>
    <t>Division 3 - Bookstore &amp; C-Stores</t>
  </si>
  <si>
    <t>Division 300 - Bookstore</t>
  </si>
  <si>
    <t>Division 4 - Food Services</t>
  </si>
  <si>
    <t>Division 6 - Computer Store</t>
  </si>
  <si>
    <t>Division 300 &amp; 317 - Bookstore &amp; Computer Store</t>
  </si>
  <si>
    <t>Division 310 &amp; 491 - C-Stores &amp; Cash Food Operations</t>
  </si>
  <si>
    <t>49er.local\tsantos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</si>
</sst>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7" fontId="1" fillId="0" borderId="0" xfId="3" applyNumberFormat="1" applyFont="1" applyFill="1" applyBorder="1"/>
    <xf numFmtId="164" fontId="1" fillId="0" borderId="0" xfId="1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0" fontId="0" fillId="0" borderId="0" xfId="0" applyAlignment="1">
      <alignment horizontal="centerContinuous"/>
    </xf>
    <xf numFmtId="164" fontId="0" fillId="0" borderId="0" xfId="1" applyNumberFormat="1" applyFont="1"/>
    <xf numFmtId="167" fontId="1" fillId="0" borderId="0" xfId="3" applyNumberFormat="1" applyFont="1" applyFill="1"/>
    <xf numFmtId="164" fontId="2" fillId="0" borderId="0" xfId="1" applyNumberFormat="1" applyFont="1" applyFill="1" applyBorder="1"/>
    <xf numFmtId="167" fontId="2" fillId="2" borderId="2" xfId="3" applyNumberFormat="1" applyFont="1" applyFill="1" applyBorder="1"/>
    <xf numFmtId="168" fontId="2" fillId="2" borderId="2" xfId="2" applyNumberFormat="1" applyFont="1" applyFill="1" applyBorder="1"/>
    <xf numFmtId="0" fontId="2" fillId="0" borderId="0" xfId="0" applyFont="1"/>
    <xf numFmtId="0" fontId="1" fillId="0" borderId="0" xfId="0" applyFont="1"/>
    <xf numFmtId="0" fontId="2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1" fillId="0" borderId="0" xfId="0" applyNumberFormat="1" applyFont="1" applyFill="1" applyAlignment="1">
      <alignment horizontal="right"/>
    </xf>
    <xf numFmtId="168" fontId="2" fillId="2" borderId="3" xfId="2" applyNumberFormat="1" applyFont="1" applyFill="1" applyBorder="1"/>
    <xf numFmtId="167" fontId="2" fillId="2" borderId="3" xfId="3" applyNumberFormat="1" applyFont="1" applyFill="1" applyBorder="1"/>
    <xf numFmtId="49" fontId="2" fillId="0" borderId="0" xfId="0" applyNumberFormat="1" applyFont="1" applyFill="1" applyBorder="1" applyAlignment="1">
      <alignment horizontal="center"/>
    </xf>
    <xf numFmtId="167" fontId="2" fillId="2" borderId="1" xfId="3" applyNumberFormat="1" applyFont="1" applyFill="1" applyBorder="1" applyAlignment="1">
      <alignment horizontal="center"/>
    </xf>
    <xf numFmtId="167" fontId="2" fillId="2" borderId="4" xfId="3" applyNumberFormat="1" applyFont="1" applyFill="1" applyBorder="1"/>
    <xf numFmtId="167" fontId="2" fillId="0" borderId="0" xfId="3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167" fontId="0" fillId="0" borderId="0" xfId="1" applyNumberFormat="1" applyFont="1"/>
    <xf numFmtId="49" fontId="1" fillId="0" borderId="0" xfId="0" applyNumberFormat="1" applyFont="1" applyFill="1"/>
    <xf numFmtId="167" fontId="0" fillId="0" borderId="0" xfId="0" applyNumberFormat="1" applyFill="1"/>
    <xf numFmtId="164" fontId="2" fillId="0" borderId="0" xfId="1" applyNumberFormat="1" applyFont="1" applyAlignment="1">
      <alignment horizontal="left"/>
    </xf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Continuous"/>
    </xf>
    <xf numFmtId="0" fontId="2" fillId="2" borderId="1" xfId="0" applyNumberFormat="1" applyFont="1" applyFill="1" applyBorder="1" applyAlignment="1">
      <alignment horizontal="center"/>
    </xf>
    <xf numFmtId="167" fontId="0" fillId="0" borderId="0" xfId="3" applyNumberFormat="1" applyFont="1" applyAlignment="1">
      <alignment horizontal="centerContinuous"/>
    </xf>
    <xf numFmtId="49" fontId="2" fillId="0" borderId="0" xfId="0" applyNumberFormat="1" applyFont="1" applyFill="1"/>
    <xf numFmtId="0" fontId="0" fillId="0" borderId="0" xfId="0" applyBorder="1"/>
    <xf numFmtId="165" fontId="0" fillId="0" borderId="0" xfId="0" applyNumberFormat="1"/>
    <xf numFmtId="0" fontId="0" fillId="0" borderId="0" xfId="0" applyFill="1" applyAlignment="1">
      <alignment horizontal="centerContinuous"/>
    </xf>
    <xf numFmtId="0" fontId="3" fillId="0" borderId="0" xfId="0" applyFont="1" applyFill="1"/>
    <xf numFmtId="0" fontId="4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5" fillId="0" borderId="0" xfId="0" applyFont="1"/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Alignment="1">
      <alignment horizontal="left"/>
    </xf>
    <xf numFmtId="166" fontId="4" fillId="0" borderId="0" xfId="0" applyNumberFormat="1" applyFont="1" applyAlignment="1">
      <alignment horizontal="left"/>
    </xf>
    <xf numFmtId="0" fontId="2" fillId="0" borderId="0" xfId="0" applyFont="1" applyFill="1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ill="1" applyBorder="1" applyAlignment="1">
      <alignment horizontal="center" vertical="center" wrapText="1"/>
    </xf>
    <xf numFmtId="49" fontId="0" fillId="0" borderId="0" xfId="0" applyNumberForma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3"/>
  <sheetViews>
    <sheetView workbookViewId="0"/>
  </sheetViews>
  <sheetFormatPr defaultRowHeight="15" x14ac:dyDescent="0.25"/>
  <cols>
    <col min="1" max="130" width="20.7109375" customWidth="1"/>
  </cols>
  <sheetData>
    <row r="1" spans="1:130" x14ac:dyDescent="0.25">
      <c r="B1">
        <v>4</v>
      </c>
    </row>
    <row r="3" spans="1:130" ht="30" x14ac:dyDescent="0.25">
      <c r="A3" s="41" t="s">
        <v>242</v>
      </c>
      <c r="B3" s="41" t="s">
        <v>243</v>
      </c>
      <c r="C3" s="41" t="s">
        <v>16</v>
      </c>
      <c r="D3" s="41" t="s">
        <v>244</v>
      </c>
      <c r="E3" s="41" t="s">
        <v>245</v>
      </c>
      <c r="F3" s="41" t="s">
        <v>18</v>
      </c>
      <c r="G3" s="41" t="s">
        <v>246</v>
      </c>
      <c r="H3" s="41" t="s">
        <v>247</v>
      </c>
      <c r="I3" s="41" t="s">
        <v>248</v>
      </c>
      <c r="J3" s="41" t="s">
        <v>249</v>
      </c>
      <c r="K3" s="41" t="s">
        <v>250</v>
      </c>
      <c r="L3" s="41" t="s">
        <v>251</v>
      </c>
      <c r="M3" s="41" t="s">
        <v>252</v>
      </c>
      <c r="N3" s="41" t="s">
        <v>253</v>
      </c>
      <c r="O3" s="41" t="s">
        <v>254</v>
      </c>
      <c r="P3" s="41" t="s">
        <v>255</v>
      </c>
      <c r="Q3" s="41" t="s">
        <v>256</v>
      </c>
      <c r="R3" s="41" t="s">
        <v>257</v>
      </c>
      <c r="S3" s="41" t="s">
        <v>258</v>
      </c>
      <c r="T3" s="41" t="s">
        <v>259</v>
      </c>
      <c r="U3" s="41" t="s">
        <v>262</v>
      </c>
      <c r="V3" s="41" t="s">
        <v>263</v>
      </c>
      <c r="W3" s="41" t="s">
        <v>264</v>
      </c>
      <c r="X3" s="41" t="s">
        <v>265</v>
      </c>
      <c r="Y3" s="41" t="s">
        <v>266</v>
      </c>
      <c r="Z3" s="41" t="s">
        <v>267</v>
      </c>
      <c r="AA3" s="41" t="s">
        <v>268</v>
      </c>
      <c r="AB3" s="41" t="s">
        <v>269</v>
      </c>
      <c r="AC3" s="41" t="s">
        <v>270</v>
      </c>
      <c r="AD3" s="41" t="s">
        <v>271</v>
      </c>
      <c r="AE3" s="41" t="s">
        <v>272</v>
      </c>
      <c r="AF3" s="41" t="s">
        <v>273</v>
      </c>
      <c r="AG3" s="41" t="s">
        <v>274</v>
      </c>
      <c r="AH3" s="41" t="s">
        <v>275</v>
      </c>
      <c r="AI3" s="41" t="s">
        <v>276</v>
      </c>
      <c r="AJ3" s="41" t="s">
        <v>277</v>
      </c>
      <c r="AK3" s="41" t="s">
        <v>278</v>
      </c>
      <c r="AL3" s="41" t="s">
        <v>279</v>
      </c>
      <c r="AM3" s="41" t="s">
        <v>280</v>
      </c>
      <c r="AN3" s="41" t="s">
        <v>281</v>
      </c>
      <c r="AO3" s="41" t="s">
        <v>282</v>
      </c>
      <c r="AP3" s="41" t="s">
        <v>283</v>
      </c>
      <c r="AQ3" s="41" t="s">
        <v>284</v>
      </c>
      <c r="AR3" s="41" t="s">
        <v>285</v>
      </c>
      <c r="AS3" s="41" t="s">
        <v>286</v>
      </c>
      <c r="AT3" s="41" t="s">
        <v>287</v>
      </c>
      <c r="AU3" s="41" t="s">
        <v>288</v>
      </c>
      <c r="AV3" s="41" t="s">
        <v>260</v>
      </c>
      <c r="AW3" s="41" t="s">
        <v>261</v>
      </c>
      <c r="AX3" s="41" t="s">
        <v>289</v>
      </c>
      <c r="AY3" s="41" t="s">
        <v>290</v>
      </c>
      <c r="AZ3" s="41" t="s">
        <v>291</v>
      </c>
      <c r="BA3" s="41" t="s">
        <v>43</v>
      </c>
      <c r="BB3" s="41" t="s">
        <v>44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L10002"/>
  <sheetViews>
    <sheetView workbookViewId="0"/>
  </sheetViews>
  <sheetFormatPr defaultRowHeight="15" x14ac:dyDescent="0.25"/>
  <cols>
    <col min="1" max="220" width="20.7109375" customWidth="1"/>
    <col min="221" max="221" width="20.7109375" style="66" customWidth="1"/>
    <col min="222" max="223" width="20.7109375" customWidth="1"/>
  </cols>
  <sheetData>
    <row r="1" spans="1:272" x14ac:dyDescent="0.25">
      <c r="D1">
        <v>4</v>
      </c>
    </row>
    <row r="2" spans="1:272" x14ac:dyDescent="0.25">
      <c r="JK2">
        <v>271</v>
      </c>
      <c r="JL2">
        <v>4</v>
      </c>
    </row>
    <row r="3" spans="1:272" ht="30" x14ac:dyDescent="0.25">
      <c r="A3" s="41" t="s">
        <v>16</v>
      </c>
      <c r="B3" s="41" t="s">
        <v>17</v>
      </c>
      <c r="C3" s="41" t="s">
        <v>18</v>
      </c>
      <c r="D3" s="41" t="s">
        <v>19</v>
      </c>
      <c r="E3" s="41" t="s">
        <v>20</v>
      </c>
      <c r="F3" s="41" t="s">
        <v>21</v>
      </c>
      <c r="G3" s="41" t="s">
        <v>22</v>
      </c>
      <c r="H3" s="41" t="s">
        <v>23</v>
      </c>
      <c r="I3" s="41" t="s">
        <v>24</v>
      </c>
      <c r="J3" s="41" t="s">
        <v>25</v>
      </c>
      <c r="K3" s="41" t="s">
        <v>26</v>
      </c>
      <c r="L3" s="41" t="s">
        <v>27</v>
      </c>
      <c r="M3" s="41" t="s">
        <v>28</v>
      </c>
      <c r="N3" s="41" t="s">
        <v>29</v>
      </c>
      <c r="O3" s="41" t="s">
        <v>30</v>
      </c>
      <c r="P3" s="41" t="s">
        <v>31</v>
      </c>
      <c r="Q3" s="41" t="s">
        <v>32</v>
      </c>
      <c r="R3" s="41" t="s">
        <v>33</v>
      </c>
      <c r="S3" s="41" t="s">
        <v>34</v>
      </c>
      <c r="T3" s="41" t="s">
        <v>35</v>
      </c>
      <c r="U3" s="41" t="s">
        <v>36</v>
      </c>
      <c r="V3" s="41" t="s">
        <v>37</v>
      </c>
      <c r="W3" s="41" t="s">
        <v>38</v>
      </c>
      <c r="X3" s="41" t="s">
        <v>39</v>
      </c>
      <c r="Y3" s="41" t="s">
        <v>40</v>
      </c>
      <c r="Z3" s="41" t="s">
        <v>41</v>
      </c>
      <c r="AA3" s="41" t="s">
        <v>46</v>
      </c>
      <c r="AB3" s="41" t="s">
        <v>47</v>
      </c>
      <c r="AC3" s="41" t="s">
        <v>48</v>
      </c>
      <c r="AD3" s="41" t="s">
        <v>49</v>
      </c>
      <c r="AE3" s="41" t="s">
        <v>50</v>
      </c>
      <c r="AF3" s="41" t="s">
        <v>51</v>
      </c>
      <c r="AG3" s="41" t="s">
        <v>52</v>
      </c>
      <c r="AH3" s="41" t="s">
        <v>53</v>
      </c>
      <c r="AI3" s="41" t="s">
        <v>54</v>
      </c>
      <c r="AJ3" s="41" t="s">
        <v>55</v>
      </c>
      <c r="AK3" s="41" t="s">
        <v>56</v>
      </c>
      <c r="AL3" s="41" t="s">
        <v>57</v>
      </c>
      <c r="AM3" s="41" t="s">
        <v>58</v>
      </c>
      <c r="AN3" s="41" t="s">
        <v>59</v>
      </c>
      <c r="AO3" s="41" t="s">
        <v>60</v>
      </c>
      <c r="AP3" s="41" t="s">
        <v>61</v>
      </c>
      <c r="AQ3" s="41" t="s">
        <v>62</v>
      </c>
      <c r="AR3" s="41" t="s">
        <v>63</v>
      </c>
      <c r="AS3" s="41" t="s">
        <v>64</v>
      </c>
      <c r="AT3" s="41" t="s">
        <v>65</v>
      </c>
      <c r="AU3" s="41" t="s">
        <v>66</v>
      </c>
      <c r="AV3" s="41" t="s">
        <v>67</v>
      </c>
      <c r="AW3" s="41" t="s">
        <v>68</v>
      </c>
      <c r="AX3" s="41" t="s">
        <v>69</v>
      </c>
      <c r="AY3" s="41" t="s">
        <v>70</v>
      </c>
      <c r="AZ3" s="41" t="s">
        <v>71</v>
      </c>
      <c r="BA3" s="41" t="s">
        <v>72</v>
      </c>
      <c r="BB3" s="41" t="s">
        <v>73</v>
      </c>
      <c r="BC3" s="41" t="s">
        <v>74</v>
      </c>
      <c r="BD3" s="41" t="s">
        <v>75</v>
      </c>
      <c r="BE3" s="41" t="s">
        <v>76</v>
      </c>
      <c r="BF3" s="41" t="s">
        <v>77</v>
      </c>
      <c r="BG3" s="41" t="s">
        <v>78</v>
      </c>
      <c r="BH3" s="41" t="s">
        <v>79</v>
      </c>
      <c r="BI3" s="41" t="s">
        <v>80</v>
      </c>
      <c r="BJ3" s="41" t="s">
        <v>81</v>
      </c>
      <c r="BK3" s="41" t="s">
        <v>82</v>
      </c>
      <c r="BL3" s="41" t="s">
        <v>83</v>
      </c>
      <c r="BM3" s="41" t="s">
        <v>84</v>
      </c>
      <c r="BN3" s="41" t="s">
        <v>85</v>
      </c>
      <c r="BO3" s="41" t="s">
        <v>86</v>
      </c>
      <c r="BP3" s="41" t="s">
        <v>87</v>
      </c>
      <c r="BQ3" s="41" t="s">
        <v>88</v>
      </c>
      <c r="BR3" s="41" t="s">
        <v>89</v>
      </c>
      <c r="BS3" s="41" t="s">
        <v>90</v>
      </c>
      <c r="BT3" s="41" t="s">
        <v>91</v>
      </c>
      <c r="BU3" s="41" t="s">
        <v>92</v>
      </c>
      <c r="BV3" s="41" t="s">
        <v>93</v>
      </c>
      <c r="BW3" s="41" t="s">
        <v>94</v>
      </c>
      <c r="BX3" s="41" t="s">
        <v>95</v>
      </c>
      <c r="BY3" s="41" t="s">
        <v>96</v>
      </c>
      <c r="BZ3" s="41" t="s">
        <v>97</v>
      </c>
      <c r="CA3" s="41" t="s">
        <v>98</v>
      </c>
      <c r="CB3" s="41" t="s">
        <v>99</v>
      </c>
      <c r="CC3" s="41" t="s">
        <v>100</v>
      </c>
      <c r="CD3" s="41" t="s">
        <v>101</v>
      </c>
      <c r="CE3" s="41" t="s">
        <v>102</v>
      </c>
      <c r="CF3" s="41" t="s">
        <v>103</v>
      </c>
      <c r="CG3" s="41" t="s">
        <v>104</v>
      </c>
      <c r="CH3" s="41" t="s">
        <v>105</v>
      </c>
      <c r="CI3" s="41" t="s">
        <v>106</v>
      </c>
      <c r="CJ3" s="41" t="s">
        <v>107</v>
      </c>
      <c r="CK3" s="41" t="s">
        <v>108</v>
      </c>
      <c r="CL3" s="41" t="s">
        <v>109</v>
      </c>
      <c r="CM3" s="41" t="s">
        <v>110</v>
      </c>
      <c r="CN3" s="41" t="s">
        <v>111</v>
      </c>
      <c r="CO3" s="41" t="s">
        <v>112</v>
      </c>
      <c r="CP3" s="41" t="s">
        <v>113</v>
      </c>
      <c r="CQ3" s="41" t="s">
        <v>114</v>
      </c>
      <c r="CR3" s="41" t="s">
        <v>115</v>
      </c>
      <c r="CS3" s="41" t="s">
        <v>116</v>
      </c>
      <c r="CT3" s="41" t="s">
        <v>117</v>
      </c>
      <c r="CU3" s="41" t="s">
        <v>118</v>
      </c>
      <c r="CV3" s="41" t="s">
        <v>119</v>
      </c>
      <c r="CW3" s="41" t="s">
        <v>120</v>
      </c>
      <c r="CX3" s="41" t="s">
        <v>121</v>
      </c>
      <c r="CY3" s="41" t="s">
        <v>122</v>
      </c>
      <c r="CZ3" s="41" t="s">
        <v>123</v>
      </c>
      <c r="DA3" s="41" t="s">
        <v>124</v>
      </c>
      <c r="DB3" s="41" t="s">
        <v>125</v>
      </c>
      <c r="DC3" s="41" t="s">
        <v>126</v>
      </c>
      <c r="DD3" s="41" t="s">
        <v>127</v>
      </c>
      <c r="DE3" s="41" t="s">
        <v>128</v>
      </c>
      <c r="DF3" s="41" t="s">
        <v>129</v>
      </c>
      <c r="DG3" s="41" t="s">
        <v>130</v>
      </c>
      <c r="DH3" s="41" t="s">
        <v>131</v>
      </c>
      <c r="DI3" s="41" t="s">
        <v>132</v>
      </c>
      <c r="DJ3" s="41" t="s">
        <v>133</v>
      </c>
      <c r="DK3" s="41" t="s">
        <v>134</v>
      </c>
      <c r="DL3" s="41" t="s">
        <v>135</v>
      </c>
      <c r="DM3" s="41" t="s">
        <v>136</v>
      </c>
      <c r="DN3" s="41" t="s">
        <v>137</v>
      </c>
      <c r="DO3" s="41" t="s">
        <v>138</v>
      </c>
      <c r="DP3" s="41" t="s">
        <v>139</v>
      </c>
      <c r="DQ3" s="41" t="s">
        <v>140</v>
      </c>
      <c r="DR3" s="41" t="s">
        <v>141</v>
      </c>
      <c r="DS3" s="41" t="s">
        <v>142</v>
      </c>
      <c r="DT3" s="41" t="s">
        <v>143</v>
      </c>
      <c r="DU3" s="41" t="s">
        <v>144</v>
      </c>
      <c r="DV3" s="41" t="s">
        <v>145</v>
      </c>
      <c r="DW3" s="41" t="s">
        <v>146</v>
      </c>
      <c r="DX3" s="41" t="s">
        <v>147</v>
      </c>
      <c r="DY3" s="41" t="s">
        <v>148</v>
      </c>
      <c r="DZ3" s="41" t="s">
        <v>149</v>
      </c>
      <c r="EA3" s="41" t="s">
        <v>150</v>
      </c>
      <c r="EB3" s="41" t="s">
        <v>151</v>
      </c>
      <c r="EC3" s="41" t="s">
        <v>152</v>
      </c>
      <c r="ED3" s="41" t="s">
        <v>153</v>
      </c>
      <c r="EE3" s="41" t="s">
        <v>154</v>
      </c>
      <c r="EF3" s="41" t="s">
        <v>155</v>
      </c>
      <c r="EG3" s="41" t="s">
        <v>156</v>
      </c>
      <c r="EH3" s="41" t="s">
        <v>157</v>
      </c>
      <c r="EI3" s="41" t="s">
        <v>158</v>
      </c>
      <c r="EJ3" s="41" t="s">
        <v>159</v>
      </c>
      <c r="EK3" s="41" t="s">
        <v>160</v>
      </c>
      <c r="EL3" s="41" t="s">
        <v>161</v>
      </c>
      <c r="EM3" s="41" t="s">
        <v>162</v>
      </c>
      <c r="EN3" s="41" t="s">
        <v>163</v>
      </c>
      <c r="EO3" s="41" t="s">
        <v>164</v>
      </c>
      <c r="EP3" s="41" t="s">
        <v>165</v>
      </c>
      <c r="EQ3" s="41" t="s">
        <v>166</v>
      </c>
      <c r="ER3" s="41" t="s">
        <v>167</v>
      </c>
      <c r="ES3" s="41" t="s">
        <v>168</v>
      </c>
      <c r="ET3" s="41" t="s">
        <v>169</v>
      </c>
      <c r="EU3" s="41" t="s">
        <v>170</v>
      </c>
      <c r="EV3" s="41" t="s">
        <v>171</v>
      </c>
      <c r="EW3" s="41" t="s">
        <v>172</v>
      </c>
      <c r="EX3" s="41" t="s">
        <v>173</v>
      </c>
      <c r="EY3" s="41" t="s">
        <v>174</v>
      </c>
      <c r="EZ3" s="41" t="s">
        <v>175</v>
      </c>
      <c r="FA3" s="41" t="s">
        <v>176</v>
      </c>
      <c r="FB3" s="41" t="s">
        <v>177</v>
      </c>
      <c r="FC3" s="41" t="s">
        <v>178</v>
      </c>
      <c r="FD3" s="41" t="s">
        <v>179</v>
      </c>
      <c r="FE3" s="41" t="s">
        <v>180</v>
      </c>
      <c r="FF3" s="41" t="s">
        <v>181</v>
      </c>
      <c r="FG3" s="41" t="s">
        <v>182</v>
      </c>
      <c r="FH3" s="41" t="s">
        <v>183</v>
      </c>
      <c r="FI3" s="41" t="s">
        <v>184</v>
      </c>
      <c r="FJ3" s="41" t="s">
        <v>185</v>
      </c>
      <c r="FK3" s="41" t="s">
        <v>186</v>
      </c>
      <c r="FL3" s="41" t="s">
        <v>187</v>
      </c>
      <c r="FM3" s="41" t="s">
        <v>188</v>
      </c>
      <c r="FN3" s="41" t="s">
        <v>189</v>
      </c>
      <c r="FO3" s="41" t="s">
        <v>190</v>
      </c>
      <c r="FP3" s="41" t="s">
        <v>191</v>
      </c>
      <c r="FQ3" s="41" t="s">
        <v>192</v>
      </c>
      <c r="FR3" s="41" t="s">
        <v>193</v>
      </c>
      <c r="FS3" s="41" t="s">
        <v>194</v>
      </c>
      <c r="FT3" s="41" t="s">
        <v>195</v>
      </c>
      <c r="FU3" s="41" t="s">
        <v>196</v>
      </c>
      <c r="FV3" s="41" t="s">
        <v>197</v>
      </c>
      <c r="FW3" s="41" t="s">
        <v>198</v>
      </c>
      <c r="FX3" s="41" t="s">
        <v>199</v>
      </c>
      <c r="FY3" s="41" t="s">
        <v>200</v>
      </c>
      <c r="FZ3" s="41" t="s">
        <v>201</v>
      </c>
      <c r="GA3" s="41" t="s">
        <v>202</v>
      </c>
      <c r="GB3" s="41" t="s">
        <v>203</v>
      </c>
      <c r="GC3" s="41" t="s">
        <v>204</v>
      </c>
      <c r="GD3" s="41" t="s">
        <v>205</v>
      </c>
      <c r="GE3" s="41" t="s">
        <v>206</v>
      </c>
      <c r="GF3" s="41" t="s">
        <v>207</v>
      </c>
      <c r="GG3" s="41" t="s">
        <v>208</v>
      </c>
      <c r="GH3" s="41" t="s">
        <v>209</v>
      </c>
      <c r="GI3" s="41" t="s">
        <v>210</v>
      </c>
      <c r="GJ3" s="41" t="s">
        <v>211</v>
      </c>
      <c r="GK3" s="41" t="s">
        <v>212</v>
      </c>
      <c r="GL3" s="41" t="s">
        <v>213</v>
      </c>
      <c r="GM3" s="41" t="s">
        <v>214</v>
      </c>
      <c r="GN3" s="41" t="s">
        <v>215</v>
      </c>
      <c r="GO3" s="41" t="s">
        <v>216</v>
      </c>
      <c r="GP3" s="41" t="s">
        <v>217</v>
      </c>
      <c r="GQ3" s="41" t="s">
        <v>218</v>
      </c>
      <c r="GR3" s="41" t="s">
        <v>219</v>
      </c>
      <c r="GS3" s="41" t="s">
        <v>220</v>
      </c>
      <c r="GT3" s="41" t="s">
        <v>221</v>
      </c>
      <c r="GU3" s="41" t="s">
        <v>222</v>
      </c>
      <c r="GV3" s="41" t="s">
        <v>223</v>
      </c>
      <c r="GW3" s="41" t="s">
        <v>224</v>
      </c>
      <c r="GX3" s="41" t="s">
        <v>225</v>
      </c>
      <c r="GY3" s="41" t="s">
        <v>226</v>
      </c>
      <c r="GZ3" s="41" t="s">
        <v>227</v>
      </c>
      <c r="HA3" s="41" t="s">
        <v>228</v>
      </c>
      <c r="HB3" s="41" t="s">
        <v>229</v>
      </c>
      <c r="HC3" s="41" t="s">
        <v>230</v>
      </c>
      <c r="HD3" s="41" t="s">
        <v>231</v>
      </c>
      <c r="HE3" s="41" t="s">
        <v>232</v>
      </c>
      <c r="HF3" s="41" t="s">
        <v>233</v>
      </c>
      <c r="HG3" s="41" t="s">
        <v>234</v>
      </c>
      <c r="HH3" s="41" t="s">
        <v>235</v>
      </c>
      <c r="HI3" s="41" t="s">
        <v>240</v>
      </c>
      <c r="HJ3" s="41" t="s">
        <v>241</v>
      </c>
      <c r="HK3" s="41"/>
      <c r="HL3" s="41" t="s">
        <v>42</v>
      </c>
      <c r="HM3" s="65"/>
      <c r="HN3" s="41" t="s">
        <v>43</v>
      </c>
      <c r="HO3" s="41" t="s">
        <v>44</v>
      </c>
      <c r="HP3" t="s">
        <v>45</v>
      </c>
      <c r="JK3" s="41" t="s">
        <v>236</v>
      </c>
      <c r="JL3" s="41" t="s">
        <v>237</v>
      </c>
    </row>
    <row r="10001" spans="271:272" x14ac:dyDescent="0.25">
      <c r="JK10001">
        <v>271</v>
      </c>
      <c r="JL10001">
        <v>10003</v>
      </c>
    </row>
    <row r="10002" spans="271:272" ht="45" x14ac:dyDescent="0.25">
      <c r="JK10002" s="41" t="s">
        <v>238</v>
      </c>
      <c r="JL10002" s="41" t="s">
        <v>239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309"/>
  <sheetViews>
    <sheetView tabSelected="1" zoomScale="80" workbookViewId="0">
      <pane xSplit="3" ySplit="10" topLeftCell="D300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2210992.2500000005</v>
      </c>
      <c r="E12" s="4"/>
      <c r="F12" s="12"/>
      <c r="G12" s="4"/>
      <c r="H12" s="4">
        <f>SUM(OSRRefH13x_0)</f>
        <v>4218295.5499999961</v>
      </c>
      <c r="I12" s="4"/>
      <c r="J12" s="12"/>
      <c r="K12" s="4"/>
      <c r="L12" s="4">
        <f t="shared" ref="L12:L125" si="0">+D12-H12</f>
        <v>-2007303.2999999956</v>
      </c>
      <c r="M12" s="4"/>
      <c r="N12" s="12">
        <f t="shared" ref="N12:N125" si="1">IF(H12=0,0,L12/H12)</f>
        <v>-0.47585648663237867</v>
      </c>
      <c r="O12" s="10"/>
      <c r="P12" s="4">
        <f>SUM(OSRRefP13x_0)</f>
        <v>2687900.4</v>
      </c>
      <c r="Q12" s="4"/>
      <c r="R12" s="12"/>
      <c r="S12" s="4"/>
      <c r="T12" s="4">
        <f>SUM(OSRRefT13x_0)</f>
        <v>5725206.9299999988</v>
      </c>
      <c r="U12" s="4"/>
      <c r="V12" s="12"/>
      <c r="W12" s="4"/>
      <c r="X12" s="4">
        <f t="shared" ref="X12:X125" si="2">+P12-T12</f>
        <v>-3037306.5299999989</v>
      </c>
      <c r="Y12" s="4"/>
      <c r="Z12" s="12">
        <f t="shared" ref="Z12:Z125" si="3">IF(T12=0,0,X12/T12)</f>
        <v>-0.53051471626022073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-18033.67</f>
        <v>-18033.669999999998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-18033.669999999998</v>
      </c>
      <c r="M13" s="2"/>
      <c r="N13" s="19">
        <f t="shared" si="1"/>
        <v>0</v>
      </c>
      <c r="O13" s="11"/>
      <c r="P13" s="2">
        <f>-29128.04</f>
        <v>-29128.04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-29128.04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19"/>
      <c r="G14" s="2"/>
      <c r="H14" s="2">
        <f>--1090909.72</f>
        <v>1090909.72</v>
      </c>
      <c r="I14" s="2"/>
      <c r="J14" s="19"/>
      <c r="K14" s="2"/>
      <c r="L14" s="2">
        <f t="shared" si="0"/>
        <v>-518660.25</v>
      </c>
      <c r="M14" s="2"/>
      <c r="N14" s="19">
        <f t="shared" si="1"/>
        <v>-0.4754382883305871</v>
      </c>
      <c r="O14" s="11"/>
      <c r="P14" s="2">
        <f>--584197.32</f>
        <v>584197.31999999995</v>
      </c>
      <c r="Q14" s="2"/>
      <c r="R14" s="19"/>
      <c r="S14" s="2"/>
      <c r="T14" s="2">
        <f>--1127221.97</f>
        <v>1127221.97</v>
      </c>
      <c r="U14" s="2"/>
      <c r="V14" s="19"/>
      <c r="W14" s="2"/>
      <c r="X14" s="2">
        <f t="shared" si="2"/>
        <v>-543024.65</v>
      </c>
      <c r="Y14" s="2"/>
      <c r="Z14" s="19">
        <f t="shared" si="3"/>
        <v>-0.48173710631278777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19"/>
      <c r="G15" s="2"/>
      <c r="H15" s="2">
        <f>--533666.11</f>
        <v>533666.11</v>
      </c>
      <c r="I15" s="2"/>
      <c r="J15" s="19"/>
      <c r="K15" s="2"/>
      <c r="L15" s="2">
        <f t="shared" si="0"/>
        <v>-268083.28999999998</v>
      </c>
      <c r="M15" s="2"/>
      <c r="N15" s="19">
        <f t="shared" si="1"/>
        <v>-0.50234272886468279</v>
      </c>
      <c r="O15" s="11"/>
      <c r="P15" s="2">
        <f>--278612.16</f>
        <v>278612.15999999997</v>
      </c>
      <c r="Q15" s="2"/>
      <c r="R15" s="19"/>
      <c r="S15" s="2"/>
      <c r="T15" s="2">
        <f>--555460.92</f>
        <v>555460.92000000004</v>
      </c>
      <c r="U15" s="2"/>
      <c r="V15" s="19"/>
      <c r="W15" s="2"/>
      <c r="X15" s="2">
        <f t="shared" si="2"/>
        <v>-276848.76000000007</v>
      </c>
      <c r="Y15" s="2"/>
      <c r="Z15" s="19">
        <f t="shared" si="3"/>
        <v>-0.49841266960779174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19"/>
      <c r="G16" s="2"/>
      <c r="H16" s="2">
        <f>--12302.07</f>
        <v>12302.07</v>
      </c>
      <c r="I16" s="2"/>
      <c r="J16" s="19"/>
      <c r="K16" s="2"/>
      <c r="L16" s="2">
        <f t="shared" si="0"/>
        <v>-3246.2299999999996</v>
      </c>
      <c r="M16" s="2"/>
      <c r="N16" s="19">
        <f t="shared" si="1"/>
        <v>-0.26387672968858084</v>
      </c>
      <c r="O16" s="11"/>
      <c r="P16" s="2">
        <f>--9055.84</f>
        <v>9055.84</v>
      </c>
      <c r="Q16" s="2"/>
      <c r="R16" s="19"/>
      <c r="S16" s="2"/>
      <c r="T16" s="2">
        <f>--12736.05</f>
        <v>12736.05</v>
      </c>
      <c r="U16" s="2"/>
      <c r="V16" s="19"/>
      <c r="W16" s="2"/>
      <c r="X16" s="2">
        <f t="shared" si="2"/>
        <v>-3680.2099999999991</v>
      </c>
      <c r="Y16" s="2"/>
      <c r="Z16" s="19">
        <f t="shared" si="3"/>
        <v>-0.28896007788914141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19"/>
      <c r="G17" s="2"/>
      <c r="H17" s="2">
        <f>--22276.72</f>
        <v>22276.720000000001</v>
      </c>
      <c r="I17" s="2"/>
      <c r="J17" s="19"/>
      <c r="K17" s="2"/>
      <c r="L17" s="2">
        <f t="shared" si="0"/>
        <v>-20455.830000000002</v>
      </c>
      <c r="M17" s="2"/>
      <c r="N17" s="19">
        <f t="shared" si="1"/>
        <v>-0.91826040817499166</v>
      </c>
      <c r="O17" s="11"/>
      <c r="P17" s="2">
        <f>--1820.89</f>
        <v>1820.89</v>
      </c>
      <c r="Q17" s="2"/>
      <c r="R17" s="19"/>
      <c r="S17" s="2"/>
      <c r="T17" s="2">
        <f>--22410.07</f>
        <v>22410.07</v>
      </c>
      <c r="U17" s="2"/>
      <c r="V17" s="19"/>
      <c r="W17" s="2"/>
      <c r="X17" s="2">
        <f t="shared" si="2"/>
        <v>-20589.18</v>
      </c>
      <c r="Y17" s="2"/>
      <c r="Z17" s="19">
        <f t="shared" si="3"/>
        <v>-0.9187467955254045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19"/>
      <c r="G18" s="2"/>
      <c r="H18" s="2">
        <f>--70.86</f>
        <v>70.86</v>
      </c>
      <c r="I18" s="2"/>
      <c r="J18" s="19"/>
      <c r="K18" s="2"/>
      <c r="L18" s="2">
        <f t="shared" si="0"/>
        <v>-30.96</v>
      </c>
      <c r="M18" s="2"/>
      <c r="N18" s="19">
        <f t="shared" si="1"/>
        <v>-0.436917866215072</v>
      </c>
      <c r="O18" s="11"/>
      <c r="P18" s="2">
        <f>--39.9</f>
        <v>39.9</v>
      </c>
      <c r="Q18" s="2"/>
      <c r="R18" s="19"/>
      <c r="S18" s="2"/>
      <c r="T18" s="2">
        <f>--110.81</f>
        <v>110.81</v>
      </c>
      <c r="U18" s="2"/>
      <c r="V18" s="19"/>
      <c r="W18" s="2"/>
      <c r="X18" s="2">
        <f t="shared" si="2"/>
        <v>-70.91</v>
      </c>
      <c r="Y18" s="2"/>
      <c r="Z18" s="19">
        <f t="shared" si="3"/>
        <v>-0.63992419456727723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19"/>
      <c r="G19" s="2"/>
      <c r="H19" s="2">
        <f>--175</f>
        <v>175</v>
      </c>
      <c r="I19" s="2"/>
      <c r="J19" s="19"/>
      <c r="K19" s="2"/>
      <c r="L19" s="2">
        <f t="shared" si="0"/>
        <v>9.0000000000003411E-2</v>
      </c>
      <c r="M19" s="2"/>
      <c r="N19" s="19">
        <f t="shared" si="1"/>
        <v>5.1428571428573382E-4</v>
      </c>
      <c r="O19" s="11"/>
      <c r="P19" s="2">
        <f>--206.93</f>
        <v>206.93</v>
      </c>
      <c r="Q19" s="2"/>
      <c r="R19" s="19"/>
      <c r="S19" s="2"/>
      <c r="T19" s="2">
        <f>--425.65</f>
        <v>425.65</v>
      </c>
      <c r="U19" s="2"/>
      <c r="V19" s="19"/>
      <c r="W19" s="2"/>
      <c r="X19" s="2">
        <f t="shared" si="2"/>
        <v>-218.71999999999997</v>
      </c>
      <c r="Y19" s="2"/>
      <c r="Z19" s="19">
        <f t="shared" si="3"/>
        <v>-0.51384940678961588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0</f>
        <v>0</v>
      </c>
      <c r="E20" s="2"/>
      <c r="F20" s="19"/>
      <c r="G20" s="2"/>
      <c r="H20" s="2">
        <f>--152.83</f>
        <v>152.83000000000001</v>
      </c>
      <c r="I20" s="2"/>
      <c r="J20" s="19"/>
      <c r="K20" s="2"/>
      <c r="L20" s="2">
        <f t="shared" si="0"/>
        <v>-152.83000000000001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--157.3</f>
        <v>157.30000000000001</v>
      </c>
      <c r="U20" s="2"/>
      <c r="V20" s="19"/>
      <c r="W20" s="2"/>
      <c r="X20" s="2">
        <f t="shared" si="2"/>
        <v>-157.30000000000001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--118.03</f>
        <v>118.03</v>
      </c>
      <c r="E21" s="2"/>
      <c r="F21" s="19"/>
      <c r="G21" s="2"/>
      <c r="H21" s="2">
        <f>--1184.84</f>
        <v>1184.8399999999999</v>
      </c>
      <c r="I21" s="2"/>
      <c r="J21" s="19"/>
      <c r="K21" s="2"/>
      <c r="L21" s="2">
        <f t="shared" si="0"/>
        <v>-1066.81</v>
      </c>
      <c r="M21" s="2"/>
      <c r="N21" s="19">
        <f t="shared" si="1"/>
        <v>-0.90038317409945645</v>
      </c>
      <c r="O21" s="11"/>
      <c r="P21" s="2">
        <f>--135.02</f>
        <v>135.02000000000001</v>
      </c>
      <c r="Q21" s="2"/>
      <c r="R21" s="19"/>
      <c r="S21" s="2"/>
      <c r="T21" s="2">
        <f>--1364.13</f>
        <v>1364.13</v>
      </c>
      <c r="U21" s="2"/>
      <c r="V21" s="19"/>
      <c r="W21" s="2"/>
      <c r="X21" s="2">
        <f t="shared" si="2"/>
        <v>-1229.1100000000001</v>
      </c>
      <c r="Y21" s="2"/>
      <c r="Z21" s="19">
        <f t="shared" si="3"/>
        <v>-0.90102116367208407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 t="shared" ref="D22:D24" si="4">0</f>
        <v>0</v>
      </c>
      <c r="E22" s="2"/>
      <c r="F22" s="19"/>
      <c r="G22" s="2"/>
      <c r="H22" s="2">
        <f>--14.95</f>
        <v>14.95</v>
      </c>
      <c r="I22" s="2"/>
      <c r="J22" s="19"/>
      <c r="K22" s="2"/>
      <c r="L22" s="2">
        <f t="shared" si="0"/>
        <v>-14.95</v>
      </c>
      <c r="M22" s="2"/>
      <c r="N22" s="19">
        <f t="shared" si="1"/>
        <v>-1</v>
      </c>
      <c r="O22" s="11"/>
      <c r="P22" s="2">
        <f t="shared" ref="P22:P23" si="5">0</f>
        <v>0</v>
      </c>
      <c r="Q22" s="2"/>
      <c r="R22" s="19"/>
      <c r="S22" s="2"/>
      <c r="T22" s="2">
        <f>--14.95</f>
        <v>14.95</v>
      </c>
      <c r="U22" s="2"/>
      <c r="V22" s="19"/>
      <c r="W22" s="2"/>
      <c r="X22" s="2">
        <f t="shared" si="2"/>
        <v>-14.95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 t="shared" si="4"/>
        <v>0</v>
      </c>
      <c r="E23" s="2"/>
      <c r="F23" s="19"/>
      <c r="G23" s="2"/>
      <c r="H23" s="2">
        <f>--4066.24</f>
        <v>4066.24</v>
      </c>
      <c r="I23" s="2"/>
      <c r="J23" s="19"/>
      <c r="K23" s="2"/>
      <c r="L23" s="2">
        <f t="shared" si="0"/>
        <v>-4066.24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--4458.53</f>
        <v>4458.53</v>
      </c>
      <c r="U23" s="2"/>
      <c r="V23" s="19"/>
      <c r="W23" s="2"/>
      <c r="X23" s="2">
        <f t="shared" si="2"/>
        <v>-4458.53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 t="shared" si="4"/>
        <v>0</v>
      </c>
      <c r="E24" s="2"/>
      <c r="F24" s="19"/>
      <c r="G24" s="2"/>
      <c r="H24" s="2">
        <f>--10841.03</f>
        <v>10841.03</v>
      </c>
      <c r="I24" s="2"/>
      <c r="J24" s="19"/>
      <c r="K24" s="2"/>
      <c r="L24" s="2">
        <f t="shared" si="0"/>
        <v>-10841.03</v>
      </c>
      <c r="M24" s="2"/>
      <c r="N24" s="19">
        <f t="shared" si="1"/>
        <v>-1</v>
      </c>
      <c r="O24" s="11"/>
      <c r="P24" s="2">
        <f>--236.56</f>
        <v>236.56</v>
      </c>
      <c r="Q24" s="2"/>
      <c r="R24" s="19"/>
      <c r="S24" s="2"/>
      <c r="T24" s="2">
        <f>--12776.54</f>
        <v>12776.54</v>
      </c>
      <c r="U24" s="2"/>
      <c r="V24" s="19"/>
      <c r="W24" s="2"/>
      <c r="X24" s="2">
        <f t="shared" si="2"/>
        <v>-12539.980000000001</v>
      </c>
      <c r="Y24" s="2"/>
      <c r="Z24" s="19">
        <f t="shared" si="3"/>
        <v>-0.98148481513774466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--20247.89</f>
        <v>20247.89</v>
      </c>
      <c r="E25" s="2"/>
      <c r="F25" s="19"/>
      <c r="G25" s="2"/>
      <c r="H25" s="2">
        <f>--65949.25</f>
        <v>65949.25</v>
      </c>
      <c r="I25" s="2"/>
      <c r="J25" s="19"/>
      <c r="K25" s="2"/>
      <c r="L25" s="2">
        <f t="shared" si="0"/>
        <v>-45701.36</v>
      </c>
      <c r="M25" s="2"/>
      <c r="N25" s="19">
        <f t="shared" si="1"/>
        <v>-0.69297770634237688</v>
      </c>
      <c r="O25" s="11"/>
      <c r="P25" s="2">
        <f>--21901.06</f>
        <v>21901.06</v>
      </c>
      <c r="Q25" s="2"/>
      <c r="R25" s="19"/>
      <c r="S25" s="2"/>
      <c r="T25" s="2">
        <f>--79099.25</f>
        <v>79099.25</v>
      </c>
      <c r="U25" s="2"/>
      <c r="V25" s="19"/>
      <c r="W25" s="2"/>
      <c r="X25" s="2">
        <f t="shared" si="2"/>
        <v>-57198.19</v>
      </c>
      <c r="Y25" s="2"/>
      <c r="Z25" s="19">
        <f t="shared" si="3"/>
        <v>-0.72311924575770314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--9671.25</f>
        <v>9671.25</v>
      </c>
      <c r="E26" s="2"/>
      <c r="F26" s="19"/>
      <c r="G26" s="2"/>
      <c r="H26" s="2">
        <f>--46631.39</f>
        <v>46631.39</v>
      </c>
      <c r="I26" s="2"/>
      <c r="J26" s="19"/>
      <c r="K26" s="2"/>
      <c r="L26" s="2">
        <f t="shared" si="0"/>
        <v>-36960.14</v>
      </c>
      <c r="M26" s="2"/>
      <c r="N26" s="19">
        <f t="shared" si="1"/>
        <v>-0.79260215061142292</v>
      </c>
      <c r="O26" s="11"/>
      <c r="P26" s="2">
        <f>--9691.1</f>
        <v>9691.1</v>
      </c>
      <c r="Q26" s="2"/>
      <c r="R26" s="19"/>
      <c r="S26" s="2"/>
      <c r="T26" s="2">
        <f>--48915.55</f>
        <v>48915.55</v>
      </c>
      <c r="U26" s="2"/>
      <c r="V26" s="19"/>
      <c r="W26" s="2"/>
      <c r="X26" s="2">
        <f t="shared" si="2"/>
        <v>-39224.450000000004</v>
      </c>
      <c r="Y26" s="2"/>
      <c r="Z26" s="19">
        <f t="shared" si="3"/>
        <v>-0.80188099694268999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--532.51</f>
        <v>532.51</v>
      </c>
      <c r="E27" s="2"/>
      <c r="F27" s="19"/>
      <c r="G27" s="2"/>
      <c r="H27" s="2">
        <f>--30.82</f>
        <v>30.82</v>
      </c>
      <c r="I27" s="2"/>
      <c r="J27" s="19"/>
      <c r="K27" s="2"/>
      <c r="L27" s="2">
        <f t="shared" si="0"/>
        <v>501.69</v>
      </c>
      <c r="M27" s="2"/>
      <c r="N27" s="19">
        <f t="shared" si="1"/>
        <v>16.278066190785204</v>
      </c>
      <c r="O27" s="11"/>
      <c r="P27" s="2">
        <f>--552.26</f>
        <v>552.26</v>
      </c>
      <c r="Q27" s="2"/>
      <c r="R27" s="19"/>
      <c r="S27" s="2"/>
      <c r="T27" s="2">
        <f>--32.34</f>
        <v>32.340000000000003</v>
      </c>
      <c r="U27" s="2"/>
      <c r="V27" s="19"/>
      <c r="W27" s="2"/>
      <c r="X27" s="2">
        <f t="shared" si="2"/>
        <v>519.91999999999996</v>
      </c>
      <c r="Y27" s="2"/>
      <c r="Z27" s="19">
        <f t="shared" si="3"/>
        <v>16.076685219542359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--88.2</f>
        <v>88.2</v>
      </c>
      <c r="E28" s="2"/>
      <c r="F28" s="19"/>
      <c r="G28" s="2"/>
      <c r="H28" s="2">
        <f>--17871.46</f>
        <v>17871.46</v>
      </c>
      <c r="I28" s="2"/>
      <c r="J28" s="19"/>
      <c r="K28" s="2"/>
      <c r="L28" s="2">
        <f t="shared" si="0"/>
        <v>-17783.259999999998</v>
      </c>
      <c r="M28" s="2"/>
      <c r="N28" s="19">
        <f t="shared" si="1"/>
        <v>-0.99506475688052343</v>
      </c>
      <c r="O28" s="11"/>
      <c r="P28" s="2">
        <f>--88.2</f>
        <v>88.2</v>
      </c>
      <c r="Q28" s="2"/>
      <c r="R28" s="19"/>
      <c r="S28" s="2"/>
      <c r="T28" s="2">
        <f>--24753.19</f>
        <v>24753.19</v>
      </c>
      <c r="U28" s="2"/>
      <c r="V28" s="19"/>
      <c r="W28" s="2"/>
      <c r="X28" s="2">
        <f t="shared" si="2"/>
        <v>-24664.989999999998</v>
      </c>
      <c r="Y28" s="2"/>
      <c r="Z28" s="19">
        <f t="shared" si="3"/>
        <v>-0.99643682289030222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 t="shared" ref="D29:D32" si="6">0</f>
        <v>0</v>
      </c>
      <c r="E29" s="2"/>
      <c r="F29" s="19"/>
      <c r="G29" s="2"/>
      <c r="H29" s="2">
        <f>--9.83</f>
        <v>9.83</v>
      </c>
      <c r="I29" s="2"/>
      <c r="J29" s="19"/>
      <c r="K29" s="2"/>
      <c r="L29" s="2">
        <f t="shared" si="0"/>
        <v>-9.83</v>
      </c>
      <c r="M29" s="2"/>
      <c r="N29" s="19">
        <f t="shared" si="1"/>
        <v>-1</v>
      </c>
      <c r="O29" s="11"/>
      <c r="P29" s="2">
        <f>0</f>
        <v>0</v>
      </c>
      <c r="Q29" s="2"/>
      <c r="R29" s="19"/>
      <c r="S29" s="2"/>
      <c r="T29" s="2">
        <f>--13</f>
        <v>13</v>
      </c>
      <c r="U29" s="2"/>
      <c r="V29" s="19"/>
      <c r="W29" s="2"/>
      <c r="X29" s="2">
        <f t="shared" si="2"/>
        <v>-13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 t="shared" si="6"/>
        <v>0</v>
      </c>
      <c r="E30" s="2"/>
      <c r="F30" s="19"/>
      <c r="G30" s="2"/>
      <c r="H30" s="2">
        <f>--638.45</f>
        <v>638.45000000000005</v>
      </c>
      <c r="I30" s="2"/>
      <c r="J30" s="19"/>
      <c r="K30" s="2"/>
      <c r="L30" s="2">
        <f t="shared" si="0"/>
        <v>-638.45000000000005</v>
      </c>
      <c r="M30" s="2"/>
      <c r="N30" s="19">
        <f t="shared" si="1"/>
        <v>-1</v>
      </c>
      <c r="O30" s="11"/>
      <c r="P30" s="2">
        <f>--6.78</f>
        <v>6.78</v>
      </c>
      <c r="Q30" s="2"/>
      <c r="R30" s="19"/>
      <c r="S30" s="2"/>
      <c r="T30" s="2">
        <f>--961.94</f>
        <v>961.94</v>
      </c>
      <c r="U30" s="2"/>
      <c r="V30" s="19"/>
      <c r="W30" s="2"/>
      <c r="X30" s="2">
        <f t="shared" si="2"/>
        <v>-955.16000000000008</v>
      </c>
      <c r="Y30" s="2"/>
      <c r="Z30" s="19">
        <f t="shared" si="3"/>
        <v>-0.99295174335197622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 t="shared" si="6"/>
        <v>0</v>
      </c>
      <c r="E31" s="2"/>
      <c r="F31" s="19"/>
      <c r="G31" s="2"/>
      <c r="H31" s="2">
        <f>--92.48</f>
        <v>92.48</v>
      </c>
      <c r="I31" s="2"/>
      <c r="J31" s="19"/>
      <c r="K31" s="2"/>
      <c r="L31" s="2">
        <f t="shared" si="0"/>
        <v>-92.48</v>
      </c>
      <c r="M31" s="2"/>
      <c r="N31" s="19">
        <f t="shared" si="1"/>
        <v>-1</v>
      </c>
      <c r="O31" s="11"/>
      <c r="P31" s="2">
        <f t="shared" ref="P31:P32" si="7">0</f>
        <v>0</v>
      </c>
      <c r="Q31" s="2"/>
      <c r="R31" s="19"/>
      <c r="S31" s="2"/>
      <c r="T31" s="2">
        <f>--98.45</f>
        <v>98.45</v>
      </c>
      <c r="U31" s="2"/>
      <c r="V31" s="19"/>
      <c r="W31" s="2"/>
      <c r="X31" s="2">
        <f t="shared" si="2"/>
        <v>-98.45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 t="shared" si="6"/>
        <v>0</v>
      </c>
      <c r="E32" s="2"/>
      <c r="F32" s="19"/>
      <c r="G32" s="2"/>
      <c r="H32" s="2">
        <f>--36.88</f>
        <v>36.880000000000003</v>
      </c>
      <c r="I32" s="2"/>
      <c r="J32" s="19"/>
      <c r="K32" s="2"/>
      <c r="L32" s="2">
        <f t="shared" si="0"/>
        <v>-36.880000000000003</v>
      </c>
      <c r="M32" s="2"/>
      <c r="N32" s="19">
        <f t="shared" si="1"/>
        <v>-1</v>
      </c>
      <c r="O32" s="11"/>
      <c r="P32" s="2">
        <f t="shared" si="7"/>
        <v>0</v>
      </c>
      <c r="Q32" s="2"/>
      <c r="R32" s="19"/>
      <c r="S32" s="2"/>
      <c r="T32" s="2">
        <f>--42.17</f>
        <v>42.17</v>
      </c>
      <c r="U32" s="2"/>
      <c r="V32" s="19"/>
      <c r="W32" s="2"/>
      <c r="X32" s="2">
        <f t="shared" si="2"/>
        <v>-42.17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--177286.09</f>
        <v>177286.09</v>
      </c>
      <c r="E33" s="2"/>
      <c r="F33" s="19"/>
      <c r="G33" s="2"/>
      <c r="H33" s="2">
        <f>--219441.66</f>
        <v>219441.66</v>
      </c>
      <c r="I33" s="2"/>
      <c r="J33" s="19"/>
      <c r="K33" s="2"/>
      <c r="L33" s="2">
        <f t="shared" si="0"/>
        <v>-42155.570000000007</v>
      </c>
      <c r="M33" s="2"/>
      <c r="N33" s="19">
        <f t="shared" si="1"/>
        <v>-0.19210376917491423</v>
      </c>
      <c r="O33" s="11"/>
      <c r="P33" s="2">
        <f>--249578.35</f>
        <v>249578.35</v>
      </c>
      <c r="Q33" s="2"/>
      <c r="R33" s="19"/>
      <c r="S33" s="2"/>
      <c r="T33" s="2">
        <f>--389753.68</f>
        <v>389753.68</v>
      </c>
      <c r="U33" s="2"/>
      <c r="V33" s="19"/>
      <c r="W33" s="2"/>
      <c r="X33" s="2">
        <f t="shared" si="2"/>
        <v>-140175.32999999999</v>
      </c>
      <c r="Y33" s="2"/>
      <c r="Z33" s="19">
        <f t="shared" si="3"/>
        <v>-0.35965107500716859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--82120.65</f>
        <v>82120.649999999994</v>
      </c>
      <c r="E34" s="2"/>
      <c r="F34" s="19"/>
      <c r="G34" s="2"/>
      <c r="H34" s="2">
        <f>--120650.82</f>
        <v>120650.82</v>
      </c>
      <c r="I34" s="2"/>
      <c r="J34" s="19"/>
      <c r="K34" s="2"/>
      <c r="L34" s="2">
        <f t="shared" si="0"/>
        <v>-38530.170000000013</v>
      </c>
      <c r="M34" s="2"/>
      <c r="N34" s="19">
        <f t="shared" si="1"/>
        <v>-0.3193527404123736</v>
      </c>
      <c r="O34" s="11"/>
      <c r="P34" s="2">
        <f>--103309.56</f>
        <v>103309.56</v>
      </c>
      <c r="Q34" s="2"/>
      <c r="R34" s="19"/>
      <c r="S34" s="2"/>
      <c r="T34" s="2">
        <f>--151692.41</f>
        <v>151692.41</v>
      </c>
      <c r="U34" s="2"/>
      <c r="V34" s="19"/>
      <c r="W34" s="2"/>
      <c r="X34" s="2">
        <f t="shared" si="2"/>
        <v>-48382.850000000006</v>
      </c>
      <c r="Y34" s="2"/>
      <c r="Z34" s="19">
        <f t="shared" si="3"/>
        <v>-0.31895366419453686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--30421.14</f>
        <v>30421.14</v>
      </c>
      <c r="E35" s="2"/>
      <c r="F35" s="19"/>
      <c r="G35" s="2"/>
      <c r="H35" s="2">
        <f>--44445.92</f>
        <v>44445.919999999998</v>
      </c>
      <c r="I35" s="2"/>
      <c r="J35" s="19"/>
      <c r="K35" s="2"/>
      <c r="L35" s="2">
        <f t="shared" si="0"/>
        <v>-14024.779999999999</v>
      </c>
      <c r="M35" s="2"/>
      <c r="N35" s="19">
        <f t="shared" si="1"/>
        <v>-0.31554707383714858</v>
      </c>
      <c r="O35" s="11"/>
      <c r="P35" s="2">
        <f>--39925.04</f>
        <v>39925.040000000001</v>
      </c>
      <c r="Q35" s="2"/>
      <c r="R35" s="19"/>
      <c r="S35" s="2"/>
      <c r="T35" s="2">
        <f>--60038.97</f>
        <v>60038.97</v>
      </c>
      <c r="U35" s="2"/>
      <c r="V35" s="19"/>
      <c r="W35" s="2"/>
      <c r="X35" s="2">
        <f t="shared" si="2"/>
        <v>-20113.93</v>
      </c>
      <c r="Y35" s="2"/>
      <c r="Z35" s="19">
        <f t="shared" si="3"/>
        <v>-0.33501457470039875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--6768.27</f>
        <v>6768.27</v>
      </c>
      <c r="E36" s="2"/>
      <c r="F36" s="19"/>
      <c r="G36" s="2"/>
      <c r="H36" s="2">
        <f>--129.05</f>
        <v>129.05000000000001</v>
      </c>
      <c r="I36" s="2"/>
      <c r="J36" s="19"/>
      <c r="K36" s="2"/>
      <c r="L36" s="2">
        <f t="shared" si="0"/>
        <v>6639.22</v>
      </c>
      <c r="M36" s="2"/>
      <c r="N36" s="19">
        <f t="shared" si="1"/>
        <v>51.446881053855094</v>
      </c>
      <c r="O36" s="11"/>
      <c r="P36" s="2">
        <f>--6985.63</f>
        <v>6985.63</v>
      </c>
      <c r="Q36" s="2"/>
      <c r="R36" s="19"/>
      <c r="S36" s="2"/>
      <c r="T36" s="2">
        <f>--185.45</f>
        <v>185.45</v>
      </c>
      <c r="U36" s="2"/>
      <c r="V36" s="19"/>
      <c r="W36" s="2"/>
      <c r="X36" s="2">
        <f t="shared" si="2"/>
        <v>6800.18</v>
      </c>
      <c r="Y36" s="2"/>
      <c r="Z36" s="19">
        <f t="shared" si="3"/>
        <v>36.668535993529254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--6568.52</f>
        <v>6568.52</v>
      </c>
      <c r="E37" s="2"/>
      <c r="F37" s="19"/>
      <c r="G37" s="2"/>
      <c r="H37" s="2">
        <f>--19434.42</f>
        <v>19434.419999999998</v>
      </c>
      <c r="I37" s="2"/>
      <c r="J37" s="19"/>
      <c r="K37" s="2"/>
      <c r="L37" s="2">
        <f t="shared" si="0"/>
        <v>-12865.899999999998</v>
      </c>
      <c r="M37" s="2"/>
      <c r="N37" s="19">
        <f t="shared" si="1"/>
        <v>-0.66201615484279952</v>
      </c>
      <c r="O37" s="11"/>
      <c r="P37" s="2">
        <f>--8369.2</f>
        <v>8369.2000000000007</v>
      </c>
      <c r="Q37" s="2"/>
      <c r="R37" s="19"/>
      <c r="S37" s="2"/>
      <c r="T37" s="2">
        <f>--21777.07</f>
        <v>21777.07</v>
      </c>
      <c r="U37" s="2"/>
      <c r="V37" s="19"/>
      <c r="W37" s="2"/>
      <c r="X37" s="2">
        <f t="shared" si="2"/>
        <v>-13407.869999999999</v>
      </c>
      <c r="Y37" s="2"/>
      <c r="Z37" s="19">
        <f t="shared" si="3"/>
        <v>-0.61568750984406995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--46004.35</f>
        <v>46004.35</v>
      </c>
      <c r="E38" s="2"/>
      <c r="F38" s="19"/>
      <c r="G38" s="2"/>
      <c r="H38" s="2">
        <f>--6103.32</f>
        <v>6103.32</v>
      </c>
      <c r="I38" s="2"/>
      <c r="J38" s="19"/>
      <c r="K38" s="2"/>
      <c r="L38" s="2">
        <f t="shared" si="0"/>
        <v>39901.03</v>
      </c>
      <c r="M38" s="2"/>
      <c r="N38" s="19">
        <f t="shared" si="1"/>
        <v>6.5375942929422024</v>
      </c>
      <c r="O38" s="11"/>
      <c r="P38" s="2">
        <f>--89431.08</f>
        <v>89431.08</v>
      </c>
      <c r="Q38" s="2"/>
      <c r="R38" s="19"/>
      <c r="S38" s="2"/>
      <c r="T38" s="2">
        <f>--25524.04</f>
        <v>25524.04</v>
      </c>
      <c r="U38" s="2"/>
      <c r="V38" s="19"/>
      <c r="W38" s="2"/>
      <c r="X38" s="2">
        <f t="shared" si="2"/>
        <v>63907.040000000001</v>
      </c>
      <c r="Y38" s="2"/>
      <c r="Z38" s="19">
        <f t="shared" si="3"/>
        <v>2.5037979880927939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0</f>
        <v>0</v>
      </c>
      <c r="E39" s="2"/>
      <c r="F39" s="19"/>
      <c r="G39" s="2"/>
      <c r="H39" s="2">
        <f>--442.38</f>
        <v>442.38</v>
      </c>
      <c r="I39" s="2"/>
      <c r="J39" s="19"/>
      <c r="K39" s="2"/>
      <c r="L39" s="2">
        <f t="shared" si="0"/>
        <v>-442.38</v>
      </c>
      <c r="M39" s="2"/>
      <c r="N39" s="19">
        <f t="shared" si="1"/>
        <v>-1</v>
      </c>
      <c r="O39" s="11"/>
      <c r="P39" s="2">
        <f>0</f>
        <v>0</v>
      </c>
      <c r="Q39" s="2"/>
      <c r="R39" s="19"/>
      <c r="S39" s="2"/>
      <c r="T39" s="2">
        <f>--482.38</f>
        <v>482.38</v>
      </c>
      <c r="U39" s="2"/>
      <c r="V39" s="19"/>
      <c r="W39" s="2"/>
      <c r="X39" s="2">
        <f t="shared" si="2"/>
        <v>-482.38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"4051", " - ", "TAXABLE SALES-FOOD")</f>
        <v xml:space="preserve">          4051 - TAXABLE SALES-FOOD</v>
      </c>
      <c r="C40" s="11"/>
      <c r="D40" s="2">
        <f>--2510.72</f>
        <v>2510.7199999999998</v>
      </c>
      <c r="E40" s="2"/>
      <c r="F40" s="19"/>
      <c r="G40" s="2"/>
      <c r="H40" s="2">
        <f>--41756.26</f>
        <v>41756.26</v>
      </c>
      <c r="I40" s="2"/>
      <c r="J40" s="19"/>
      <c r="K40" s="2"/>
      <c r="L40" s="2">
        <f t="shared" si="0"/>
        <v>-39245.54</v>
      </c>
      <c r="M40" s="2"/>
      <c r="N40" s="19">
        <f t="shared" si="1"/>
        <v>-0.93987200961005601</v>
      </c>
      <c r="O40" s="11"/>
      <c r="P40" s="2">
        <f>--2510.72</f>
        <v>2510.7199999999998</v>
      </c>
      <c r="Q40" s="2"/>
      <c r="R40" s="19"/>
      <c r="S40" s="2"/>
      <c r="T40" s="2">
        <f>--64362.63</f>
        <v>64362.63</v>
      </c>
      <c r="U40" s="2"/>
      <c r="V40" s="19"/>
      <c r="W40" s="2"/>
      <c r="X40" s="2">
        <f t="shared" si="2"/>
        <v>-61851.909999999996</v>
      </c>
      <c r="Y40" s="2"/>
      <c r="Z40" s="19">
        <f t="shared" si="3"/>
        <v>-0.96099102848966855</v>
      </c>
    </row>
    <row r="41" spans="1:26" s="24" customFormat="1" hidden="1" outlineLevel="1" x14ac:dyDescent="0.25">
      <c r="A41" s="44"/>
      <c r="B41" s="11" t="str">
        <f>CONCATENATE("          ", "4052", " - ", "TAXABLE SALES-FOOD")</f>
        <v xml:space="preserve">          4052 - TAXABLE SALES-FOOD</v>
      </c>
      <c r="C41" s="11"/>
      <c r="D41" s="2">
        <f>0</f>
        <v>0</v>
      </c>
      <c r="E41" s="2"/>
      <c r="F41" s="19"/>
      <c r="G41" s="2"/>
      <c r="H41" s="2">
        <f>--95751.36</f>
        <v>95751.360000000001</v>
      </c>
      <c r="I41" s="2"/>
      <c r="J41" s="19"/>
      <c r="K41" s="2"/>
      <c r="L41" s="2">
        <f t="shared" si="0"/>
        <v>-95751.360000000001</v>
      </c>
      <c r="M41" s="2"/>
      <c r="N41" s="19">
        <f t="shared" si="1"/>
        <v>-1</v>
      </c>
      <c r="O41" s="11"/>
      <c r="P41" s="2">
        <f>0</f>
        <v>0</v>
      </c>
      <c r="Q41" s="2"/>
      <c r="R41" s="19"/>
      <c r="S41" s="2"/>
      <c r="T41" s="2">
        <f>--139530.2</f>
        <v>139530.20000000001</v>
      </c>
      <c r="U41" s="2"/>
      <c r="V41" s="19"/>
      <c r="W41" s="2"/>
      <c r="X41" s="2">
        <f t="shared" si="2"/>
        <v>-139530.20000000001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"4053", " - ", "TAXABLE SALES-FOOD")</f>
        <v xml:space="preserve">          4053 - TAXABLE SALES-FOOD</v>
      </c>
      <c r="C42" s="11"/>
      <c r="D42" s="2">
        <f>--140.01</f>
        <v>140.01</v>
      </c>
      <c r="E42" s="2"/>
      <c r="F42" s="19"/>
      <c r="G42" s="2"/>
      <c r="H42" s="2">
        <f>--20205.92</f>
        <v>20205.919999999998</v>
      </c>
      <c r="I42" s="2"/>
      <c r="J42" s="19"/>
      <c r="K42" s="2"/>
      <c r="L42" s="2">
        <f t="shared" si="0"/>
        <v>-20065.91</v>
      </c>
      <c r="M42" s="2"/>
      <c r="N42" s="19">
        <f t="shared" si="1"/>
        <v>-0.9930708426045437</v>
      </c>
      <c r="O42" s="11"/>
      <c r="P42" s="2">
        <f>--339.9</f>
        <v>339.9</v>
      </c>
      <c r="Q42" s="2"/>
      <c r="R42" s="19"/>
      <c r="S42" s="2"/>
      <c r="T42" s="2">
        <f>--46281.13</f>
        <v>46281.13</v>
      </c>
      <c r="U42" s="2"/>
      <c r="V42" s="19"/>
      <c r="W42" s="2"/>
      <c r="X42" s="2">
        <f t="shared" si="2"/>
        <v>-45941.229999999996</v>
      </c>
      <c r="Y42" s="2"/>
      <c r="Z42" s="19">
        <f t="shared" si="3"/>
        <v>-0.99265575408379181</v>
      </c>
    </row>
    <row r="43" spans="1:26" s="24" customFormat="1" hidden="1" outlineLevel="1" x14ac:dyDescent="0.25">
      <c r="A43" s="44"/>
      <c r="B43" s="11" t="str">
        <f>CONCATENATE("          ", "4055", " - ", "TAXABLE SALES-FOOD")</f>
        <v xml:space="preserve">          4055 - TAXABLE SALES-FOOD</v>
      </c>
      <c r="C43" s="11"/>
      <c r="D43" s="2">
        <f t="shared" ref="D43:D44" si="8">0</f>
        <v>0</v>
      </c>
      <c r="E43" s="2"/>
      <c r="F43" s="19"/>
      <c r="G43" s="2"/>
      <c r="H43" s="2">
        <f>--29739.09</f>
        <v>29739.09</v>
      </c>
      <c r="I43" s="2"/>
      <c r="J43" s="19"/>
      <c r="K43" s="2"/>
      <c r="L43" s="2">
        <f t="shared" si="0"/>
        <v>-29739.09</v>
      </c>
      <c r="M43" s="2"/>
      <c r="N43" s="19">
        <f t="shared" si="1"/>
        <v>-1</v>
      </c>
      <c r="O43" s="11"/>
      <c r="P43" s="2">
        <f>0</f>
        <v>0</v>
      </c>
      <c r="Q43" s="2"/>
      <c r="R43" s="19"/>
      <c r="S43" s="2"/>
      <c r="T43" s="2">
        <f>--43982.72</f>
        <v>43982.720000000001</v>
      </c>
      <c r="U43" s="2"/>
      <c r="V43" s="19"/>
      <c r="W43" s="2"/>
      <c r="X43" s="2">
        <f t="shared" si="2"/>
        <v>-43982.720000000001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"4058", " - ", "TAXABLE SALES-FOOD")</f>
        <v xml:space="preserve">          4058 - TAXABLE SALES-FOOD</v>
      </c>
      <c r="C44" s="11"/>
      <c r="D44" s="2">
        <f t="shared" si="8"/>
        <v>0</v>
      </c>
      <c r="E44" s="2"/>
      <c r="F44" s="19"/>
      <c r="G44" s="2"/>
      <c r="H44" s="2">
        <f>--9436.48</f>
        <v>9436.48</v>
      </c>
      <c r="I44" s="2"/>
      <c r="J44" s="19"/>
      <c r="K44" s="2"/>
      <c r="L44" s="2">
        <f t="shared" si="0"/>
        <v>-9436.48</v>
      </c>
      <c r="M44" s="2"/>
      <c r="N44" s="19">
        <f t="shared" si="1"/>
        <v>-1</v>
      </c>
      <c r="O44" s="11"/>
      <c r="P44" s="2">
        <f>--974.91</f>
        <v>974.91</v>
      </c>
      <c r="Q44" s="2"/>
      <c r="R44" s="19"/>
      <c r="S44" s="2"/>
      <c r="T44" s="2">
        <f>--17838.14</f>
        <v>17838.14</v>
      </c>
      <c r="U44" s="2"/>
      <c r="V44" s="19"/>
      <c r="W44" s="2"/>
      <c r="X44" s="2">
        <f t="shared" si="2"/>
        <v>-16863.23</v>
      </c>
      <c r="Y44" s="2"/>
      <c r="Z44" s="19">
        <f t="shared" si="3"/>
        <v>-0.94534688033617853</v>
      </c>
    </row>
    <row r="45" spans="1:26" s="24" customFormat="1" hidden="1" outlineLevel="1" x14ac:dyDescent="0.25">
      <c r="A45" s="44"/>
      <c r="B45" s="11" t="str">
        <f>CONCATENATE("          ", "4081", " - ", "TAXABLE SALES-ELECTRONICS")</f>
        <v xml:space="preserve">          4081 - TAXABLE SALES-ELECTRONICS</v>
      </c>
      <c r="C45" s="11"/>
      <c r="D45" s="2">
        <f>--16305.86</f>
        <v>16305.86</v>
      </c>
      <c r="E45" s="2"/>
      <c r="F45" s="19"/>
      <c r="G45" s="2"/>
      <c r="H45" s="2">
        <f>--88736.22</f>
        <v>88736.22</v>
      </c>
      <c r="I45" s="2"/>
      <c r="J45" s="19"/>
      <c r="K45" s="2"/>
      <c r="L45" s="2">
        <f t="shared" si="0"/>
        <v>-72430.36</v>
      </c>
      <c r="M45" s="2"/>
      <c r="N45" s="19">
        <f t="shared" si="1"/>
        <v>-0.81624346856334429</v>
      </c>
      <c r="O45" s="11"/>
      <c r="P45" s="2">
        <f>--37863.02</f>
        <v>37863.019999999997</v>
      </c>
      <c r="Q45" s="2"/>
      <c r="R45" s="19"/>
      <c r="S45" s="2"/>
      <c r="T45" s="2">
        <f>--109688.79</f>
        <v>109688.79</v>
      </c>
      <c r="U45" s="2"/>
      <c r="V45" s="19"/>
      <c r="W45" s="2"/>
      <c r="X45" s="2">
        <f t="shared" si="2"/>
        <v>-71825.76999999999</v>
      </c>
      <c r="Y45" s="2"/>
      <c r="Z45" s="19">
        <f t="shared" si="3"/>
        <v>-0.65481413369588626</v>
      </c>
    </row>
    <row r="46" spans="1:26" s="24" customFormat="1" hidden="1" outlineLevel="1" x14ac:dyDescent="0.25">
      <c r="A46" s="44"/>
      <c r="B46" s="11" t="str">
        <f>CONCATENATE("          ", "4082", " - ", "TAXABLE SALES-COMPUTER HARDWAR")</f>
        <v xml:space="preserve">          4082 - TAXABLE SALES-COMPUTER HARDWAR</v>
      </c>
      <c r="C46" s="11"/>
      <c r="D46" s="2">
        <f>--403983.14</f>
        <v>403983.14</v>
      </c>
      <c r="E46" s="2"/>
      <c r="F46" s="19"/>
      <c r="G46" s="2"/>
      <c r="H46" s="2">
        <f>--414784.04</f>
        <v>414784.04</v>
      </c>
      <c r="I46" s="2"/>
      <c r="J46" s="19"/>
      <c r="K46" s="2"/>
      <c r="L46" s="2">
        <f t="shared" si="0"/>
        <v>-10800.899999999965</v>
      </c>
      <c r="M46" s="2"/>
      <c r="N46" s="19">
        <f t="shared" si="1"/>
        <v>-2.603981580390597E-2</v>
      </c>
      <c r="O46" s="11"/>
      <c r="P46" s="2">
        <f>--541212.01</f>
        <v>541212.01</v>
      </c>
      <c r="Q46" s="2"/>
      <c r="R46" s="19"/>
      <c r="S46" s="2"/>
      <c r="T46" s="2">
        <f>--813572.78</f>
        <v>813572.78</v>
      </c>
      <c r="U46" s="2"/>
      <c r="V46" s="19"/>
      <c r="W46" s="2"/>
      <c r="X46" s="2">
        <f t="shared" si="2"/>
        <v>-272360.77</v>
      </c>
      <c r="Y46" s="2"/>
      <c r="Z46" s="19">
        <f t="shared" si="3"/>
        <v>-0.33477124197788427</v>
      </c>
    </row>
    <row r="47" spans="1:26" s="24" customFormat="1" hidden="1" outlineLevel="1" x14ac:dyDescent="0.25">
      <c r="A47" s="44"/>
      <c r="B47" s="11" t="str">
        <f>CONCATENATE("          ", "4083", " - ", "TAXABLE SALES-COMPUTER EQUIPME")</f>
        <v xml:space="preserve">          4083 - TAXABLE SALES-COMPUTER EQUIPME</v>
      </c>
      <c r="C47" s="11"/>
      <c r="D47" s="2">
        <f>--42925.21</f>
        <v>42925.21</v>
      </c>
      <c r="E47" s="2"/>
      <c r="F47" s="19"/>
      <c r="G47" s="2"/>
      <c r="H47" s="2">
        <f>--15701.67</f>
        <v>15701.67</v>
      </c>
      <c r="I47" s="2"/>
      <c r="J47" s="19"/>
      <c r="K47" s="2"/>
      <c r="L47" s="2">
        <f t="shared" si="0"/>
        <v>27223.54</v>
      </c>
      <c r="M47" s="2"/>
      <c r="N47" s="19">
        <f t="shared" si="1"/>
        <v>1.7337990162829815</v>
      </c>
      <c r="O47" s="11"/>
      <c r="P47" s="2">
        <f>--49715.36</f>
        <v>49715.360000000001</v>
      </c>
      <c r="Q47" s="2"/>
      <c r="R47" s="19"/>
      <c r="S47" s="2"/>
      <c r="T47" s="2">
        <f>--23607.77</f>
        <v>23607.77</v>
      </c>
      <c r="U47" s="2"/>
      <c r="V47" s="19"/>
      <c r="W47" s="2"/>
      <c r="X47" s="2">
        <f t="shared" si="2"/>
        <v>26107.59</v>
      </c>
      <c r="Y47" s="2"/>
      <c r="Z47" s="19">
        <f t="shared" si="3"/>
        <v>1.1058897134290955</v>
      </c>
    </row>
    <row r="48" spans="1:26" s="24" customFormat="1" hidden="1" outlineLevel="1" x14ac:dyDescent="0.25">
      <c r="A48" s="44"/>
      <c r="B48" s="11" t="str">
        <f>CONCATENATE("          ", "4084", " - ", "TAXABLE SALES-SOFTWARE LICENSE")</f>
        <v xml:space="preserve">          4084 - TAXABLE SALES-SOFTWARE LICENSE</v>
      </c>
      <c r="C48" s="11"/>
      <c r="D48" s="2">
        <f>0</f>
        <v>0</v>
      </c>
      <c r="E48" s="2"/>
      <c r="F48" s="19"/>
      <c r="G48" s="2"/>
      <c r="H48" s="2">
        <f t="shared" ref="H48:H49" si="9"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>0</f>
        <v>0</v>
      </c>
      <c r="Q48" s="2"/>
      <c r="R48" s="19"/>
      <c r="S48" s="2"/>
      <c r="T48" s="2">
        <f>--129</f>
        <v>129</v>
      </c>
      <c r="U48" s="2"/>
      <c r="V48" s="19"/>
      <c r="W48" s="2"/>
      <c r="X48" s="2">
        <f t="shared" si="2"/>
        <v>-129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"4085", " - ", "TAXABLE SALES-SOFTWARE")</f>
        <v xml:space="preserve">          4085 - TAXABLE SALES-SOFTWARE</v>
      </c>
      <c r="C49" s="11"/>
      <c r="D49" s="2">
        <f>--129</f>
        <v>129</v>
      </c>
      <c r="E49" s="2"/>
      <c r="F49" s="19"/>
      <c r="G49" s="2"/>
      <c r="H49" s="2">
        <f t="shared" si="9"/>
        <v>0</v>
      </c>
      <c r="I49" s="2"/>
      <c r="J49" s="19"/>
      <c r="K49" s="2"/>
      <c r="L49" s="2">
        <f t="shared" si="0"/>
        <v>129</v>
      </c>
      <c r="M49" s="2"/>
      <c r="N49" s="19">
        <f t="shared" si="1"/>
        <v>0</v>
      </c>
      <c r="O49" s="11"/>
      <c r="P49" s="2">
        <f>--129</f>
        <v>129</v>
      </c>
      <c r="Q49" s="2"/>
      <c r="R49" s="19"/>
      <c r="S49" s="2"/>
      <c r="T49" s="2">
        <f>--493.95</f>
        <v>493.95</v>
      </c>
      <c r="U49" s="2"/>
      <c r="V49" s="19"/>
      <c r="W49" s="2"/>
      <c r="X49" s="2">
        <f t="shared" si="2"/>
        <v>-364.95</v>
      </c>
      <c r="Y49" s="2"/>
      <c r="Z49" s="19">
        <f t="shared" si="3"/>
        <v>-0.73883996355906467</v>
      </c>
    </row>
    <row r="50" spans="1:26" s="24" customFormat="1" hidden="1" outlineLevel="1" x14ac:dyDescent="0.25">
      <c r="A50" s="44"/>
      <c r="B50" s="11" t="str">
        <f>CONCATENATE("          ", "4086", " - ", "TAXABLE SALES-COMPUTER SUPPLIE")</f>
        <v xml:space="preserve">          4086 - TAXABLE SALES-COMPUTER SUPPLIE</v>
      </c>
      <c r="C50" s="11"/>
      <c r="D50" s="2">
        <f>--1308.27</f>
        <v>1308.27</v>
      </c>
      <c r="E50" s="2"/>
      <c r="F50" s="19"/>
      <c r="G50" s="2"/>
      <c r="H50" s="2">
        <f>--7672.23</f>
        <v>7672.23</v>
      </c>
      <c r="I50" s="2"/>
      <c r="J50" s="19"/>
      <c r="K50" s="2"/>
      <c r="L50" s="2">
        <f t="shared" si="0"/>
        <v>-6363.9599999999991</v>
      </c>
      <c r="M50" s="2"/>
      <c r="N50" s="19">
        <f t="shared" si="1"/>
        <v>-0.8294798252919946</v>
      </c>
      <c r="O50" s="11"/>
      <c r="P50" s="2">
        <f>--27267.48</f>
        <v>27267.48</v>
      </c>
      <c r="Q50" s="2"/>
      <c r="R50" s="19"/>
      <c r="S50" s="2"/>
      <c r="T50" s="2">
        <f>--9667.55</f>
        <v>9667.5499999999993</v>
      </c>
      <c r="U50" s="2"/>
      <c r="V50" s="19"/>
      <c r="W50" s="2"/>
      <c r="X50" s="2">
        <f t="shared" si="2"/>
        <v>17599.93</v>
      </c>
      <c r="Y50" s="2"/>
      <c r="Z50" s="19">
        <f t="shared" si="3"/>
        <v>1.820516056291408</v>
      </c>
    </row>
    <row r="51" spans="1:26" s="24" customFormat="1" hidden="1" outlineLevel="1" x14ac:dyDescent="0.25">
      <c r="A51" s="44"/>
      <c r="B51" s="11" t="str">
        <f>CONCATENATE("          ", "4088", " - ", "TAXABLE SALES-MUSIC")</f>
        <v xml:space="preserve">          4088 - TAXABLE SALES-MUSIC</v>
      </c>
      <c r="C51" s="11"/>
      <c r="D51" s="2">
        <f t="shared" ref="D51:D53" si="10">0</f>
        <v>0</v>
      </c>
      <c r="E51" s="2"/>
      <c r="F51" s="19"/>
      <c r="G51" s="2"/>
      <c r="H51" s="2">
        <f>--259.98</f>
        <v>259.98</v>
      </c>
      <c r="I51" s="2"/>
      <c r="J51" s="19"/>
      <c r="K51" s="2"/>
      <c r="L51" s="2">
        <f t="shared" si="0"/>
        <v>-259.98</v>
      </c>
      <c r="M51" s="2"/>
      <c r="N51" s="19">
        <f t="shared" si="1"/>
        <v>-1</v>
      </c>
      <c r="O51" s="11"/>
      <c r="P51" s="2">
        <f t="shared" ref="P51:P53" si="11">0</f>
        <v>0</v>
      </c>
      <c r="Q51" s="2"/>
      <c r="R51" s="19"/>
      <c r="S51" s="2"/>
      <c r="T51" s="2">
        <f>--518.97</f>
        <v>518.97</v>
      </c>
      <c r="U51" s="2"/>
      <c r="V51" s="19"/>
      <c r="W51" s="2"/>
      <c r="X51" s="2">
        <f t="shared" si="2"/>
        <v>-518.97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"4092", " - ", "TAXABLE SALES-GRAD MERCH")</f>
        <v xml:space="preserve">          4092 - TAXABLE SALES-GRAD MERCH</v>
      </c>
      <c r="C52" s="11"/>
      <c r="D52" s="2">
        <f t="shared" si="10"/>
        <v>0</v>
      </c>
      <c r="E52" s="2"/>
      <c r="F52" s="19"/>
      <c r="G52" s="2"/>
      <c r="H52" s="2">
        <f>--1694.1</f>
        <v>1694.1</v>
      </c>
      <c r="I52" s="2"/>
      <c r="J52" s="19"/>
      <c r="K52" s="2"/>
      <c r="L52" s="2">
        <f t="shared" si="0"/>
        <v>-1694.1</v>
      </c>
      <c r="M52" s="2"/>
      <c r="N52" s="19">
        <f t="shared" si="1"/>
        <v>-1</v>
      </c>
      <c r="O52" s="11"/>
      <c r="P52" s="2">
        <f t="shared" si="11"/>
        <v>0</v>
      </c>
      <c r="Q52" s="2"/>
      <c r="R52" s="19"/>
      <c r="S52" s="2"/>
      <c r="T52" s="2">
        <f>--3822.73</f>
        <v>3822.73</v>
      </c>
      <c r="U52" s="2"/>
      <c r="V52" s="19"/>
      <c r="W52" s="2"/>
      <c r="X52" s="2">
        <f t="shared" si="2"/>
        <v>-3822.73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"4095", " - ", "TAXABLE SALES-CUSTOMER SERVICE")</f>
        <v xml:space="preserve">          4095 - TAXABLE SALES-CUSTOMER SERVICE</v>
      </c>
      <c r="C53" s="11"/>
      <c r="D53" s="2">
        <f t="shared" si="10"/>
        <v>0</v>
      </c>
      <c r="E53" s="2"/>
      <c r="F53" s="19"/>
      <c r="G53" s="2"/>
      <c r="H53" s="2">
        <f>--127.49</f>
        <v>127.49</v>
      </c>
      <c r="I53" s="2"/>
      <c r="J53" s="19"/>
      <c r="K53" s="2"/>
      <c r="L53" s="2">
        <f t="shared" si="0"/>
        <v>-127.49</v>
      </c>
      <c r="M53" s="2"/>
      <c r="N53" s="19">
        <f t="shared" si="1"/>
        <v>-1</v>
      </c>
      <c r="O53" s="11"/>
      <c r="P53" s="2">
        <f t="shared" si="11"/>
        <v>0</v>
      </c>
      <c r="Q53" s="2"/>
      <c r="R53" s="19"/>
      <c r="S53" s="2"/>
      <c r="T53" s="2">
        <f>--174.02</f>
        <v>174.02</v>
      </c>
      <c r="U53" s="2"/>
      <c r="V53" s="19"/>
      <c r="W53" s="2"/>
      <c r="X53" s="2">
        <f t="shared" si="2"/>
        <v>-174.02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"4100", " - ", "NON-TAXABLE SALES")</f>
        <v xml:space="preserve">          4100 - NON-TAXABLE SALES</v>
      </c>
      <c r="C54" s="11"/>
      <c r="D54" s="2">
        <f>--217221.03</f>
        <v>217221.03</v>
      </c>
      <c r="E54" s="2"/>
      <c r="F54" s="19"/>
      <c r="G54" s="2"/>
      <c r="H54" s="2">
        <f>--292227.23</f>
        <v>292227.23</v>
      </c>
      <c r="I54" s="2"/>
      <c r="J54" s="19"/>
      <c r="K54" s="2"/>
      <c r="L54" s="2">
        <f t="shared" si="0"/>
        <v>-75006.199999999983</v>
      </c>
      <c r="M54" s="2"/>
      <c r="N54" s="19">
        <f t="shared" si="1"/>
        <v>-0.25667081058804819</v>
      </c>
      <c r="O54" s="11"/>
      <c r="P54" s="2">
        <f>--241230.33</f>
        <v>241230.33</v>
      </c>
      <c r="Q54" s="2"/>
      <c r="R54" s="19"/>
      <c r="S54" s="2"/>
      <c r="T54" s="2">
        <f>--333400.43</f>
        <v>333400.43</v>
      </c>
      <c r="U54" s="2"/>
      <c r="V54" s="19"/>
      <c r="W54" s="2"/>
      <c r="X54" s="2">
        <f t="shared" si="2"/>
        <v>-92170.1</v>
      </c>
      <c r="Y54" s="2"/>
      <c r="Z54" s="19">
        <f t="shared" si="3"/>
        <v>-0.27645465244300976</v>
      </c>
    </row>
    <row r="55" spans="1:26" s="24" customFormat="1" hidden="1" outlineLevel="1" x14ac:dyDescent="0.25">
      <c r="A55" s="44"/>
      <c r="B55" s="11" t="str">
        <f>CONCATENATE("          ", "4101", " - ", "NON-TAXABLE SALES-NEW TEXT")</f>
        <v xml:space="preserve">          4101 - NON-TAXABLE SALES-NEW TEXT</v>
      </c>
      <c r="C55" s="11"/>
      <c r="D55" s="2">
        <f>--41238.82</f>
        <v>41238.82</v>
      </c>
      <c r="E55" s="2"/>
      <c r="F55" s="19"/>
      <c r="G55" s="2"/>
      <c r="H55" s="2">
        <f>--48156.44</f>
        <v>48156.44</v>
      </c>
      <c r="I55" s="2"/>
      <c r="J55" s="19"/>
      <c r="K55" s="2"/>
      <c r="L55" s="2">
        <f t="shared" si="0"/>
        <v>-6917.6200000000026</v>
      </c>
      <c r="M55" s="2"/>
      <c r="N55" s="19">
        <f t="shared" si="1"/>
        <v>-0.14364890760197394</v>
      </c>
      <c r="O55" s="11"/>
      <c r="P55" s="2">
        <f>--51580.68</f>
        <v>51580.68</v>
      </c>
      <c r="Q55" s="2"/>
      <c r="R55" s="19"/>
      <c r="S55" s="2"/>
      <c r="T55" s="2">
        <f>--55893.02</f>
        <v>55893.02</v>
      </c>
      <c r="U55" s="2"/>
      <c r="V55" s="19"/>
      <c r="W55" s="2"/>
      <c r="X55" s="2">
        <f t="shared" si="2"/>
        <v>-4312.3399999999965</v>
      </c>
      <c r="Y55" s="2"/>
      <c r="Z55" s="19">
        <f t="shared" si="3"/>
        <v>-7.7153462095982589E-2</v>
      </c>
    </row>
    <row r="56" spans="1:26" s="24" customFormat="1" hidden="1" outlineLevel="1" x14ac:dyDescent="0.25">
      <c r="A56" s="44"/>
      <c r="B56" s="11" t="str">
        <f>CONCATENATE("          ", "4102", " - ", "NON-TAXABLE SALES-USED TEXT")</f>
        <v xml:space="preserve">          4102 - NON-TAXABLE SALES-USED TEXT</v>
      </c>
      <c r="C56" s="11"/>
      <c r="D56" s="2">
        <f>--17373.3</f>
        <v>17373.3</v>
      </c>
      <c r="E56" s="2"/>
      <c r="F56" s="19"/>
      <c r="G56" s="2"/>
      <c r="H56" s="2">
        <f>--27115.09</f>
        <v>27115.09</v>
      </c>
      <c r="I56" s="2"/>
      <c r="J56" s="19"/>
      <c r="K56" s="2"/>
      <c r="L56" s="2">
        <f t="shared" si="0"/>
        <v>-9741.7900000000009</v>
      </c>
      <c r="M56" s="2"/>
      <c r="N56" s="19">
        <f t="shared" si="1"/>
        <v>-0.35927559156174665</v>
      </c>
      <c r="O56" s="11"/>
      <c r="P56" s="2">
        <f>--21563.74</f>
        <v>21563.74</v>
      </c>
      <c r="Q56" s="2"/>
      <c r="R56" s="19"/>
      <c r="S56" s="2"/>
      <c r="T56" s="2">
        <f>--32474.33</f>
        <v>32474.33</v>
      </c>
      <c r="U56" s="2"/>
      <c r="V56" s="19"/>
      <c r="W56" s="2"/>
      <c r="X56" s="2">
        <f t="shared" si="2"/>
        <v>-10910.59</v>
      </c>
      <c r="Y56" s="2"/>
      <c r="Z56" s="19">
        <f t="shared" si="3"/>
        <v>-0.33597583075616955</v>
      </c>
    </row>
    <row r="57" spans="1:26" s="24" customFormat="1" hidden="1" outlineLevel="1" x14ac:dyDescent="0.25">
      <c r="A57" s="44"/>
      <c r="B57" s="11" t="str">
        <f>CONCATENATE("          ", "4103", " - ", "NON-TAXABLE SALES-RENTAL TEXT")</f>
        <v xml:space="preserve">          4103 - NON-TAXABLE SALES-RENTAL TEXT</v>
      </c>
      <c r="C57" s="11"/>
      <c r="D57" s="2">
        <f>0</f>
        <v>0</v>
      </c>
      <c r="E57" s="2"/>
      <c r="F57" s="19"/>
      <c r="G57" s="2"/>
      <c r="H57" s="2">
        <f>--474.97</f>
        <v>474.97</v>
      </c>
      <c r="I57" s="2"/>
      <c r="J57" s="19"/>
      <c r="K57" s="2"/>
      <c r="L57" s="2">
        <f t="shared" si="0"/>
        <v>-474.97</v>
      </c>
      <c r="M57" s="2"/>
      <c r="N57" s="19">
        <f t="shared" si="1"/>
        <v>-1</v>
      </c>
      <c r="O57" s="11"/>
      <c r="P57" s="2">
        <f>0</f>
        <v>0</v>
      </c>
      <c r="Q57" s="2"/>
      <c r="R57" s="19"/>
      <c r="S57" s="2"/>
      <c r="T57" s="2">
        <f>--474.97</f>
        <v>474.97</v>
      </c>
      <c r="U57" s="2"/>
      <c r="V57" s="19"/>
      <c r="W57" s="2"/>
      <c r="X57" s="2">
        <f t="shared" si="2"/>
        <v>-474.97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"4104", " - ", "NON-TAXABLE SALES-DIGITAL TEXT")</f>
        <v xml:space="preserve">          4104 - NON-TAXABLE SALES-DIGITAL TEXT</v>
      </c>
      <c r="C58" s="11"/>
      <c r="D58" s="2">
        <f>--205404.66</f>
        <v>205404.66</v>
      </c>
      <c r="E58" s="2"/>
      <c r="F58" s="19"/>
      <c r="G58" s="2"/>
      <c r="H58" s="2">
        <f>--246443.9</f>
        <v>246443.9</v>
      </c>
      <c r="I58" s="2"/>
      <c r="J58" s="19"/>
      <c r="K58" s="2"/>
      <c r="L58" s="2">
        <f t="shared" si="0"/>
        <v>-41039.239999999991</v>
      </c>
      <c r="M58" s="2"/>
      <c r="N58" s="19">
        <f t="shared" si="1"/>
        <v>-0.16652568799633505</v>
      </c>
      <c r="O58" s="11"/>
      <c r="P58" s="2">
        <f>--212890.18</f>
        <v>212890.18</v>
      </c>
      <c r="Q58" s="2"/>
      <c r="R58" s="19"/>
      <c r="S58" s="2"/>
      <c r="T58" s="2">
        <f>--259868.07</f>
        <v>259868.07</v>
      </c>
      <c r="U58" s="2"/>
      <c r="V58" s="19"/>
      <c r="W58" s="2"/>
      <c r="X58" s="2">
        <f t="shared" si="2"/>
        <v>-46977.890000000014</v>
      </c>
      <c r="Y58" s="2"/>
      <c r="Z58" s="19">
        <f t="shared" si="3"/>
        <v>-0.18077592218235974</v>
      </c>
    </row>
    <row r="59" spans="1:26" s="24" customFormat="1" hidden="1" outlineLevel="1" x14ac:dyDescent="0.25">
      <c r="A59" s="44"/>
      <c r="B59" s="11" t="str">
        <f>CONCATENATE("          ", "4111", " - ", "NON-TAXABLE SALES-NO VALUE TEX")</f>
        <v xml:space="preserve">          4111 - NON-TAXABLE SALES-NO VALUE TEX</v>
      </c>
      <c r="C59" s="11"/>
      <c r="D59" s="2">
        <f t="shared" ref="D59:D60" si="12">0</f>
        <v>0</v>
      </c>
      <c r="E59" s="2"/>
      <c r="F59" s="19"/>
      <c r="G59" s="2"/>
      <c r="H59" s="2">
        <f>--3067.16</f>
        <v>3067.16</v>
      </c>
      <c r="I59" s="2"/>
      <c r="J59" s="19"/>
      <c r="K59" s="2"/>
      <c r="L59" s="2">
        <f t="shared" si="0"/>
        <v>-3067.16</v>
      </c>
      <c r="M59" s="2"/>
      <c r="N59" s="19">
        <f t="shared" si="1"/>
        <v>-1</v>
      </c>
      <c r="O59" s="11"/>
      <c r="P59" s="2">
        <f t="shared" ref="P59:P60" si="13">0</f>
        <v>0</v>
      </c>
      <c r="Q59" s="2"/>
      <c r="R59" s="19"/>
      <c r="S59" s="2"/>
      <c r="T59" s="2">
        <f>--5748.11</f>
        <v>5748.11</v>
      </c>
      <c r="U59" s="2"/>
      <c r="V59" s="19"/>
      <c r="W59" s="2"/>
      <c r="X59" s="2">
        <f t="shared" si="2"/>
        <v>-5748.11</v>
      </c>
      <c r="Y59" s="2"/>
      <c r="Z59" s="19">
        <f t="shared" si="3"/>
        <v>-1</v>
      </c>
    </row>
    <row r="60" spans="1:26" s="24" customFormat="1" hidden="1" outlineLevel="1" x14ac:dyDescent="0.25">
      <c r="A60" s="44"/>
      <c r="B60" s="11" t="str">
        <f>CONCATENATE("          ", "4113", " - ", "NON-TAXABLE SALES-TRADE BOOKS")</f>
        <v xml:space="preserve">          4113 - NON-TAXABLE SALES-TRADE BOOKS</v>
      </c>
      <c r="C60" s="11"/>
      <c r="D60" s="2">
        <f t="shared" si="12"/>
        <v>0</v>
      </c>
      <c r="E60" s="2"/>
      <c r="F60" s="19"/>
      <c r="G60" s="2"/>
      <c r="H60" s="2">
        <f>--12.72</f>
        <v>12.72</v>
      </c>
      <c r="I60" s="2"/>
      <c r="J60" s="19"/>
      <c r="K60" s="2"/>
      <c r="L60" s="2">
        <f t="shared" si="0"/>
        <v>-12.72</v>
      </c>
      <c r="M60" s="2"/>
      <c r="N60" s="19">
        <f t="shared" si="1"/>
        <v>-1</v>
      </c>
      <c r="O60" s="11"/>
      <c r="P60" s="2">
        <f t="shared" si="13"/>
        <v>0</v>
      </c>
      <c r="Q60" s="2"/>
      <c r="R60" s="19"/>
      <c r="S60" s="2"/>
      <c r="T60" s="2">
        <f>--1146.72</f>
        <v>1146.72</v>
      </c>
      <c r="U60" s="2"/>
      <c r="V60" s="19"/>
      <c r="W60" s="2"/>
      <c r="X60" s="2">
        <f t="shared" si="2"/>
        <v>-1146.72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"4118", " - ", "NON-TAXABLE SALES-STUDY GUIDES")</f>
        <v xml:space="preserve">          4118 - NON-TAXABLE SALES-STUDY GUIDES</v>
      </c>
      <c r="C61" s="11"/>
      <c r="D61" s="2">
        <f>--47.87</f>
        <v>47.87</v>
      </c>
      <c r="E61" s="2"/>
      <c r="F61" s="19"/>
      <c r="G61" s="2"/>
      <c r="H61" s="2">
        <f>--7.02</f>
        <v>7.02</v>
      </c>
      <c r="I61" s="2"/>
      <c r="J61" s="19"/>
      <c r="K61" s="2"/>
      <c r="L61" s="2">
        <f t="shared" si="0"/>
        <v>40.849999999999994</v>
      </c>
      <c r="M61" s="2"/>
      <c r="N61" s="19">
        <f t="shared" si="1"/>
        <v>5.8190883190883183</v>
      </c>
      <c r="O61" s="11"/>
      <c r="P61" s="2">
        <f>--101.83</f>
        <v>101.83</v>
      </c>
      <c r="Q61" s="2"/>
      <c r="R61" s="19"/>
      <c r="S61" s="2"/>
      <c r="T61" s="2">
        <f>--13.97</f>
        <v>13.97</v>
      </c>
      <c r="U61" s="2"/>
      <c r="V61" s="19"/>
      <c r="W61" s="2"/>
      <c r="X61" s="2">
        <f t="shared" si="2"/>
        <v>87.86</v>
      </c>
      <c r="Y61" s="2"/>
      <c r="Z61" s="19">
        <f t="shared" si="3"/>
        <v>6.289191123836793</v>
      </c>
    </row>
    <row r="62" spans="1:26" s="24" customFormat="1" hidden="1" outlineLevel="1" x14ac:dyDescent="0.25">
      <c r="A62" s="44"/>
      <c r="B62" s="11" t="str">
        <f>CONCATENATE("          ", "4125", " - ", "NON-TAXABLE SALES-TEST FORMS")</f>
        <v xml:space="preserve">          4125 - NON-TAXABLE SALES-TEST FORMS</v>
      </c>
      <c r="C62" s="11"/>
      <c r="D62" s="2">
        <f t="shared" ref="D62:D63" si="14">0</f>
        <v>0</v>
      </c>
      <c r="E62" s="2"/>
      <c r="F62" s="19"/>
      <c r="G62" s="2"/>
      <c r="H62" s="2">
        <f>--77.17</f>
        <v>77.17</v>
      </c>
      <c r="I62" s="2"/>
      <c r="J62" s="19"/>
      <c r="K62" s="2"/>
      <c r="L62" s="2">
        <f t="shared" si="0"/>
        <v>-77.17</v>
      </c>
      <c r="M62" s="2"/>
      <c r="N62" s="19">
        <f t="shared" si="1"/>
        <v>-1</v>
      </c>
      <c r="O62" s="11"/>
      <c r="P62" s="2">
        <f>0</f>
        <v>0</v>
      </c>
      <c r="Q62" s="2"/>
      <c r="R62" s="19"/>
      <c r="S62" s="2"/>
      <c r="T62" s="2">
        <f>--82.15</f>
        <v>82.15</v>
      </c>
      <c r="U62" s="2"/>
      <c r="V62" s="19"/>
      <c r="W62" s="2"/>
      <c r="X62" s="2">
        <f t="shared" si="2"/>
        <v>-82.15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"4126", " - ", "NON-TAXABLE SALES-WRITING INST")</f>
        <v xml:space="preserve">          4126 - NON-TAXABLE SALES-WRITING INST</v>
      </c>
      <c r="C63" s="11"/>
      <c r="D63" s="2">
        <f t="shared" si="14"/>
        <v>0</v>
      </c>
      <c r="E63" s="2"/>
      <c r="F63" s="19"/>
      <c r="G63" s="2"/>
      <c r="H63" s="2">
        <f>--844.09</f>
        <v>844.09</v>
      </c>
      <c r="I63" s="2"/>
      <c r="J63" s="19"/>
      <c r="K63" s="2"/>
      <c r="L63" s="2">
        <f t="shared" si="0"/>
        <v>-844.09</v>
      </c>
      <c r="M63" s="2"/>
      <c r="N63" s="19">
        <f t="shared" si="1"/>
        <v>-1</v>
      </c>
      <c r="O63" s="11"/>
      <c r="P63" s="2">
        <f>--52.68</f>
        <v>52.68</v>
      </c>
      <c r="Q63" s="2"/>
      <c r="R63" s="19"/>
      <c r="S63" s="2"/>
      <c r="T63" s="2">
        <f>--1011.12</f>
        <v>1011.12</v>
      </c>
      <c r="U63" s="2"/>
      <c r="V63" s="19"/>
      <c r="W63" s="2"/>
      <c r="X63" s="2">
        <f t="shared" si="2"/>
        <v>-958.44</v>
      </c>
      <c r="Y63" s="2"/>
      <c r="Z63" s="19">
        <f t="shared" si="3"/>
        <v>-0.94789935912651324</v>
      </c>
    </row>
    <row r="64" spans="1:26" s="24" customFormat="1" hidden="1" outlineLevel="1" x14ac:dyDescent="0.25">
      <c r="A64" s="44"/>
      <c r="B64" s="11" t="str">
        <f>CONCATENATE("          ", "4127", " - ", "NON-TAXABLE SALES-SCHOOL SUPPL")</f>
        <v xml:space="preserve">          4127 - NON-TAXABLE SALES-SCHOOL SUPPL</v>
      </c>
      <c r="C64" s="11"/>
      <c r="D64" s="2">
        <f>--1788.16</f>
        <v>1788.16</v>
      </c>
      <c r="E64" s="2"/>
      <c r="F64" s="19"/>
      <c r="G64" s="2"/>
      <c r="H64" s="2">
        <f>--1692.39</f>
        <v>1692.39</v>
      </c>
      <c r="I64" s="2"/>
      <c r="J64" s="19"/>
      <c r="K64" s="2"/>
      <c r="L64" s="2">
        <f t="shared" si="0"/>
        <v>95.769999999999982</v>
      </c>
      <c r="M64" s="2"/>
      <c r="N64" s="19">
        <f t="shared" si="1"/>
        <v>5.658861137208325E-2</v>
      </c>
      <c r="O64" s="11"/>
      <c r="P64" s="2">
        <f>--1860.41</f>
        <v>1860.41</v>
      </c>
      <c r="Q64" s="2"/>
      <c r="R64" s="19"/>
      <c r="S64" s="2"/>
      <c r="T64" s="2">
        <f>--1870.28</f>
        <v>1870.28</v>
      </c>
      <c r="U64" s="2"/>
      <c r="V64" s="19"/>
      <c r="W64" s="2"/>
      <c r="X64" s="2">
        <f t="shared" si="2"/>
        <v>-9.8699999999998909</v>
      </c>
      <c r="Y64" s="2"/>
      <c r="Z64" s="19">
        <f t="shared" si="3"/>
        <v>-5.2772846846460908E-3</v>
      </c>
    </row>
    <row r="65" spans="1:26" s="24" customFormat="1" hidden="1" outlineLevel="1" x14ac:dyDescent="0.25">
      <c r="A65" s="44"/>
      <c r="B65" s="11" t="str">
        <f>CONCATENATE("          ", "4128", " - ", "NON-TAXABLE SALES-ART/TECH")</f>
        <v xml:space="preserve">          4128 - NON-TAXABLE SALES-ART/TECH</v>
      </c>
      <c r="C65" s="11"/>
      <c r="D65" s="2">
        <f>0</f>
        <v>0</v>
      </c>
      <c r="E65" s="2"/>
      <c r="F65" s="19"/>
      <c r="G65" s="2"/>
      <c r="H65" s="2">
        <f>--128.61</f>
        <v>128.61000000000001</v>
      </c>
      <c r="I65" s="2"/>
      <c r="J65" s="19"/>
      <c r="K65" s="2"/>
      <c r="L65" s="2">
        <f t="shared" si="0"/>
        <v>-128.61000000000001</v>
      </c>
      <c r="M65" s="2"/>
      <c r="N65" s="19">
        <f t="shared" si="1"/>
        <v>-1</v>
      </c>
      <c r="O65" s="11"/>
      <c r="P65" s="2">
        <f>0</f>
        <v>0</v>
      </c>
      <c r="Q65" s="2"/>
      <c r="R65" s="19"/>
      <c r="S65" s="2"/>
      <c r="T65" s="2">
        <f>--130.1</f>
        <v>130.1</v>
      </c>
      <c r="U65" s="2"/>
      <c r="V65" s="19"/>
      <c r="W65" s="2"/>
      <c r="X65" s="2">
        <f t="shared" si="2"/>
        <v>-130.1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"4131", " - ", "NON-TAXABLE SALES-FOOD")</f>
        <v xml:space="preserve">          4131 - NON-TAXABLE SALES-FOOD</v>
      </c>
      <c r="C66" s="11"/>
      <c r="D66" s="2">
        <f>--1575.79</f>
        <v>1575.79</v>
      </c>
      <c r="E66" s="2"/>
      <c r="F66" s="19"/>
      <c r="G66" s="2"/>
      <c r="H66" s="2">
        <f>--2447.58</f>
        <v>2447.58</v>
      </c>
      <c r="I66" s="2"/>
      <c r="J66" s="19"/>
      <c r="K66" s="2"/>
      <c r="L66" s="2">
        <f t="shared" si="0"/>
        <v>-871.79</v>
      </c>
      <c r="M66" s="2"/>
      <c r="N66" s="19">
        <f t="shared" si="1"/>
        <v>-0.35618447609475479</v>
      </c>
      <c r="O66" s="11"/>
      <c r="P66" s="2">
        <f>--1835.22</f>
        <v>1835.22</v>
      </c>
      <c r="Q66" s="2"/>
      <c r="R66" s="19"/>
      <c r="S66" s="2"/>
      <c r="T66" s="2">
        <f>--2717.2</f>
        <v>2717.2</v>
      </c>
      <c r="U66" s="2"/>
      <c r="V66" s="19"/>
      <c r="W66" s="2"/>
      <c r="X66" s="2">
        <f t="shared" si="2"/>
        <v>-881.97999999999979</v>
      </c>
      <c r="Y66" s="2"/>
      <c r="Z66" s="19">
        <f t="shared" si="3"/>
        <v>-0.3245914912409833</v>
      </c>
    </row>
    <row r="67" spans="1:26" s="24" customFormat="1" hidden="1" outlineLevel="1" x14ac:dyDescent="0.25">
      <c r="A67" s="44"/>
      <c r="B67" s="11" t="str">
        <f>CONCATENATE("          ", "4132", " - ", "NON-TAXABLE SALES-JUICE")</f>
        <v xml:space="preserve">          4132 - NON-TAXABLE SALES-JUICE</v>
      </c>
      <c r="C67" s="11"/>
      <c r="D67" s="2">
        <f>--625.8</f>
        <v>625.79999999999995</v>
      </c>
      <c r="E67" s="2"/>
      <c r="F67" s="19"/>
      <c r="G67" s="2"/>
      <c r="H67" s="2">
        <f>--62624.81</f>
        <v>62624.81</v>
      </c>
      <c r="I67" s="2"/>
      <c r="J67" s="19"/>
      <c r="K67" s="2"/>
      <c r="L67" s="2">
        <f t="shared" si="0"/>
        <v>-61999.009999999995</v>
      </c>
      <c r="M67" s="2"/>
      <c r="N67" s="19">
        <f t="shared" si="1"/>
        <v>-0.99000715531112982</v>
      </c>
      <c r="O67" s="11"/>
      <c r="P67" s="2">
        <f>--648.29</f>
        <v>648.29</v>
      </c>
      <c r="Q67" s="2"/>
      <c r="R67" s="19"/>
      <c r="S67" s="2"/>
      <c r="T67" s="2">
        <f>--94757.75</f>
        <v>94757.75</v>
      </c>
      <c r="U67" s="2"/>
      <c r="V67" s="19"/>
      <c r="W67" s="2"/>
      <c r="X67" s="2">
        <f t="shared" si="2"/>
        <v>-94109.46</v>
      </c>
      <c r="Y67" s="2"/>
      <c r="Z67" s="19">
        <f t="shared" si="3"/>
        <v>-0.99315844878123427</v>
      </c>
    </row>
    <row r="68" spans="1:26" s="24" customFormat="1" hidden="1" outlineLevel="1" x14ac:dyDescent="0.25">
      <c r="A68" s="44"/>
      <c r="B68" s="11" t="str">
        <f>CONCATENATE("          ", "4133", " - ", "NON-TAXABLE SALES-CANDY")</f>
        <v xml:space="preserve">          4133 - NON-TAXABLE SALES-CANDY</v>
      </c>
      <c r="C68" s="11"/>
      <c r="D68" s="2">
        <f>--12.43</f>
        <v>12.43</v>
      </c>
      <c r="E68" s="2"/>
      <c r="F68" s="19"/>
      <c r="G68" s="2"/>
      <c r="H68" s="2">
        <f>--900.13</f>
        <v>900.13</v>
      </c>
      <c r="I68" s="2"/>
      <c r="J68" s="19"/>
      <c r="K68" s="2"/>
      <c r="L68" s="2">
        <f t="shared" si="0"/>
        <v>-887.7</v>
      </c>
      <c r="M68" s="2"/>
      <c r="N68" s="19">
        <f t="shared" si="1"/>
        <v>-0.98619088353904438</v>
      </c>
      <c r="O68" s="11"/>
      <c r="P68" s="2">
        <f>--80.71</f>
        <v>80.709999999999994</v>
      </c>
      <c r="Q68" s="2"/>
      <c r="R68" s="19"/>
      <c r="S68" s="2"/>
      <c r="T68" s="2">
        <f>--1372.35</f>
        <v>1372.35</v>
      </c>
      <c r="U68" s="2"/>
      <c r="V68" s="19"/>
      <c r="W68" s="2"/>
      <c r="X68" s="2">
        <f t="shared" si="2"/>
        <v>-1291.6399999999999</v>
      </c>
      <c r="Y68" s="2"/>
      <c r="Z68" s="19">
        <f t="shared" si="3"/>
        <v>-0.94118847232848757</v>
      </c>
    </row>
    <row r="69" spans="1:26" s="24" customFormat="1" hidden="1" outlineLevel="1" x14ac:dyDescent="0.25">
      <c r="A69" s="44"/>
      <c r="B69" s="11" t="str">
        <f>CONCATENATE("          ", "4134", " - ", "NON-TAXABLE SALES-SODA")</f>
        <v xml:space="preserve">          4134 - NON-TAXABLE SALES-SODA</v>
      </c>
      <c r="C69" s="11"/>
      <c r="D69" s="2">
        <f t="shared" ref="D69:D71" si="15">0</f>
        <v>0</v>
      </c>
      <c r="E69" s="2"/>
      <c r="F69" s="19"/>
      <c r="G69" s="2"/>
      <c r="H69" s="2">
        <f>0</f>
        <v>0</v>
      </c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>--45.53</f>
        <v>45.53</v>
      </c>
      <c r="Q69" s="2"/>
      <c r="R69" s="19"/>
      <c r="S69" s="2"/>
      <c r="T69" s="2">
        <f>-3.39</f>
        <v>-3.39</v>
      </c>
      <c r="U69" s="2"/>
      <c r="V69" s="19"/>
      <c r="W69" s="2"/>
      <c r="X69" s="2">
        <f t="shared" si="2"/>
        <v>48.92</v>
      </c>
      <c r="Y69" s="2"/>
      <c r="Z69" s="19">
        <f t="shared" si="3"/>
        <v>-14.430678466076696</v>
      </c>
    </row>
    <row r="70" spans="1:26" s="24" customFormat="1" hidden="1" outlineLevel="1" x14ac:dyDescent="0.25">
      <c r="A70" s="44"/>
      <c r="B70" s="11" t="str">
        <f>CONCATENATE("          ", "4135", " - ", "NON-TAXABLE SALES")</f>
        <v xml:space="preserve">          4135 - NON-TAXABLE SALES</v>
      </c>
      <c r="C70" s="11"/>
      <c r="D70" s="2">
        <f t="shared" si="15"/>
        <v>0</v>
      </c>
      <c r="E70" s="2"/>
      <c r="F70" s="19"/>
      <c r="G70" s="2"/>
      <c r="H70" s="2">
        <f>--32.21</f>
        <v>32.21</v>
      </c>
      <c r="I70" s="2"/>
      <c r="J70" s="19"/>
      <c r="K70" s="2"/>
      <c r="L70" s="2">
        <f t="shared" si="0"/>
        <v>-32.21</v>
      </c>
      <c r="M70" s="2"/>
      <c r="N70" s="19">
        <f t="shared" si="1"/>
        <v>-1</v>
      </c>
      <c r="O70" s="11"/>
      <c r="P70" s="2">
        <f>0</f>
        <v>0</v>
      </c>
      <c r="Q70" s="2"/>
      <c r="R70" s="19"/>
      <c r="S70" s="2"/>
      <c r="T70" s="2">
        <f>--53.75</f>
        <v>53.75</v>
      </c>
      <c r="U70" s="2"/>
      <c r="V70" s="19"/>
      <c r="W70" s="2"/>
      <c r="X70" s="2">
        <f t="shared" si="2"/>
        <v>-53.75</v>
      </c>
      <c r="Y70" s="2"/>
      <c r="Z70" s="19">
        <f t="shared" si="3"/>
        <v>-1</v>
      </c>
    </row>
    <row r="71" spans="1:26" s="24" customFormat="1" hidden="1" outlineLevel="1" x14ac:dyDescent="0.25">
      <c r="A71" s="44"/>
      <c r="B71" s="11" t="str">
        <f>CONCATENATE("          ", "4137", " - ", "NON-TAXABLE SALES-WATER")</f>
        <v xml:space="preserve">          4137 - NON-TAXABLE SALES-WATER</v>
      </c>
      <c r="C71" s="11"/>
      <c r="D71" s="2">
        <f t="shared" si="15"/>
        <v>0</v>
      </c>
      <c r="E71" s="2"/>
      <c r="F71" s="19"/>
      <c r="G71" s="2"/>
      <c r="H71" s="2">
        <f>--726.72</f>
        <v>726.72</v>
      </c>
      <c r="I71" s="2"/>
      <c r="J71" s="19"/>
      <c r="K71" s="2"/>
      <c r="L71" s="2">
        <f t="shared" si="0"/>
        <v>-726.72</v>
      </c>
      <c r="M71" s="2"/>
      <c r="N71" s="19">
        <f t="shared" si="1"/>
        <v>-1</v>
      </c>
      <c r="O71" s="11"/>
      <c r="P71" s="2">
        <f>--68.25</f>
        <v>68.25</v>
      </c>
      <c r="Q71" s="2"/>
      <c r="R71" s="19"/>
      <c r="S71" s="2"/>
      <c r="T71" s="2">
        <f>--990.24</f>
        <v>990.24</v>
      </c>
      <c r="U71" s="2"/>
      <c r="V71" s="19"/>
      <c r="W71" s="2"/>
      <c r="X71" s="2">
        <f t="shared" si="2"/>
        <v>-921.99</v>
      </c>
      <c r="Y71" s="2"/>
      <c r="Z71" s="19">
        <f t="shared" si="3"/>
        <v>-0.93107731459040233</v>
      </c>
    </row>
    <row r="72" spans="1:26" s="24" customFormat="1" hidden="1" outlineLevel="1" x14ac:dyDescent="0.25">
      <c r="A72" s="44"/>
      <c r="B72" s="11" t="str">
        <f>CONCATENATE("          ", "4140", " - ", "NON-TAXABLE SALES-LOGO CLOTHIN")</f>
        <v xml:space="preserve">          4140 - NON-TAXABLE SALES-LOGO CLOTHIN</v>
      </c>
      <c r="C72" s="11"/>
      <c r="D72" s="2">
        <f>--7266.5</f>
        <v>7266.5</v>
      </c>
      <c r="E72" s="2"/>
      <c r="F72" s="19"/>
      <c r="G72" s="2"/>
      <c r="H72" s="2">
        <f>--1979.29</f>
        <v>1979.29</v>
      </c>
      <c r="I72" s="2"/>
      <c r="J72" s="19"/>
      <c r="K72" s="2"/>
      <c r="L72" s="2">
        <f t="shared" si="0"/>
        <v>5287.21</v>
      </c>
      <c r="M72" s="2"/>
      <c r="N72" s="19">
        <f t="shared" si="1"/>
        <v>2.6712659590055021</v>
      </c>
      <c r="O72" s="11"/>
      <c r="P72" s="2">
        <f>--14112.74</f>
        <v>14112.74</v>
      </c>
      <c r="Q72" s="2"/>
      <c r="R72" s="19"/>
      <c r="S72" s="2"/>
      <c r="T72" s="2">
        <f>--5142.96</f>
        <v>5142.96</v>
      </c>
      <c r="U72" s="2"/>
      <c r="V72" s="19"/>
      <c r="W72" s="2"/>
      <c r="X72" s="2">
        <f t="shared" si="2"/>
        <v>8969.7799999999988</v>
      </c>
      <c r="Y72" s="2"/>
      <c r="Z72" s="19">
        <f t="shared" si="3"/>
        <v>1.7440890071087465</v>
      </c>
    </row>
    <row r="73" spans="1:26" s="24" customFormat="1" hidden="1" outlineLevel="1" x14ac:dyDescent="0.25">
      <c r="A73" s="44"/>
      <c r="B73" s="11" t="str">
        <f>CONCATENATE("          ", "4141", " - ", "NON-TAXABLE SALES-LOGO GIFTS")</f>
        <v xml:space="preserve">          4141 - NON-TAXABLE SALES-LOGO GIFTS</v>
      </c>
      <c r="C73" s="11"/>
      <c r="D73" s="2">
        <f>--1189.06</f>
        <v>1189.06</v>
      </c>
      <c r="E73" s="2"/>
      <c r="F73" s="19"/>
      <c r="G73" s="2"/>
      <c r="H73" s="2">
        <f>--432.15</f>
        <v>432.15</v>
      </c>
      <c r="I73" s="2"/>
      <c r="J73" s="19"/>
      <c r="K73" s="2"/>
      <c r="L73" s="2">
        <f t="shared" si="0"/>
        <v>756.91</v>
      </c>
      <c r="M73" s="2"/>
      <c r="N73" s="19">
        <f t="shared" si="1"/>
        <v>1.7514983223417795</v>
      </c>
      <c r="O73" s="11"/>
      <c r="P73" s="2">
        <f>--2389.25</f>
        <v>2389.25</v>
      </c>
      <c r="Q73" s="2"/>
      <c r="R73" s="19"/>
      <c r="S73" s="2"/>
      <c r="T73" s="2">
        <f>--694.3</f>
        <v>694.3</v>
      </c>
      <c r="U73" s="2"/>
      <c r="V73" s="19"/>
      <c r="W73" s="2"/>
      <c r="X73" s="2">
        <f t="shared" si="2"/>
        <v>1694.95</v>
      </c>
      <c r="Y73" s="2"/>
      <c r="Z73" s="19">
        <f t="shared" si="3"/>
        <v>2.4412357770416251</v>
      </c>
    </row>
    <row r="74" spans="1:26" s="24" customFormat="1" hidden="1" outlineLevel="1" x14ac:dyDescent="0.25">
      <c r="A74" s="44"/>
      <c r="B74" s="11" t="str">
        <f>CONCATENATE("          ", "4142", " - ", "NON-TAXABLE SALES-EVERYDAY GIF")</f>
        <v xml:space="preserve">          4142 - NON-TAXABLE SALES-EVERYDAY GIF</v>
      </c>
      <c r="C74" s="11"/>
      <c r="D74" s="2">
        <f>--339.4</f>
        <v>339.4</v>
      </c>
      <c r="E74" s="2"/>
      <c r="F74" s="19"/>
      <c r="G74" s="2"/>
      <c r="H74" s="2">
        <f>--577.66</f>
        <v>577.66</v>
      </c>
      <c r="I74" s="2"/>
      <c r="J74" s="19"/>
      <c r="K74" s="2"/>
      <c r="L74" s="2">
        <f t="shared" si="0"/>
        <v>-238.26</v>
      </c>
      <c r="M74" s="2"/>
      <c r="N74" s="19">
        <f t="shared" si="1"/>
        <v>-0.41245715472769451</v>
      </c>
      <c r="O74" s="11"/>
      <c r="P74" s="2">
        <f>--979.57</f>
        <v>979.57</v>
      </c>
      <c r="Q74" s="2"/>
      <c r="R74" s="19"/>
      <c r="S74" s="2"/>
      <c r="T74" s="2">
        <f>--920.1</f>
        <v>920.1</v>
      </c>
      <c r="U74" s="2"/>
      <c r="V74" s="19"/>
      <c r="W74" s="2"/>
      <c r="X74" s="2">
        <f t="shared" si="2"/>
        <v>59.470000000000027</v>
      </c>
      <c r="Y74" s="2"/>
      <c r="Z74" s="19">
        <f t="shared" si="3"/>
        <v>6.463427888273017E-2</v>
      </c>
    </row>
    <row r="75" spans="1:26" s="24" customFormat="1" hidden="1" outlineLevel="1" x14ac:dyDescent="0.25">
      <c r="A75" s="44"/>
      <c r="B75" s="11" t="str">
        <f>CONCATENATE("          ", "4143", " - ", "NON-TAXABLE SALES-CARDS")</f>
        <v xml:space="preserve">          4143 - NON-TAXABLE SALES-CARDS</v>
      </c>
      <c r="C75" s="11"/>
      <c r="D75" s="2">
        <f>--19.98</f>
        <v>19.98</v>
      </c>
      <c r="E75" s="2"/>
      <c r="F75" s="19"/>
      <c r="G75" s="2"/>
      <c r="H75" s="2">
        <f>0</f>
        <v>0</v>
      </c>
      <c r="I75" s="2"/>
      <c r="J75" s="19"/>
      <c r="K75" s="2"/>
      <c r="L75" s="2">
        <f t="shared" si="0"/>
        <v>19.98</v>
      </c>
      <c r="M75" s="2"/>
      <c r="N75" s="19">
        <f t="shared" si="1"/>
        <v>0</v>
      </c>
      <c r="O75" s="11"/>
      <c r="P75" s="2">
        <f>--19.98</f>
        <v>19.98</v>
      </c>
      <c r="Q75" s="2"/>
      <c r="R75" s="19"/>
      <c r="S75" s="2"/>
      <c r="T75" s="2">
        <f>0</f>
        <v>0</v>
      </c>
      <c r="U75" s="2"/>
      <c r="V75" s="19"/>
      <c r="W75" s="2"/>
      <c r="X75" s="2">
        <f t="shared" si="2"/>
        <v>19.98</v>
      </c>
      <c r="Y75" s="2"/>
      <c r="Z75" s="19">
        <f t="shared" si="3"/>
        <v>0</v>
      </c>
    </row>
    <row r="76" spans="1:26" s="24" customFormat="1" hidden="1" outlineLevel="1" x14ac:dyDescent="0.25">
      <c r="A76" s="44"/>
      <c r="B76" s="11" t="str">
        <f>CONCATENATE("          ", "4144", " - ", "NON-TAXABLE SALES-ACCESSORIES")</f>
        <v xml:space="preserve">          4144 - NON-TAXABLE SALES-ACCESSORIES</v>
      </c>
      <c r="C76" s="11"/>
      <c r="D76" s="2">
        <f>--107.95</f>
        <v>107.95</v>
      </c>
      <c r="E76" s="2"/>
      <c r="F76" s="19"/>
      <c r="G76" s="2"/>
      <c r="H76" s="2">
        <f>--117.86</f>
        <v>117.86</v>
      </c>
      <c r="I76" s="2"/>
      <c r="J76" s="19"/>
      <c r="K76" s="2"/>
      <c r="L76" s="2">
        <f t="shared" si="0"/>
        <v>-9.9099999999999966</v>
      </c>
      <c r="M76" s="2"/>
      <c r="N76" s="19">
        <f t="shared" si="1"/>
        <v>-8.4082810113694187E-2</v>
      </c>
      <c r="O76" s="11"/>
      <c r="P76" s="2">
        <f>--155.8</f>
        <v>155.80000000000001</v>
      </c>
      <c r="Q76" s="2"/>
      <c r="R76" s="19"/>
      <c r="S76" s="2"/>
      <c r="T76" s="2">
        <f>--139.76</f>
        <v>139.76</v>
      </c>
      <c r="U76" s="2"/>
      <c r="V76" s="19"/>
      <c r="W76" s="2"/>
      <c r="X76" s="2">
        <f t="shared" si="2"/>
        <v>16.04000000000002</v>
      </c>
      <c r="Y76" s="2"/>
      <c r="Z76" s="19">
        <f t="shared" si="3"/>
        <v>0.11476817401259318</v>
      </c>
    </row>
    <row r="77" spans="1:26" s="24" customFormat="1" hidden="1" outlineLevel="1" x14ac:dyDescent="0.25">
      <c r="A77" s="44"/>
      <c r="B77" s="11" t="str">
        <f>CONCATENATE("          ", "4145", " - ", "NON-TAXABLE SALES-SPECIAL ORDE")</f>
        <v xml:space="preserve">          4145 - NON-TAXABLE SALES-SPECIAL ORDE</v>
      </c>
      <c r="C77" s="11"/>
      <c r="D77" s="2">
        <f>--350</f>
        <v>350</v>
      </c>
      <c r="E77" s="2"/>
      <c r="F77" s="19"/>
      <c r="G77" s="2"/>
      <c r="H77" s="2">
        <f>--90</f>
        <v>90</v>
      </c>
      <c r="I77" s="2"/>
      <c r="J77" s="19"/>
      <c r="K77" s="2"/>
      <c r="L77" s="2">
        <f t="shared" si="0"/>
        <v>260</v>
      </c>
      <c r="M77" s="2"/>
      <c r="N77" s="19">
        <f t="shared" si="1"/>
        <v>2.8888888888888888</v>
      </c>
      <c r="O77" s="11"/>
      <c r="P77" s="2">
        <f>--35846</f>
        <v>35846</v>
      </c>
      <c r="Q77" s="2"/>
      <c r="R77" s="19"/>
      <c r="S77" s="2"/>
      <c r="T77" s="2">
        <f>--90</f>
        <v>90</v>
      </c>
      <c r="U77" s="2"/>
      <c r="V77" s="19"/>
      <c r="W77" s="2"/>
      <c r="X77" s="2">
        <f t="shared" si="2"/>
        <v>35756</v>
      </c>
      <c r="Y77" s="2"/>
      <c r="Z77" s="19">
        <f t="shared" si="3"/>
        <v>397.28888888888889</v>
      </c>
    </row>
    <row r="78" spans="1:26" s="24" customFormat="1" hidden="1" outlineLevel="1" x14ac:dyDescent="0.25">
      <c r="A78" s="44"/>
      <c r="B78" s="11" t="str">
        <f>CONCATENATE("          ", "4146", " - ", "NON-TAXABLE SALES-COIN OP MACH")</f>
        <v xml:space="preserve">          4146 - NON-TAXABLE SALES-COIN OP MACH</v>
      </c>
      <c r="C78" s="11"/>
      <c r="D78" s="2">
        <f>--15.5</f>
        <v>15.5</v>
      </c>
      <c r="E78" s="2"/>
      <c r="F78" s="19"/>
      <c r="G78" s="2"/>
      <c r="H78" s="2">
        <f>--13281.65</f>
        <v>13281.65</v>
      </c>
      <c r="I78" s="2"/>
      <c r="J78" s="19"/>
      <c r="K78" s="2"/>
      <c r="L78" s="2">
        <f t="shared" si="0"/>
        <v>-13266.15</v>
      </c>
      <c r="M78" s="2"/>
      <c r="N78" s="19">
        <f t="shared" si="1"/>
        <v>-0.99883297632447776</v>
      </c>
      <c r="O78" s="11"/>
      <c r="P78" s="2">
        <f>--15.5</f>
        <v>15.5</v>
      </c>
      <c r="Q78" s="2"/>
      <c r="R78" s="19"/>
      <c r="S78" s="2"/>
      <c r="T78" s="2">
        <f>--15348.75</f>
        <v>15348.75</v>
      </c>
      <c r="U78" s="2"/>
      <c r="V78" s="19"/>
      <c r="W78" s="2"/>
      <c r="X78" s="2">
        <f t="shared" si="2"/>
        <v>-15333.25</v>
      </c>
      <c r="Y78" s="2"/>
      <c r="Z78" s="19">
        <f t="shared" si="3"/>
        <v>-0.99899014577734346</v>
      </c>
    </row>
    <row r="79" spans="1:26" s="24" customFormat="1" hidden="1" outlineLevel="1" x14ac:dyDescent="0.25">
      <c r="A79" s="44"/>
      <c r="B79" s="11" t="str">
        <f>CONCATENATE("          ", "4147", " - ", "NON-TAXABLE SALES-MISC")</f>
        <v xml:space="preserve">          4147 - NON-TAXABLE SALES-MISC</v>
      </c>
      <c r="C79" s="11"/>
      <c r="D79" s="2">
        <f>--23</f>
        <v>23</v>
      </c>
      <c r="E79" s="2"/>
      <c r="F79" s="19"/>
      <c r="G79" s="2"/>
      <c r="H79" s="2">
        <f>--53.9</f>
        <v>53.9</v>
      </c>
      <c r="I79" s="2"/>
      <c r="J79" s="19"/>
      <c r="K79" s="2"/>
      <c r="L79" s="2">
        <f t="shared" si="0"/>
        <v>-30.9</v>
      </c>
      <c r="M79" s="2"/>
      <c r="N79" s="19">
        <f t="shared" si="1"/>
        <v>-0.57328385899814471</v>
      </c>
      <c r="O79" s="11"/>
      <c r="P79" s="2">
        <f>--24</f>
        <v>24</v>
      </c>
      <c r="Q79" s="2"/>
      <c r="R79" s="19"/>
      <c r="S79" s="2"/>
      <c r="T79" s="2">
        <f>--70.4</f>
        <v>70.400000000000006</v>
      </c>
      <c r="U79" s="2"/>
      <c r="V79" s="19"/>
      <c r="W79" s="2"/>
      <c r="X79" s="2">
        <f t="shared" si="2"/>
        <v>-46.400000000000006</v>
      </c>
      <c r="Y79" s="2"/>
      <c r="Z79" s="19">
        <f t="shared" si="3"/>
        <v>-0.65909090909090917</v>
      </c>
    </row>
    <row r="80" spans="1:26" s="24" customFormat="1" hidden="1" outlineLevel="1" x14ac:dyDescent="0.25">
      <c r="A80" s="44"/>
      <c r="B80" s="11" t="str">
        <f>CONCATENATE("          ", "4151", " - ", "NON-TAXABLE SALES-FOOD")</f>
        <v xml:space="preserve">          4151 - NON-TAXABLE SALES-FOOD</v>
      </c>
      <c r="C80" s="11"/>
      <c r="D80" s="2">
        <f>--42758.9</f>
        <v>42758.9</v>
      </c>
      <c r="E80" s="2"/>
      <c r="F80" s="19"/>
      <c r="G80" s="2"/>
      <c r="H80" s="2">
        <f>--524471.91</f>
        <v>524471.91</v>
      </c>
      <c r="I80" s="2"/>
      <c r="J80" s="19"/>
      <c r="K80" s="2"/>
      <c r="L80" s="2">
        <f t="shared" si="0"/>
        <v>-481713.01</v>
      </c>
      <c r="M80" s="2"/>
      <c r="N80" s="19">
        <f t="shared" si="1"/>
        <v>-0.91847246881153266</v>
      </c>
      <c r="O80" s="11"/>
      <c r="P80" s="2">
        <f>--44058.9</f>
        <v>44058.9</v>
      </c>
      <c r="Q80" s="2"/>
      <c r="R80" s="19"/>
      <c r="S80" s="2"/>
      <c r="T80" s="2">
        <f>--1059514.93</f>
        <v>1059514.93</v>
      </c>
      <c r="U80" s="2"/>
      <c r="V80" s="19"/>
      <c r="W80" s="2"/>
      <c r="X80" s="2">
        <f t="shared" si="2"/>
        <v>-1015456.0299999999</v>
      </c>
      <c r="Y80" s="2"/>
      <c r="Z80" s="19">
        <f t="shared" si="3"/>
        <v>-0.95841597059892303</v>
      </c>
    </row>
    <row r="81" spans="1:26" s="24" customFormat="1" hidden="1" outlineLevel="1" x14ac:dyDescent="0.25">
      <c r="A81" s="44"/>
      <c r="B81" s="11" t="str">
        <f>CONCATENATE("          ", "4152", " - ", "NON-TAXABLE SALES-FOOD")</f>
        <v xml:space="preserve">          4152 - NON-TAXABLE SALES-FOOD</v>
      </c>
      <c r="C81" s="11"/>
      <c r="D81" s="2">
        <f>0</f>
        <v>0</v>
      </c>
      <c r="E81" s="2"/>
      <c r="F81" s="19"/>
      <c r="G81" s="2"/>
      <c r="H81" s="2">
        <f>--3990.43</f>
        <v>3990.43</v>
      </c>
      <c r="I81" s="2"/>
      <c r="J81" s="19"/>
      <c r="K81" s="2"/>
      <c r="L81" s="2">
        <f t="shared" si="0"/>
        <v>-3990.43</v>
      </c>
      <c r="M81" s="2"/>
      <c r="N81" s="19">
        <f t="shared" si="1"/>
        <v>-1</v>
      </c>
      <c r="O81" s="11"/>
      <c r="P81" s="2">
        <f>0</f>
        <v>0</v>
      </c>
      <c r="Q81" s="2"/>
      <c r="R81" s="19"/>
      <c r="S81" s="2"/>
      <c r="T81" s="2">
        <f>--7657.52</f>
        <v>7657.52</v>
      </c>
      <c r="U81" s="2"/>
      <c r="V81" s="19"/>
      <c r="W81" s="2"/>
      <c r="X81" s="2">
        <f t="shared" si="2"/>
        <v>-7657.52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"4153", " - ", "NON-TAXABLE SALES-FOOD")</f>
        <v xml:space="preserve">          4153 - NON-TAXABLE SALES-FOOD</v>
      </c>
      <c r="C82" s="11"/>
      <c r="D82" s="2">
        <f>--9247.39</f>
        <v>9247.39</v>
      </c>
      <c r="E82" s="2"/>
      <c r="F82" s="19"/>
      <c r="G82" s="2"/>
      <c r="H82" s="2">
        <f>--100967.71</f>
        <v>100967.71</v>
      </c>
      <c r="I82" s="2"/>
      <c r="J82" s="19"/>
      <c r="K82" s="2"/>
      <c r="L82" s="2">
        <f t="shared" si="0"/>
        <v>-91720.320000000007</v>
      </c>
      <c r="M82" s="2"/>
      <c r="N82" s="19">
        <f t="shared" si="1"/>
        <v>-0.90841240234130294</v>
      </c>
      <c r="O82" s="11"/>
      <c r="P82" s="2">
        <f>--27075.42</f>
        <v>27075.42</v>
      </c>
      <c r="Q82" s="2"/>
      <c r="R82" s="19"/>
      <c r="S82" s="2"/>
      <c r="T82" s="2">
        <f>--120216.42</f>
        <v>120216.42</v>
      </c>
      <c r="U82" s="2"/>
      <c r="V82" s="19"/>
      <c r="W82" s="2"/>
      <c r="X82" s="2">
        <f t="shared" si="2"/>
        <v>-93141</v>
      </c>
      <c r="Y82" s="2"/>
      <c r="Z82" s="19">
        <f t="shared" si="3"/>
        <v>-0.77477768843890049</v>
      </c>
    </row>
    <row r="83" spans="1:26" s="24" customFormat="1" hidden="1" outlineLevel="1" x14ac:dyDescent="0.25">
      <c r="A83" s="44"/>
      <c r="B83" s="11" t="str">
        <f>CONCATENATE("          ", "4155", " - ", "NON-TAXABLE SALES-FOOD")</f>
        <v xml:space="preserve">          4155 - NON-TAXABLE SALES-FOOD</v>
      </c>
      <c r="C83" s="11"/>
      <c r="D83" s="2">
        <f t="shared" ref="D83:D84" si="16">0</f>
        <v>0</v>
      </c>
      <c r="E83" s="2"/>
      <c r="F83" s="19"/>
      <c r="G83" s="2"/>
      <c r="H83" s="2">
        <f>--45359.38</f>
        <v>45359.38</v>
      </c>
      <c r="I83" s="2"/>
      <c r="J83" s="19"/>
      <c r="K83" s="2"/>
      <c r="L83" s="2">
        <f t="shared" si="0"/>
        <v>-45359.38</v>
      </c>
      <c r="M83" s="2"/>
      <c r="N83" s="19">
        <f t="shared" si="1"/>
        <v>-1</v>
      </c>
      <c r="O83" s="11"/>
      <c r="P83" s="2">
        <f t="shared" ref="P83:P84" si="17">0</f>
        <v>0</v>
      </c>
      <c r="Q83" s="2"/>
      <c r="R83" s="19"/>
      <c r="S83" s="2"/>
      <c r="T83" s="2">
        <f>--70996.04</f>
        <v>70996.039999999994</v>
      </c>
      <c r="U83" s="2"/>
      <c r="V83" s="19"/>
      <c r="W83" s="2"/>
      <c r="X83" s="2">
        <f t="shared" si="2"/>
        <v>-70996.039999999994</v>
      </c>
      <c r="Y83" s="2"/>
      <c r="Z83" s="19">
        <f t="shared" si="3"/>
        <v>-1</v>
      </c>
    </row>
    <row r="84" spans="1:26" s="24" customFormat="1" hidden="1" outlineLevel="1" x14ac:dyDescent="0.25">
      <c r="A84" s="44"/>
      <c r="B84" s="11" t="str">
        <f>CONCATENATE("          ", "4158", " - ", "NON-TAXABLE SALES-FOOD")</f>
        <v xml:space="preserve">          4158 - NON-TAXABLE SALES-FOOD</v>
      </c>
      <c r="C84" s="11"/>
      <c r="D84" s="2">
        <f t="shared" si="16"/>
        <v>0</v>
      </c>
      <c r="E84" s="2"/>
      <c r="F84" s="19"/>
      <c r="G84" s="2"/>
      <c r="H84" s="2">
        <f>--30810.22</f>
        <v>30810.22</v>
      </c>
      <c r="I84" s="2"/>
      <c r="J84" s="19"/>
      <c r="K84" s="2"/>
      <c r="L84" s="2">
        <f t="shared" si="0"/>
        <v>-30810.22</v>
      </c>
      <c r="M84" s="2"/>
      <c r="N84" s="19">
        <f t="shared" si="1"/>
        <v>-1</v>
      </c>
      <c r="O84" s="11"/>
      <c r="P84" s="2">
        <f t="shared" si="17"/>
        <v>0</v>
      </c>
      <c r="Q84" s="2"/>
      <c r="R84" s="19"/>
      <c r="S84" s="2"/>
      <c r="T84" s="2">
        <f>--40369.91</f>
        <v>40369.910000000003</v>
      </c>
      <c r="U84" s="2"/>
      <c r="V84" s="19"/>
      <c r="W84" s="2"/>
      <c r="X84" s="2">
        <f t="shared" si="2"/>
        <v>-40369.910000000003</v>
      </c>
      <c r="Y84" s="2"/>
      <c r="Z84" s="19">
        <f t="shared" si="3"/>
        <v>-1</v>
      </c>
    </row>
    <row r="85" spans="1:26" s="24" customFormat="1" hidden="1" outlineLevel="1" x14ac:dyDescent="0.25">
      <c r="A85" s="44"/>
      <c r="B85" s="11" t="str">
        <f>CONCATENATE("          ", "4181", " - ", "NON-TAXABLE SALES-ELECTRONICS")</f>
        <v xml:space="preserve">          4181 - NON-TAXABLE SALES-ELECTRONICS</v>
      </c>
      <c r="C85" s="11"/>
      <c r="D85" s="2">
        <f>--2349.29</f>
        <v>2349.29</v>
      </c>
      <c r="E85" s="2"/>
      <c r="F85" s="19"/>
      <c r="G85" s="2"/>
      <c r="H85" s="2">
        <f>--87.95</f>
        <v>87.95</v>
      </c>
      <c r="I85" s="2"/>
      <c r="J85" s="19"/>
      <c r="K85" s="2"/>
      <c r="L85" s="2">
        <f t="shared" si="0"/>
        <v>2261.34</v>
      </c>
      <c r="M85" s="2"/>
      <c r="N85" s="19">
        <f t="shared" si="1"/>
        <v>25.711654349061966</v>
      </c>
      <c r="O85" s="11"/>
      <c r="P85" s="2">
        <f>--2639.27</f>
        <v>2639.27</v>
      </c>
      <c r="Q85" s="2"/>
      <c r="R85" s="19"/>
      <c r="S85" s="2"/>
      <c r="T85" s="2">
        <f>--1390.56</f>
        <v>1390.56</v>
      </c>
      <c r="U85" s="2"/>
      <c r="V85" s="19"/>
      <c r="W85" s="2"/>
      <c r="X85" s="2">
        <f t="shared" si="2"/>
        <v>1248.71</v>
      </c>
      <c r="Y85" s="2"/>
      <c r="Z85" s="19">
        <f t="shared" si="3"/>
        <v>0.89799073754458647</v>
      </c>
    </row>
    <row r="86" spans="1:26" s="24" customFormat="1" hidden="1" outlineLevel="1" x14ac:dyDescent="0.25">
      <c r="A86" s="44"/>
      <c r="B86" s="11" t="str">
        <f>CONCATENATE("          ", "4182", " - ", "NON-TAXABLE SALES-COMPUTER HAR")</f>
        <v xml:space="preserve">          4182 - NON-TAXABLE SALES-COMPUTER HAR</v>
      </c>
      <c r="C86" s="11"/>
      <c r="D86" s="2">
        <f>--46190.39</f>
        <v>46190.39</v>
      </c>
      <c r="E86" s="2"/>
      <c r="F86" s="19"/>
      <c r="G86" s="2"/>
      <c r="H86" s="2">
        <f>--19953</f>
        <v>19953</v>
      </c>
      <c r="I86" s="2"/>
      <c r="J86" s="19"/>
      <c r="K86" s="2"/>
      <c r="L86" s="2">
        <f t="shared" si="0"/>
        <v>26237.39</v>
      </c>
      <c r="M86" s="2"/>
      <c r="N86" s="19">
        <f t="shared" si="1"/>
        <v>1.3149596551896958</v>
      </c>
      <c r="O86" s="11"/>
      <c r="P86" s="2">
        <f>--82067.38</f>
        <v>82067.38</v>
      </c>
      <c r="Q86" s="2"/>
      <c r="R86" s="19"/>
      <c r="S86" s="2"/>
      <c r="T86" s="2">
        <f>--30571</f>
        <v>30571</v>
      </c>
      <c r="U86" s="2"/>
      <c r="V86" s="19"/>
      <c r="W86" s="2"/>
      <c r="X86" s="2">
        <f t="shared" si="2"/>
        <v>51496.380000000005</v>
      </c>
      <c r="Y86" s="2"/>
      <c r="Z86" s="19">
        <f t="shared" si="3"/>
        <v>1.6844846423080699</v>
      </c>
    </row>
    <row r="87" spans="1:26" s="24" customFormat="1" hidden="1" outlineLevel="1" x14ac:dyDescent="0.25">
      <c r="A87" s="44"/>
      <c r="B87" s="11" t="str">
        <f>CONCATENATE("          ", "4183", " - ", "NON-TAXABLE SALES-COMPUTER EQU")</f>
        <v xml:space="preserve">          4183 - NON-TAXABLE SALES-COMPUTER EQU</v>
      </c>
      <c r="C87" s="11"/>
      <c r="D87" s="2">
        <f>--1759.83</f>
        <v>1759.83</v>
      </c>
      <c r="E87" s="2"/>
      <c r="F87" s="19"/>
      <c r="G87" s="2"/>
      <c r="H87" s="2">
        <f>--974.39</f>
        <v>974.39</v>
      </c>
      <c r="I87" s="2"/>
      <c r="J87" s="19"/>
      <c r="K87" s="2"/>
      <c r="L87" s="2">
        <f t="shared" si="0"/>
        <v>785.43999999999994</v>
      </c>
      <c r="M87" s="2"/>
      <c r="N87" s="19">
        <f t="shared" si="1"/>
        <v>0.80608380627880005</v>
      </c>
      <c r="O87" s="11"/>
      <c r="P87" s="2">
        <f>--3119.68</f>
        <v>3119.68</v>
      </c>
      <c r="Q87" s="2"/>
      <c r="R87" s="19"/>
      <c r="S87" s="2"/>
      <c r="T87" s="2">
        <f>--1156.29</f>
        <v>1156.29</v>
      </c>
      <c r="U87" s="2"/>
      <c r="V87" s="19"/>
      <c r="W87" s="2"/>
      <c r="X87" s="2">
        <f t="shared" si="2"/>
        <v>1963.3899999999999</v>
      </c>
      <c r="Y87" s="2"/>
      <c r="Z87" s="19">
        <f t="shared" si="3"/>
        <v>1.698008285118785</v>
      </c>
    </row>
    <row r="88" spans="1:26" s="24" customFormat="1" hidden="1" outlineLevel="1" x14ac:dyDescent="0.25">
      <c r="A88" s="44"/>
      <c r="B88" s="11" t="str">
        <f>CONCATENATE("          ", "4184", " - ", "NON-TAXABLE SALES-SOFTWARE LIC")</f>
        <v xml:space="preserve">          4184 - NON-TAXABLE SALES-SOFTWARE LIC</v>
      </c>
      <c r="C88" s="11"/>
      <c r="D88" s="2">
        <f>0</f>
        <v>0</v>
      </c>
      <c r="E88" s="2"/>
      <c r="F88" s="19"/>
      <c r="G88" s="2"/>
      <c r="H88" s="2">
        <f>--1522</f>
        <v>1522</v>
      </c>
      <c r="I88" s="2"/>
      <c r="J88" s="19"/>
      <c r="K88" s="2"/>
      <c r="L88" s="2">
        <f t="shared" si="0"/>
        <v>-1522</v>
      </c>
      <c r="M88" s="2"/>
      <c r="N88" s="19">
        <f t="shared" si="1"/>
        <v>-1</v>
      </c>
      <c r="O88" s="11"/>
      <c r="P88" s="2">
        <f>0</f>
        <v>0</v>
      </c>
      <c r="Q88" s="2"/>
      <c r="R88" s="19"/>
      <c r="S88" s="2"/>
      <c r="T88" s="2">
        <f>--1522</f>
        <v>1522</v>
      </c>
      <c r="U88" s="2"/>
      <c r="V88" s="19"/>
      <c r="W88" s="2"/>
      <c r="X88" s="2">
        <f t="shared" si="2"/>
        <v>-1522</v>
      </c>
      <c r="Y88" s="2"/>
      <c r="Z88" s="19">
        <f t="shared" si="3"/>
        <v>-1</v>
      </c>
    </row>
    <row r="89" spans="1:26" s="24" customFormat="1" hidden="1" outlineLevel="1" x14ac:dyDescent="0.25">
      <c r="A89" s="44"/>
      <c r="B89" s="11" t="str">
        <f>CONCATENATE("          ", "4185", " - ", "NON-TAXABLE SALES-SOFTWARE")</f>
        <v xml:space="preserve">          4185 - NON-TAXABLE SALES-SOFTWARE</v>
      </c>
      <c r="C89" s="11"/>
      <c r="D89" s="2">
        <f>--4610.75</f>
        <v>4610.75</v>
      </c>
      <c r="E89" s="2"/>
      <c r="F89" s="19"/>
      <c r="G89" s="2"/>
      <c r="H89" s="2">
        <f>--3770</f>
        <v>3770</v>
      </c>
      <c r="I89" s="2"/>
      <c r="J89" s="19"/>
      <c r="K89" s="2"/>
      <c r="L89" s="2">
        <f t="shared" si="0"/>
        <v>840.75</v>
      </c>
      <c r="M89" s="2"/>
      <c r="N89" s="19">
        <f t="shared" si="1"/>
        <v>0.22301061007957559</v>
      </c>
      <c r="O89" s="11"/>
      <c r="P89" s="2">
        <f>--10798.49</f>
        <v>10798.49</v>
      </c>
      <c r="Q89" s="2"/>
      <c r="R89" s="19"/>
      <c r="S89" s="2"/>
      <c r="T89" s="2">
        <f>--4522</f>
        <v>4522</v>
      </c>
      <c r="U89" s="2"/>
      <c r="V89" s="19"/>
      <c r="W89" s="2"/>
      <c r="X89" s="2">
        <f t="shared" si="2"/>
        <v>6276.49</v>
      </c>
      <c r="Y89" s="2"/>
      <c r="Z89" s="19">
        <f t="shared" si="3"/>
        <v>1.3879898275099514</v>
      </c>
    </row>
    <row r="90" spans="1:26" s="24" customFormat="1" hidden="1" outlineLevel="1" x14ac:dyDescent="0.25">
      <c r="A90" s="44"/>
      <c r="B90" s="11" t="str">
        <f>CONCATENATE("          ", "4186", " - ", "NON-TAXABLE SALES-COMPUTER SUP")</f>
        <v xml:space="preserve">          4186 - NON-TAXABLE SALES-COMPUTER SUP</v>
      </c>
      <c r="C90" s="11"/>
      <c r="D90" s="2">
        <f>--257.95</f>
        <v>257.95</v>
      </c>
      <c r="E90" s="2"/>
      <c r="F90" s="19"/>
      <c r="G90" s="2"/>
      <c r="H90" s="2">
        <f>--194.93</f>
        <v>194.93</v>
      </c>
      <c r="I90" s="2"/>
      <c r="J90" s="19"/>
      <c r="K90" s="2"/>
      <c r="L90" s="2">
        <f t="shared" si="0"/>
        <v>63.019999999999982</v>
      </c>
      <c r="M90" s="2"/>
      <c r="N90" s="19">
        <f t="shared" si="1"/>
        <v>0.323295541989432</v>
      </c>
      <c r="O90" s="11"/>
      <c r="P90" s="2">
        <f>--412.9</f>
        <v>412.9</v>
      </c>
      <c r="Q90" s="2"/>
      <c r="R90" s="19"/>
      <c r="S90" s="2"/>
      <c r="T90" s="2">
        <f>--274.9</f>
        <v>274.89999999999998</v>
      </c>
      <c r="U90" s="2"/>
      <c r="V90" s="19"/>
      <c r="W90" s="2"/>
      <c r="X90" s="2">
        <f t="shared" si="2"/>
        <v>138</v>
      </c>
      <c r="Y90" s="2"/>
      <c r="Z90" s="19">
        <f t="shared" si="3"/>
        <v>0.50200072753728631</v>
      </c>
    </row>
    <row r="91" spans="1:26" s="24" customFormat="1" hidden="1" outlineLevel="1" x14ac:dyDescent="0.25">
      <c r="A91" s="44"/>
      <c r="B91" s="11" t="str">
        <f>CONCATENATE("          ", "4188", " - ", "NON-TAXABLE SALES-MUSIC")</f>
        <v xml:space="preserve">          4188 - NON-TAXABLE SALES-MUSIC</v>
      </c>
      <c r="C91" s="11"/>
      <c r="D91" s="2">
        <f>0</f>
        <v>0</v>
      </c>
      <c r="E91" s="2"/>
      <c r="F91" s="19"/>
      <c r="G91" s="2"/>
      <c r="H91" s="2">
        <f>0</f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>0</f>
        <v>0</v>
      </c>
      <c r="Q91" s="2"/>
      <c r="R91" s="19"/>
      <c r="S91" s="2"/>
      <c r="T91" s="2">
        <f>--99.98</f>
        <v>99.98</v>
      </c>
      <c r="U91" s="2"/>
      <c r="V91" s="19"/>
      <c r="W91" s="2"/>
      <c r="X91" s="2">
        <f t="shared" si="2"/>
        <v>-99.98</v>
      </c>
      <c r="Y91" s="2"/>
      <c r="Z91" s="19">
        <f t="shared" si="3"/>
        <v>-1</v>
      </c>
    </row>
    <row r="92" spans="1:26" s="24" customFormat="1" hidden="1" outlineLevel="1" x14ac:dyDescent="0.25">
      <c r="A92" s="44"/>
      <c r="B92" s="11" t="str">
        <f>CONCATENATE("          ", "4201", " - ", "SALES RETURN TAXABLE-NEW TEXT")</f>
        <v xml:space="preserve">          4201 - SALES RETURN TAXABLE-NEW TEXT</v>
      </c>
      <c r="C92" s="11"/>
      <c r="D92" s="2">
        <f>-18222.39</f>
        <v>-18222.39</v>
      </c>
      <c r="E92" s="2"/>
      <c r="F92" s="19"/>
      <c r="G92" s="2"/>
      <c r="H92" s="2">
        <f>-58563.26</f>
        <v>-58563.26</v>
      </c>
      <c r="I92" s="2"/>
      <c r="J92" s="19"/>
      <c r="K92" s="2"/>
      <c r="L92" s="2">
        <f t="shared" si="0"/>
        <v>40340.870000000003</v>
      </c>
      <c r="M92" s="2"/>
      <c r="N92" s="19">
        <f t="shared" si="1"/>
        <v>-0.68884262932084039</v>
      </c>
      <c r="O92" s="11"/>
      <c r="P92" s="2">
        <f>-18855.79</f>
        <v>-18855.79</v>
      </c>
      <c r="Q92" s="2"/>
      <c r="R92" s="19"/>
      <c r="S92" s="2"/>
      <c r="T92" s="2">
        <f>-59170.41</f>
        <v>-59170.41</v>
      </c>
      <c r="U92" s="2"/>
      <c r="V92" s="19"/>
      <c r="W92" s="2"/>
      <c r="X92" s="2">
        <f t="shared" si="2"/>
        <v>40314.620000000003</v>
      </c>
      <c r="Y92" s="2"/>
      <c r="Z92" s="19">
        <f t="shared" si="3"/>
        <v>-0.68133075298954326</v>
      </c>
    </row>
    <row r="93" spans="1:26" s="24" customFormat="1" hidden="1" outlineLevel="1" x14ac:dyDescent="0.25">
      <c r="A93" s="44"/>
      <c r="B93" s="11" t="str">
        <f>CONCATENATE("          ", "4202", " - ", "SALES RETURN TAXABLE-USED TEXT")</f>
        <v xml:space="preserve">          4202 - SALES RETURN TAXABLE-USED TEXT</v>
      </c>
      <c r="C93" s="11"/>
      <c r="D93" s="2">
        <f>-8869.4</f>
        <v>-8869.4</v>
      </c>
      <c r="E93" s="2"/>
      <c r="F93" s="19"/>
      <c r="G93" s="2"/>
      <c r="H93" s="2">
        <f>-20533</f>
        <v>-20533</v>
      </c>
      <c r="I93" s="2"/>
      <c r="J93" s="19"/>
      <c r="K93" s="2"/>
      <c r="L93" s="2">
        <f t="shared" si="0"/>
        <v>11663.6</v>
      </c>
      <c r="M93" s="2"/>
      <c r="N93" s="19">
        <f t="shared" si="1"/>
        <v>-0.56804168898845764</v>
      </c>
      <c r="O93" s="11"/>
      <c r="P93" s="2">
        <f>-9047.75</f>
        <v>-9047.75</v>
      </c>
      <c r="Q93" s="2"/>
      <c r="R93" s="19"/>
      <c r="S93" s="2"/>
      <c r="T93" s="2">
        <f>-21254.45</f>
        <v>-21254.45</v>
      </c>
      <c r="U93" s="2"/>
      <c r="V93" s="19"/>
      <c r="W93" s="2"/>
      <c r="X93" s="2">
        <f t="shared" si="2"/>
        <v>12206.7</v>
      </c>
      <c r="Y93" s="2"/>
      <c r="Z93" s="19">
        <f t="shared" si="3"/>
        <v>-0.57431267334605229</v>
      </c>
    </row>
    <row r="94" spans="1:26" s="24" customFormat="1" hidden="1" outlineLevel="1" x14ac:dyDescent="0.25">
      <c r="A94" s="44"/>
      <c r="B94" s="11" t="str">
        <f>CONCATENATE("          ", "4204", " - ", "SALES RETURN TAXABLE-DIGITAL T")</f>
        <v xml:space="preserve">          4204 - SALES RETURN TAXABLE-DIGITAL T</v>
      </c>
      <c r="C94" s="11"/>
      <c r="D94" s="2">
        <f>-1141.08</f>
        <v>-1141.08</v>
      </c>
      <c r="E94" s="2"/>
      <c r="F94" s="19"/>
      <c r="G94" s="2"/>
      <c r="H94" s="2">
        <f>-6848.37</f>
        <v>-6848.37</v>
      </c>
      <c r="I94" s="2"/>
      <c r="J94" s="19"/>
      <c r="K94" s="2"/>
      <c r="L94" s="2">
        <f t="shared" si="0"/>
        <v>5707.29</v>
      </c>
      <c r="M94" s="2"/>
      <c r="N94" s="19">
        <f t="shared" si="1"/>
        <v>-0.83337932967990924</v>
      </c>
      <c r="O94" s="11"/>
      <c r="P94" s="2">
        <f>-1141.08</f>
        <v>-1141.08</v>
      </c>
      <c r="Q94" s="2"/>
      <c r="R94" s="19"/>
      <c r="S94" s="2"/>
      <c r="T94" s="2">
        <f>-6848.37</f>
        <v>-6848.37</v>
      </c>
      <c r="U94" s="2"/>
      <c r="V94" s="19"/>
      <c r="W94" s="2"/>
      <c r="X94" s="2">
        <f t="shared" si="2"/>
        <v>5707.29</v>
      </c>
      <c r="Y94" s="2"/>
      <c r="Z94" s="19">
        <f t="shared" si="3"/>
        <v>-0.83337932967990924</v>
      </c>
    </row>
    <row r="95" spans="1:26" s="24" customFormat="1" hidden="1" outlineLevel="1" x14ac:dyDescent="0.25">
      <c r="A95" s="44"/>
      <c r="B95" s="11" t="str">
        <f>CONCATENATE("          ", "4218", " - ", "SALES RETURN TAXABLE-STUDY GUI")</f>
        <v xml:space="preserve">          4218 - SALES RETURN TAXABLE-STUDY GUI</v>
      </c>
      <c r="C95" s="11"/>
      <c r="D95" s="2">
        <f t="shared" ref="D95:D97" si="18">0</f>
        <v>0</v>
      </c>
      <c r="E95" s="2"/>
      <c r="F95" s="19"/>
      <c r="G95" s="2"/>
      <c r="H95" s="2">
        <f>-26.8</f>
        <v>-26.8</v>
      </c>
      <c r="I95" s="2"/>
      <c r="J95" s="19"/>
      <c r="K95" s="2"/>
      <c r="L95" s="2">
        <f t="shared" si="0"/>
        <v>26.8</v>
      </c>
      <c r="M95" s="2"/>
      <c r="N95" s="19">
        <f t="shared" si="1"/>
        <v>-1</v>
      </c>
      <c r="O95" s="11"/>
      <c r="P95" s="2">
        <f t="shared" ref="P95:P96" si="19">0</f>
        <v>0</v>
      </c>
      <c r="Q95" s="2"/>
      <c r="R95" s="19"/>
      <c r="S95" s="2"/>
      <c r="T95" s="2">
        <f>-26.8</f>
        <v>-26.8</v>
      </c>
      <c r="U95" s="2"/>
      <c r="V95" s="19"/>
      <c r="W95" s="2"/>
      <c r="X95" s="2">
        <f t="shared" si="2"/>
        <v>26.8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"4225", " - ", "SALES RETURN TAXABLE-TEST FORM")</f>
        <v xml:space="preserve">          4225 - SALES RETURN TAXABLE-TEST FORM</v>
      </c>
      <c r="C96" s="11"/>
      <c r="D96" s="2">
        <f t="shared" si="18"/>
        <v>0</v>
      </c>
      <c r="E96" s="2"/>
      <c r="F96" s="19"/>
      <c r="G96" s="2"/>
      <c r="H96" s="2">
        <f>-8.61</f>
        <v>-8.61</v>
      </c>
      <c r="I96" s="2"/>
      <c r="J96" s="19"/>
      <c r="K96" s="2"/>
      <c r="L96" s="2">
        <f t="shared" si="0"/>
        <v>8.61</v>
      </c>
      <c r="M96" s="2"/>
      <c r="N96" s="19">
        <f t="shared" si="1"/>
        <v>-1</v>
      </c>
      <c r="O96" s="11"/>
      <c r="P96" s="2">
        <f t="shared" si="19"/>
        <v>0</v>
      </c>
      <c r="Q96" s="2"/>
      <c r="R96" s="19"/>
      <c r="S96" s="2"/>
      <c r="T96" s="2">
        <f>-12.69</f>
        <v>-12.69</v>
      </c>
      <c r="U96" s="2"/>
      <c r="V96" s="19"/>
      <c r="W96" s="2"/>
      <c r="X96" s="2">
        <f t="shared" si="2"/>
        <v>12.69</v>
      </c>
      <c r="Y96" s="2"/>
      <c r="Z96" s="19">
        <f t="shared" si="3"/>
        <v>-1</v>
      </c>
    </row>
    <row r="97" spans="1:26" s="24" customFormat="1" hidden="1" outlineLevel="1" x14ac:dyDescent="0.25">
      <c r="A97" s="44"/>
      <c r="B97" s="11" t="str">
        <f>CONCATENATE("          ", "4226", " - ", "SALES RETURN TAXABLE-WRITING I")</f>
        <v xml:space="preserve">          4226 - SALES RETURN TAXABLE-WRITING I</v>
      </c>
      <c r="C97" s="11"/>
      <c r="D97" s="2">
        <f t="shared" si="18"/>
        <v>0</v>
      </c>
      <c r="E97" s="2"/>
      <c r="F97" s="19"/>
      <c r="G97" s="2"/>
      <c r="H97" s="2">
        <f>-60.28</f>
        <v>-60.28</v>
      </c>
      <c r="I97" s="2"/>
      <c r="J97" s="19"/>
      <c r="K97" s="2"/>
      <c r="L97" s="2">
        <f t="shared" si="0"/>
        <v>60.28</v>
      </c>
      <c r="M97" s="2"/>
      <c r="N97" s="19">
        <f t="shared" si="1"/>
        <v>-1</v>
      </c>
      <c r="O97" s="11"/>
      <c r="P97" s="2">
        <f>-6.38</f>
        <v>-6.38</v>
      </c>
      <c r="Q97" s="2"/>
      <c r="R97" s="19"/>
      <c r="S97" s="2"/>
      <c r="T97" s="2">
        <f>-124.21</f>
        <v>-124.21</v>
      </c>
      <c r="U97" s="2"/>
      <c r="V97" s="19"/>
      <c r="W97" s="2"/>
      <c r="X97" s="2">
        <f t="shared" si="2"/>
        <v>117.83</v>
      </c>
      <c r="Y97" s="2"/>
      <c r="Z97" s="19">
        <f t="shared" si="3"/>
        <v>-0.94863537557362532</v>
      </c>
    </row>
    <row r="98" spans="1:26" s="24" customFormat="1" hidden="1" outlineLevel="1" x14ac:dyDescent="0.25">
      <c r="A98" s="44"/>
      <c r="B98" s="11" t="str">
        <f>CONCATENATE("          ", "4227", " - ", "SALES RETURN TAXABLE-SCHOOL SU")</f>
        <v xml:space="preserve">          4227 - SALES RETURN TAXABLE-SCHOOL SU</v>
      </c>
      <c r="C98" s="11"/>
      <c r="D98" s="2">
        <f>-359.61</f>
        <v>-359.61</v>
      </c>
      <c r="E98" s="2"/>
      <c r="F98" s="19"/>
      <c r="G98" s="2"/>
      <c r="H98" s="2">
        <f>-1531.15</f>
        <v>-1531.15</v>
      </c>
      <c r="I98" s="2"/>
      <c r="J98" s="19"/>
      <c r="K98" s="2"/>
      <c r="L98" s="2">
        <f t="shared" si="0"/>
        <v>1171.54</v>
      </c>
      <c r="M98" s="2"/>
      <c r="N98" s="19">
        <f t="shared" si="1"/>
        <v>-0.76513731508996496</v>
      </c>
      <c r="O98" s="11"/>
      <c r="P98" s="2">
        <f>-416.38</f>
        <v>-416.38</v>
      </c>
      <c r="Q98" s="2"/>
      <c r="R98" s="19"/>
      <c r="S98" s="2"/>
      <c r="T98" s="2">
        <f>-1696.59</f>
        <v>-1696.59</v>
      </c>
      <c r="U98" s="2"/>
      <c r="V98" s="19"/>
      <c r="W98" s="2"/>
      <c r="X98" s="2">
        <f t="shared" si="2"/>
        <v>1280.21</v>
      </c>
      <c r="Y98" s="2"/>
      <c r="Z98" s="19">
        <f t="shared" si="3"/>
        <v>-0.75457830118060354</v>
      </c>
    </row>
    <row r="99" spans="1:26" s="24" customFormat="1" hidden="1" outlineLevel="1" x14ac:dyDescent="0.25">
      <c r="A99" s="44"/>
      <c r="B99" s="11" t="str">
        <f>CONCATENATE("          ", "4228", " - ", "SALES RETURN TAXABLE-ART/TECH")</f>
        <v xml:space="preserve">          4228 - SALES RETURN TAXABLE-ART/TECH</v>
      </c>
      <c r="C99" s="11"/>
      <c r="D99" s="2">
        <f>-164.44</f>
        <v>-164.44</v>
      </c>
      <c r="E99" s="2"/>
      <c r="F99" s="19"/>
      <c r="G99" s="2"/>
      <c r="H99" s="2">
        <f>-858.36</f>
        <v>-858.36</v>
      </c>
      <c r="I99" s="2"/>
      <c r="J99" s="19"/>
      <c r="K99" s="2"/>
      <c r="L99" s="2">
        <f t="shared" si="0"/>
        <v>693.92000000000007</v>
      </c>
      <c r="M99" s="2"/>
      <c r="N99" s="19">
        <f t="shared" si="1"/>
        <v>-0.80842536930891473</v>
      </c>
      <c r="O99" s="11"/>
      <c r="P99" s="2">
        <f>-164.44</f>
        <v>-164.44</v>
      </c>
      <c r="Q99" s="2"/>
      <c r="R99" s="19"/>
      <c r="S99" s="2"/>
      <c r="T99" s="2">
        <f>-868.73</f>
        <v>-868.73</v>
      </c>
      <c r="U99" s="2"/>
      <c r="V99" s="19"/>
      <c r="W99" s="2"/>
      <c r="X99" s="2">
        <f t="shared" si="2"/>
        <v>704.29</v>
      </c>
      <c r="Y99" s="2"/>
      <c r="Z99" s="19">
        <f t="shared" si="3"/>
        <v>-0.81071218905758979</v>
      </c>
    </row>
    <row r="100" spans="1:26" s="24" customFormat="1" hidden="1" outlineLevel="1" x14ac:dyDescent="0.25">
      <c r="A100" s="44"/>
      <c r="B100" s="11" t="str">
        <f>CONCATENATE("          ", "4240", " - ", "SALES RETURN TAXABLE-LOGO CLOT")</f>
        <v xml:space="preserve">          4240 - SALES RETURN TAXABLE-LOGO CLOT</v>
      </c>
      <c r="C100" s="11"/>
      <c r="D100" s="2">
        <f>-4788.72</f>
        <v>-4788.72</v>
      </c>
      <c r="E100" s="2"/>
      <c r="F100" s="19"/>
      <c r="G100" s="2"/>
      <c r="H100" s="2">
        <f>-6807.65</f>
        <v>-6807.65</v>
      </c>
      <c r="I100" s="2"/>
      <c r="J100" s="19"/>
      <c r="K100" s="2"/>
      <c r="L100" s="2">
        <f t="shared" si="0"/>
        <v>2018.9299999999994</v>
      </c>
      <c r="M100" s="2"/>
      <c r="N100" s="19">
        <f t="shared" si="1"/>
        <v>-0.29656783177748552</v>
      </c>
      <c r="O100" s="11"/>
      <c r="P100" s="2">
        <f>-8156.82</f>
        <v>-8156.82</v>
      </c>
      <c r="Q100" s="2"/>
      <c r="R100" s="19"/>
      <c r="S100" s="2"/>
      <c r="T100" s="2">
        <f>-11254.49</f>
        <v>-11254.49</v>
      </c>
      <c r="U100" s="2"/>
      <c r="V100" s="19"/>
      <c r="W100" s="2"/>
      <c r="X100" s="2">
        <f t="shared" si="2"/>
        <v>3097.67</v>
      </c>
      <c r="Y100" s="2"/>
      <c r="Z100" s="19">
        <f t="shared" si="3"/>
        <v>-0.27523859366350678</v>
      </c>
    </row>
    <row r="101" spans="1:26" s="24" customFormat="1" hidden="1" outlineLevel="1" x14ac:dyDescent="0.25">
      <c r="A101" s="44"/>
      <c r="B101" s="11" t="str">
        <f>CONCATENATE("          ", "4241", " - ", "SALES RETURN TAXABLE-LOGO GIFT")</f>
        <v xml:space="preserve">          4241 - SALES RETURN TAXABLE-LOGO GIFT</v>
      </c>
      <c r="C101" s="11"/>
      <c r="D101" s="2">
        <f>-986.21</f>
        <v>-986.21</v>
      </c>
      <c r="E101" s="2"/>
      <c r="F101" s="19"/>
      <c r="G101" s="2"/>
      <c r="H101" s="2">
        <f>-971.11</f>
        <v>-971.11</v>
      </c>
      <c r="I101" s="2"/>
      <c r="J101" s="19"/>
      <c r="K101" s="2"/>
      <c r="L101" s="2">
        <f t="shared" si="0"/>
        <v>-15.100000000000023</v>
      </c>
      <c r="M101" s="2"/>
      <c r="N101" s="19">
        <f t="shared" si="1"/>
        <v>1.5549216875534205E-2</v>
      </c>
      <c r="O101" s="11"/>
      <c r="P101" s="2">
        <f>-1328.19</f>
        <v>-1328.19</v>
      </c>
      <c r="Q101" s="2"/>
      <c r="R101" s="19"/>
      <c r="S101" s="2"/>
      <c r="T101" s="2">
        <f>-1690.01</f>
        <v>-1690.01</v>
      </c>
      <c r="U101" s="2"/>
      <c r="V101" s="19"/>
      <c r="W101" s="2"/>
      <c r="X101" s="2">
        <f t="shared" si="2"/>
        <v>361.81999999999994</v>
      </c>
      <c r="Y101" s="2"/>
      <c r="Z101" s="19">
        <f t="shared" si="3"/>
        <v>-0.21409340773131516</v>
      </c>
    </row>
    <row r="102" spans="1:26" s="24" customFormat="1" hidden="1" outlineLevel="1" x14ac:dyDescent="0.25">
      <c r="A102" s="44"/>
      <c r="B102" s="11" t="str">
        <f>CONCATENATE("          ", "4242", " - ", "SALES RETURN TAXABLE-EVERYDAY")</f>
        <v xml:space="preserve">          4242 - SALES RETURN TAXABLE-EVERYDAY</v>
      </c>
      <c r="C102" s="11"/>
      <c r="D102" s="2">
        <f>-470.53</f>
        <v>-470.53</v>
      </c>
      <c r="E102" s="2"/>
      <c r="F102" s="19"/>
      <c r="G102" s="2"/>
      <c r="H102" s="2">
        <f>-450.83</f>
        <v>-450.83</v>
      </c>
      <c r="I102" s="2"/>
      <c r="J102" s="19"/>
      <c r="K102" s="2"/>
      <c r="L102" s="2">
        <f t="shared" si="0"/>
        <v>-19.699999999999989</v>
      </c>
      <c r="M102" s="2"/>
      <c r="N102" s="19">
        <f t="shared" si="1"/>
        <v>4.3697180755495398E-2</v>
      </c>
      <c r="O102" s="11"/>
      <c r="P102" s="2">
        <f>-649.49</f>
        <v>-649.49</v>
      </c>
      <c r="Q102" s="2"/>
      <c r="R102" s="19"/>
      <c r="S102" s="2"/>
      <c r="T102" s="2">
        <f>-824.81</f>
        <v>-824.81</v>
      </c>
      <c r="U102" s="2"/>
      <c r="V102" s="19"/>
      <c r="W102" s="2"/>
      <c r="X102" s="2">
        <f t="shared" si="2"/>
        <v>175.31999999999994</v>
      </c>
      <c r="Y102" s="2"/>
      <c r="Z102" s="19">
        <f t="shared" si="3"/>
        <v>-0.21255804367066347</v>
      </c>
    </row>
    <row r="103" spans="1:26" s="24" customFormat="1" hidden="1" outlineLevel="1" x14ac:dyDescent="0.25">
      <c r="A103" s="44"/>
      <c r="B103" s="11" t="str">
        <f>CONCATENATE("          ", "4243", " - ", "SALES RETURN TAXABLE-CARDS")</f>
        <v xml:space="preserve">          4243 - SALES RETURN TAXABLE-CARDS</v>
      </c>
      <c r="C103" s="11"/>
      <c r="D103" s="2">
        <f>-93.43</f>
        <v>-93.43</v>
      </c>
      <c r="E103" s="2"/>
      <c r="F103" s="19"/>
      <c r="G103" s="2"/>
      <c r="H103" s="2">
        <f>0</f>
        <v>0</v>
      </c>
      <c r="I103" s="2"/>
      <c r="J103" s="19"/>
      <c r="K103" s="2"/>
      <c r="L103" s="2">
        <f t="shared" si="0"/>
        <v>-93.43</v>
      </c>
      <c r="M103" s="2"/>
      <c r="N103" s="19">
        <f t="shared" si="1"/>
        <v>0</v>
      </c>
      <c r="O103" s="11"/>
      <c r="P103" s="2">
        <f>-93.43</f>
        <v>-93.43</v>
      </c>
      <c r="Q103" s="2"/>
      <c r="R103" s="19"/>
      <c r="S103" s="2"/>
      <c r="T103" s="2">
        <f>0</f>
        <v>0</v>
      </c>
      <c r="U103" s="2"/>
      <c r="V103" s="19"/>
      <c r="W103" s="2"/>
      <c r="X103" s="2">
        <f t="shared" si="2"/>
        <v>-93.43</v>
      </c>
      <c r="Y103" s="2"/>
      <c r="Z103" s="19">
        <f t="shared" si="3"/>
        <v>0</v>
      </c>
    </row>
    <row r="104" spans="1:26" s="24" customFormat="1" hidden="1" outlineLevel="1" x14ac:dyDescent="0.25">
      <c r="A104" s="44"/>
      <c r="B104" s="11" t="str">
        <f>CONCATENATE("          ", "4244", " - ", "SALES RETURN TAXABLE-ACCESSORI")</f>
        <v xml:space="preserve">          4244 - SALES RETURN TAXABLE-ACCESSORI</v>
      </c>
      <c r="C104" s="11"/>
      <c r="D104" s="2">
        <f>-350.99</f>
        <v>-350.99</v>
      </c>
      <c r="E104" s="2"/>
      <c r="F104" s="19"/>
      <c r="G104" s="2"/>
      <c r="H104" s="2">
        <f>-443.68</f>
        <v>-443.68</v>
      </c>
      <c r="I104" s="2"/>
      <c r="J104" s="19"/>
      <c r="K104" s="2"/>
      <c r="L104" s="2">
        <f t="shared" si="0"/>
        <v>92.69</v>
      </c>
      <c r="M104" s="2"/>
      <c r="N104" s="19">
        <f t="shared" si="1"/>
        <v>-0.20891182834475297</v>
      </c>
      <c r="O104" s="11"/>
      <c r="P104" s="2">
        <f>-350.99</f>
        <v>-350.99</v>
      </c>
      <c r="Q104" s="2"/>
      <c r="R104" s="19"/>
      <c r="S104" s="2"/>
      <c r="T104" s="2">
        <f>-550.47</f>
        <v>-550.47</v>
      </c>
      <c r="U104" s="2"/>
      <c r="V104" s="19"/>
      <c r="W104" s="2"/>
      <c r="X104" s="2">
        <f t="shared" si="2"/>
        <v>199.48000000000002</v>
      </c>
      <c r="Y104" s="2"/>
      <c r="Z104" s="19">
        <f t="shared" si="3"/>
        <v>-0.36238123785129073</v>
      </c>
    </row>
    <row r="105" spans="1:26" s="24" customFormat="1" hidden="1" outlineLevel="1" x14ac:dyDescent="0.25">
      <c r="A105" s="44"/>
      <c r="B105" s="11" t="str">
        <f>CONCATENATE("          ", "4245", " - ", "SALES RETURN TAXABLE-SPECIAL O")</f>
        <v xml:space="preserve">          4245 - SALES RETURN TAXABLE-SPECIAL O</v>
      </c>
      <c r="C105" s="11"/>
      <c r="D105" s="2">
        <f>-57.96</f>
        <v>-57.96</v>
      </c>
      <c r="E105" s="2"/>
      <c r="F105" s="19"/>
      <c r="G105" s="2"/>
      <c r="H105" s="2">
        <f>-19.98</f>
        <v>-19.98</v>
      </c>
      <c r="I105" s="2"/>
      <c r="J105" s="19"/>
      <c r="K105" s="2"/>
      <c r="L105" s="2">
        <f t="shared" si="0"/>
        <v>-37.980000000000004</v>
      </c>
      <c r="M105" s="2"/>
      <c r="N105" s="19">
        <f t="shared" si="1"/>
        <v>1.900900900900901</v>
      </c>
      <c r="O105" s="11"/>
      <c r="P105" s="2">
        <f>-1178.96</f>
        <v>-1178.96</v>
      </c>
      <c r="Q105" s="2"/>
      <c r="R105" s="19"/>
      <c r="S105" s="2"/>
      <c r="T105" s="2">
        <f>-19.98</f>
        <v>-19.98</v>
      </c>
      <c r="U105" s="2"/>
      <c r="V105" s="19"/>
      <c r="W105" s="2"/>
      <c r="X105" s="2">
        <f t="shared" si="2"/>
        <v>-1158.98</v>
      </c>
      <c r="Y105" s="2"/>
      <c r="Z105" s="19">
        <f t="shared" si="3"/>
        <v>58.007007007007005</v>
      </c>
    </row>
    <row r="106" spans="1:26" s="24" customFormat="1" hidden="1" outlineLevel="1" x14ac:dyDescent="0.25">
      <c r="A106" s="44"/>
      <c r="B106" s="11" t="str">
        <f>CONCATENATE("          ", "4281", " - ", "SALES RETURN TAXABLE-ELECTRONI")</f>
        <v xml:space="preserve">          4281 - SALES RETURN TAXABLE-ELECTRONI</v>
      </c>
      <c r="C106" s="11"/>
      <c r="D106" s="2">
        <f>-7424.23</f>
        <v>-7424.23</v>
      </c>
      <c r="E106" s="2"/>
      <c r="F106" s="19"/>
      <c r="G106" s="2"/>
      <c r="H106" s="2">
        <f>-575.76</f>
        <v>-575.76</v>
      </c>
      <c r="I106" s="2"/>
      <c r="J106" s="19"/>
      <c r="K106" s="2"/>
      <c r="L106" s="2">
        <f t="shared" si="0"/>
        <v>-6848.4699999999993</v>
      </c>
      <c r="M106" s="2"/>
      <c r="N106" s="19">
        <f t="shared" si="1"/>
        <v>11.894660969848546</v>
      </c>
      <c r="O106" s="11"/>
      <c r="P106" s="2">
        <f>-13716.22</f>
        <v>-13716.22</v>
      </c>
      <c r="Q106" s="2"/>
      <c r="R106" s="19"/>
      <c r="S106" s="2"/>
      <c r="T106" s="2">
        <f>-2234.75</f>
        <v>-2234.75</v>
      </c>
      <c r="U106" s="2"/>
      <c r="V106" s="19"/>
      <c r="W106" s="2"/>
      <c r="X106" s="2">
        <f t="shared" si="2"/>
        <v>-11481.47</v>
      </c>
      <c r="Y106" s="2"/>
      <c r="Z106" s="19">
        <f t="shared" si="3"/>
        <v>5.1376977290524666</v>
      </c>
    </row>
    <row r="107" spans="1:26" s="24" customFormat="1" hidden="1" outlineLevel="1" x14ac:dyDescent="0.25">
      <c r="A107" s="44"/>
      <c r="B107" s="11" t="str">
        <f>CONCATENATE("          ", "4282", " - ", "SALES RETURN TAXABLE-COMPUTER")</f>
        <v xml:space="preserve">          4282 - SALES RETURN TAXABLE-COMPUTER</v>
      </c>
      <c r="C107" s="11"/>
      <c r="D107" s="2">
        <f>-15442</f>
        <v>-15442</v>
      </c>
      <c r="E107" s="2"/>
      <c r="F107" s="19"/>
      <c r="G107" s="2"/>
      <c r="H107" s="2">
        <f>-49848.66</f>
        <v>-49848.66</v>
      </c>
      <c r="I107" s="2"/>
      <c r="J107" s="19"/>
      <c r="K107" s="2"/>
      <c r="L107" s="2">
        <f t="shared" si="0"/>
        <v>34406.660000000003</v>
      </c>
      <c r="M107" s="2"/>
      <c r="N107" s="19">
        <f t="shared" si="1"/>
        <v>-0.69022236505454715</v>
      </c>
      <c r="O107" s="11"/>
      <c r="P107" s="2">
        <f>-33649</f>
        <v>-33649</v>
      </c>
      <c r="Q107" s="2"/>
      <c r="R107" s="19"/>
      <c r="S107" s="2"/>
      <c r="T107" s="2">
        <f>-120189.72</f>
        <v>-120189.72</v>
      </c>
      <c r="U107" s="2"/>
      <c r="V107" s="19"/>
      <c r="W107" s="2"/>
      <c r="X107" s="2">
        <f t="shared" si="2"/>
        <v>86540.72</v>
      </c>
      <c r="Y107" s="2"/>
      <c r="Z107" s="19">
        <f t="shared" si="3"/>
        <v>-0.7200342924503027</v>
      </c>
    </row>
    <row r="108" spans="1:26" s="24" customFormat="1" hidden="1" outlineLevel="1" x14ac:dyDescent="0.25">
      <c r="A108" s="44"/>
      <c r="B108" s="11" t="str">
        <f>CONCATENATE("          ", "4283", " - ", "SALES RETURN TAXABLE-COMPUTER")</f>
        <v xml:space="preserve">          4283 - SALES RETURN TAXABLE-COMPUTER</v>
      </c>
      <c r="C108" s="11"/>
      <c r="D108" s="2">
        <f>-699.9</f>
        <v>-699.9</v>
      </c>
      <c r="E108" s="2"/>
      <c r="F108" s="19"/>
      <c r="G108" s="2"/>
      <c r="H108" s="2">
        <f>-503.89</f>
        <v>-503.89</v>
      </c>
      <c r="I108" s="2"/>
      <c r="J108" s="19"/>
      <c r="K108" s="2"/>
      <c r="L108" s="2">
        <f t="shared" si="0"/>
        <v>-196.01</v>
      </c>
      <c r="M108" s="2"/>
      <c r="N108" s="19">
        <f t="shared" si="1"/>
        <v>0.38899362956200756</v>
      </c>
      <c r="O108" s="11"/>
      <c r="P108" s="2">
        <f>-1518.83</f>
        <v>-1518.83</v>
      </c>
      <c r="Q108" s="2"/>
      <c r="R108" s="19"/>
      <c r="S108" s="2"/>
      <c r="T108" s="2">
        <f>-730.69</f>
        <v>-730.69</v>
      </c>
      <c r="U108" s="2"/>
      <c r="V108" s="19"/>
      <c r="W108" s="2"/>
      <c r="X108" s="2">
        <f t="shared" si="2"/>
        <v>-788.13999999999987</v>
      </c>
      <c r="Y108" s="2"/>
      <c r="Z108" s="19">
        <f t="shared" si="3"/>
        <v>1.0786243140045708</v>
      </c>
    </row>
    <row r="109" spans="1:26" s="24" customFormat="1" hidden="1" outlineLevel="1" x14ac:dyDescent="0.25">
      <c r="A109" s="44"/>
      <c r="B109" s="11" t="str">
        <f>CONCATENATE("          ", "4284", " - ", "SALES RETURN TAXABLE-SOFTWARE")</f>
        <v xml:space="preserve">          4284 - SALES RETURN TAXABLE-SOFTWARE</v>
      </c>
      <c r="C109" s="11"/>
      <c r="D109" s="2">
        <f t="shared" ref="D109:D110" si="20">0</f>
        <v>0</v>
      </c>
      <c r="E109" s="2"/>
      <c r="F109" s="19"/>
      <c r="G109" s="2"/>
      <c r="H109" s="2">
        <f>-129</f>
        <v>-129</v>
      </c>
      <c r="I109" s="2"/>
      <c r="J109" s="19"/>
      <c r="K109" s="2"/>
      <c r="L109" s="2">
        <f t="shared" si="0"/>
        <v>129</v>
      </c>
      <c r="M109" s="2"/>
      <c r="N109" s="19">
        <f t="shared" si="1"/>
        <v>-1</v>
      </c>
      <c r="O109" s="11"/>
      <c r="P109" s="2">
        <f t="shared" ref="P109:P110" si="21">0</f>
        <v>0</v>
      </c>
      <c r="Q109" s="2"/>
      <c r="R109" s="19"/>
      <c r="S109" s="2"/>
      <c r="T109" s="2">
        <f>-129</f>
        <v>-129</v>
      </c>
      <c r="U109" s="2"/>
      <c r="V109" s="19"/>
      <c r="W109" s="2"/>
      <c r="X109" s="2">
        <f t="shared" si="2"/>
        <v>129</v>
      </c>
      <c r="Y109" s="2"/>
      <c r="Z109" s="19">
        <f t="shared" si="3"/>
        <v>-1</v>
      </c>
    </row>
    <row r="110" spans="1:26" s="24" customFormat="1" hidden="1" outlineLevel="1" x14ac:dyDescent="0.25">
      <c r="A110" s="44"/>
      <c r="B110" s="11" t="str">
        <f>CONCATENATE("          ", "4285", " - ", "SALES RETURN TAXABLE-SOFTWARE")</f>
        <v xml:space="preserve">          4285 - SALES RETURN TAXABLE-SOFTWARE</v>
      </c>
      <c r="C110" s="11"/>
      <c r="D110" s="2">
        <f t="shared" si="20"/>
        <v>0</v>
      </c>
      <c r="E110" s="2"/>
      <c r="F110" s="19"/>
      <c r="G110" s="2"/>
      <c r="H110" s="2">
        <f>0</f>
        <v>0</v>
      </c>
      <c r="I110" s="2"/>
      <c r="J110" s="19"/>
      <c r="K110" s="2"/>
      <c r="L110" s="2">
        <f t="shared" si="0"/>
        <v>0</v>
      </c>
      <c r="M110" s="2"/>
      <c r="N110" s="19">
        <f t="shared" si="1"/>
        <v>0</v>
      </c>
      <c r="O110" s="11"/>
      <c r="P110" s="2">
        <f t="shared" si="21"/>
        <v>0</v>
      </c>
      <c r="Q110" s="2"/>
      <c r="R110" s="19"/>
      <c r="S110" s="2"/>
      <c r="T110" s="2">
        <f>-406.99</f>
        <v>-406.99</v>
      </c>
      <c r="U110" s="2"/>
      <c r="V110" s="19"/>
      <c r="W110" s="2"/>
      <c r="X110" s="2">
        <f t="shared" si="2"/>
        <v>406.99</v>
      </c>
      <c r="Y110" s="2"/>
      <c r="Z110" s="19">
        <f t="shared" si="3"/>
        <v>-1</v>
      </c>
    </row>
    <row r="111" spans="1:26" s="24" customFormat="1" hidden="1" outlineLevel="1" x14ac:dyDescent="0.25">
      <c r="A111" s="44"/>
      <c r="B111" s="11" t="str">
        <f>CONCATENATE("          ", "4286", " - ", "SALES RETURN TAXABLE-COMPUTER")</f>
        <v xml:space="preserve">          4286 - SALES RETURN TAXABLE-COMPUTER</v>
      </c>
      <c r="C111" s="11"/>
      <c r="D111" s="2">
        <f>-153.96</f>
        <v>-153.96</v>
      </c>
      <c r="E111" s="2"/>
      <c r="F111" s="19"/>
      <c r="G111" s="2"/>
      <c r="H111" s="2">
        <f>-635.2</f>
        <v>-635.20000000000005</v>
      </c>
      <c r="I111" s="2"/>
      <c r="J111" s="19"/>
      <c r="K111" s="2"/>
      <c r="L111" s="2">
        <f t="shared" si="0"/>
        <v>481.24</v>
      </c>
      <c r="M111" s="2"/>
      <c r="N111" s="19">
        <f t="shared" si="1"/>
        <v>-0.75761964735516374</v>
      </c>
      <c r="O111" s="11"/>
      <c r="P111" s="2">
        <f>-153.96</f>
        <v>-153.96</v>
      </c>
      <c r="Q111" s="2"/>
      <c r="R111" s="19"/>
      <c r="S111" s="2"/>
      <c r="T111" s="2">
        <f>-1181.15</f>
        <v>-1181.1500000000001</v>
      </c>
      <c r="U111" s="2"/>
      <c r="V111" s="19"/>
      <c r="W111" s="2"/>
      <c r="X111" s="2">
        <f t="shared" si="2"/>
        <v>1027.19</v>
      </c>
      <c r="Y111" s="2"/>
      <c r="Z111" s="19">
        <f t="shared" si="3"/>
        <v>-0.86965245735088681</v>
      </c>
    </row>
    <row r="112" spans="1:26" s="24" customFormat="1" hidden="1" outlineLevel="1" x14ac:dyDescent="0.25">
      <c r="A112" s="44"/>
      <c r="B112" s="11" t="str">
        <f>CONCATENATE("          ", "4292", " - ", "SALES RETURN TAXABLE-GRAD MERC")</f>
        <v xml:space="preserve">          4292 - SALES RETURN TAXABLE-GRAD MERC</v>
      </c>
      <c r="C112" s="11"/>
      <c r="D112" s="2">
        <f t="shared" ref="D112:D113" si="22">0</f>
        <v>0</v>
      </c>
      <c r="E112" s="2"/>
      <c r="F112" s="19"/>
      <c r="G112" s="2"/>
      <c r="H112" s="2">
        <f>-359.2</f>
        <v>-359.2</v>
      </c>
      <c r="I112" s="2"/>
      <c r="J112" s="19"/>
      <c r="K112" s="2"/>
      <c r="L112" s="2">
        <f t="shared" si="0"/>
        <v>359.2</v>
      </c>
      <c r="M112" s="2"/>
      <c r="N112" s="19">
        <f t="shared" si="1"/>
        <v>-1</v>
      </c>
      <c r="O112" s="11"/>
      <c r="P112" s="2">
        <f t="shared" ref="P112:P113" si="23">0</f>
        <v>0</v>
      </c>
      <c r="Q112" s="2"/>
      <c r="R112" s="19"/>
      <c r="S112" s="2"/>
      <c r="T112" s="2">
        <f>-369.15</f>
        <v>-369.15</v>
      </c>
      <c r="U112" s="2"/>
      <c r="V112" s="19"/>
      <c r="W112" s="2"/>
      <c r="X112" s="2">
        <f t="shared" si="2"/>
        <v>369.15</v>
      </c>
      <c r="Y112" s="2"/>
      <c r="Z112" s="19">
        <f t="shared" si="3"/>
        <v>-1</v>
      </c>
    </row>
    <row r="113" spans="1:26" s="24" customFormat="1" hidden="1" outlineLevel="1" x14ac:dyDescent="0.25">
      <c r="A113" s="44"/>
      <c r="B113" s="11" t="str">
        <f>CONCATENATE("          ", "4295", " - ", "SALES RETURN TAXABLE-CUSTOMER")</f>
        <v xml:space="preserve">          4295 - SALES RETURN TAXABLE-CUSTOMER</v>
      </c>
      <c r="C113" s="11"/>
      <c r="D113" s="2">
        <f t="shared" si="22"/>
        <v>0</v>
      </c>
      <c r="E113" s="2"/>
      <c r="F113" s="19"/>
      <c r="G113" s="2"/>
      <c r="H113" s="2">
        <f>--0.99</f>
        <v>0.99</v>
      </c>
      <c r="I113" s="2"/>
      <c r="J113" s="19"/>
      <c r="K113" s="2"/>
      <c r="L113" s="2">
        <f t="shared" si="0"/>
        <v>-0.99</v>
      </c>
      <c r="M113" s="2"/>
      <c r="N113" s="19">
        <f t="shared" si="1"/>
        <v>-1</v>
      </c>
      <c r="O113" s="11"/>
      <c r="P113" s="2">
        <f t="shared" si="23"/>
        <v>0</v>
      </c>
      <c r="Q113" s="2"/>
      <c r="R113" s="19"/>
      <c r="S113" s="2"/>
      <c r="T113" s="2">
        <f>--0.99</f>
        <v>0.99</v>
      </c>
      <c r="U113" s="2"/>
      <c r="V113" s="19"/>
      <c r="W113" s="2"/>
      <c r="X113" s="2">
        <f t="shared" si="2"/>
        <v>-0.99</v>
      </c>
      <c r="Y113" s="2"/>
      <c r="Z113" s="19">
        <f t="shared" si="3"/>
        <v>-1</v>
      </c>
    </row>
    <row r="114" spans="1:26" s="24" customFormat="1" hidden="1" outlineLevel="1" x14ac:dyDescent="0.25">
      <c r="A114" s="44"/>
      <c r="B114" s="11" t="str">
        <f>CONCATENATE("          ", "4301", " - ", "SALES RETURN NON TAXABLE-NEW T")</f>
        <v xml:space="preserve">          4301 - SALES RETURN NON TAXABLE-NEW T</v>
      </c>
      <c r="C114" s="11"/>
      <c r="D114" s="2">
        <f>-20.25</f>
        <v>-20.25</v>
      </c>
      <c r="E114" s="2"/>
      <c r="F114" s="19"/>
      <c r="G114" s="2"/>
      <c r="H114" s="2">
        <f>-2665.19</f>
        <v>-2665.19</v>
      </c>
      <c r="I114" s="2"/>
      <c r="J114" s="19"/>
      <c r="K114" s="2"/>
      <c r="L114" s="2">
        <f t="shared" si="0"/>
        <v>2644.94</v>
      </c>
      <c r="M114" s="2"/>
      <c r="N114" s="19">
        <f t="shared" si="1"/>
        <v>-0.99240204263110698</v>
      </c>
      <c r="O114" s="11"/>
      <c r="P114" s="2">
        <f>-20.25</f>
        <v>-20.25</v>
      </c>
      <c r="Q114" s="2"/>
      <c r="R114" s="19"/>
      <c r="S114" s="2"/>
      <c r="T114" s="2">
        <f>-2919.78</f>
        <v>-2919.78</v>
      </c>
      <c r="U114" s="2"/>
      <c r="V114" s="19"/>
      <c r="W114" s="2"/>
      <c r="X114" s="2">
        <f t="shared" si="2"/>
        <v>2899.53</v>
      </c>
      <c r="Y114" s="2"/>
      <c r="Z114" s="19">
        <f t="shared" si="3"/>
        <v>-0.99306454595894211</v>
      </c>
    </row>
    <row r="115" spans="1:26" s="24" customFormat="1" hidden="1" outlineLevel="1" x14ac:dyDescent="0.25">
      <c r="A115" s="44"/>
      <c r="B115" s="11" t="str">
        <f>CONCATENATE("          ", "4302", " - ", "SALES RETURN NON TAXABLE-TEXT")</f>
        <v xml:space="preserve">          4302 - SALES RETURN NON TAXABLE-TEXT</v>
      </c>
      <c r="C115" s="11"/>
      <c r="D115" s="2">
        <f>-346.17</f>
        <v>-346.17</v>
      </c>
      <c r="E115" s="2"/>
      <c r="F115" s="19"/>
      <c r="G115" s="2"/>
      <c r="H115" s="2">
        <f>-250.25</f>
        <v>-250.25</v>
      </c>
      <c r="I115" s="2"/>
      <c r="J115" s="19"/>
      <c r="K115" s="2"/>
      <c r="L115" s="2">
        <f t="shared" si="0"/>
        <v>-95.920000000000016</v>
      </c>
      <c r="M115" s="2"/>
      <c r="N115" s="19">
        <f t="shared" si="1"/>
        <v>0.38329670329670334</v>
      </c>
      <c r="O115" s="11"/>
      <c r="P115" s="2">
        <f>-409.84</f>
        <v>-409.84</v>
      </c>
      <c r="Q115" s="2"/>
      <c r="R115" s="19"/>
      <c r="S115" s="2"/>
      <c r="T115" s="2">
        <f>-250.25</f>
        <v>-250.25</v>
      </c>
      <c r="U115" s="2"/>
      <c r="V115" s="19"/>
      <c r="W115" s="2"/>
      <c r="X115" s="2">
        <f t="shared" si="2"/>
        <v>-159.58999999999997</v>
      </c>
      <c r="Y115" s="2"/>
      <c r="Z115" s="19">
        <f t="shared" si="3"/>
        <v>0.63772227772227763</v>
      </c>
    </row>
    <row r="116" spans="1:26" s="24" customFormat="1" hidden="1" outlineLevel="1" x14ac:dyDescent="0.25">
      <c r="A116" s="44"/>
      <c r="B116" s="11" t="str">
        <f>CONCATENATE("          ", "4304", " - ", "SALES RETURN NON TAXABLE-DIGIT")</f>
        <v xml:space="preserve">          4304 - SALES RETURN NON TAXABLE-DIGIT</v>
      </c>
      <c r="C116" s="11"/>
      <c r="D116" s="2">
        <f>-5500.68</f>
        <v>-5500.68</v>
      </c>
      <c r="E116" s="2"/>
      <c r="F116" s="19"/>
      <c r="G116" s="2"/>
      <c r="H116" s="2">
        <f>-8466.55</f>
        <v>-8466.5499999999993</v>
      </c>
      <c r="I116" s="2"/>
      <c r="J116" s="19"/>
      <c r="K116" s="2"/>
      <c r="L116" s="2">
        <f t="shared" si="0"/>
        <v>2965.869999999999</v>
      </c>
      <c r="M116" s="2"/>
      <c r="N116" s="19">
        <f t="shared" si="1"/>
        <v>-0.35030443332880562</v>
      </c>
      <c r="O116" s="11"/>
      <c r="P116" s="2">
        <f>-5952.73</f>
        <v>-5952.73</v>
      </c>
      <c r="Q116" s="2"/>
      <c r="R116" s="19"/>
      <c r="S116" s="2"/>
      <c r="T116" s="2">
        <f>-8466.55</f>
        <v>-8466.5499999999993</v>
      </c>
      <c r="U116" s="2"/>
      <c r="V116" s="19"/>
      <c r="W116" s="2"/>
      <c r="X116" s="2">
        <f t="shared" si="2"/>
        <v>2513.8199999999997</v>
      </c>
      <c r="Y116" s="2"/>
      <c r="Z116" s="19">
        <f t="shared" si="3"/>
        <v>-0.29691196532235681</v>
      </c>
    </row>
    <row r="117" spans="1:26" s="24" customFormat="1" hidden="1" outlineLevel="1" x14ac:dyDescent="0.25">
      <c r="A117" s="44"/>
      <c r="B117" s="11" t="str">
        <f>CONCATENATE("          ", "4311", " - ", "SALES RETURN NON TAXABLE-NO VA")</f>
        <v xml:space="preserve">          4311 - SALES RETURN NON TAXABLE-NO VA</v>
      </c>
      <c r="C117" s="11"/>
      <c r="D117" s="2">
        <f t="shared" ref="D117:D118" si="24">0</f>
        <v>0</v>
      </c>
      <c r="E117" s="2"/>
      <c r="F117" s="19"/>
      <c r="G117" s="2"/>
      <c r="H117" s="2">
        <f>-79.06</f>
        <v>-79.06</v>
      </c>
      <c r="I117" s="2"/>
      <c r="J117" s="19"/>
      <c r="K117" s="2"/>
      <c r="L117" s="2">
        <f t="shared" si="0"/>
        <v>79.06</v>
      </c>
      <c r="M117" s="2"/>
      <c r="N117" s="19">
        <f t="shared" si="1"/>
        <v>-1</v>
      </c>
      <c r="O117" s="11"/>
      <c r="P117" s="2">
        <f t="shared" ref="P117:P118" si="25">0</f>
        <v>0</v>
      </c>
      <c r="Q117" s="2"/>
      <c r="R117" s="19"/>
      <c r="S117" s="2"/>
      <c r="T117" s="2">
        <f>-111.04</f>
        <v>-111.04</v>
      </c>
      <c r="U117" s="2"/>
      <c r="V117" s="19"/>
      <c r="W117" s="2"/>
      <c r="X117" s="2">
        <f t="shared" si="2"/>
        <v>111.04</v>
      </c>
      <c r="Y117" s="2"/>
      <c r="Z117" s="19">
        <f t="shared" si="3"/>
        <v>-1</v>
      </c>
    </row>
    <row r="118" spans="1:26" s="24" customFormat="1" hidden="1" outlineLevel="1" x14ac:dyDescent="0.25">
      <c r="A118" s="44"/>
      <c r="B118" s="11" t="str">
        <f>CONCATENATE("          ", "4327", " - ", "SALES RETURN NON TAXABLE-SCHOO")</f>
        <v xml:space="preserve">          4327 - SALES RETURN NON TAXABLE-SCHOO</v>
      </c>
      <c r="C118" s="11"/>
      <c r="D118" s="2">
        <f t="shared" si="24"/>
        <v>0</v>
      </c>
      <c r="E118" s="2"/>
      <c r="F118" s="19"/>
      <c r="G118" s="2"/>
      <c r="H118" s="2">
        <f>-13.58</f>
        <v>-13.58</v>
      </c>
      <c r="I118" s="2"/>
      <c r="J118" s="19"/>
      <c r="K118" s="2"/>
      <c r="L118" s="2">
        <f t="shared" si="0"/>
        <v>13.58</v>
      </c>
      <c r="M118" s="2"/>
      <c r="N118" s="19">
        <f t="shared" si="1"/>
        <v>-1</v>
      </c>
      <c r="O118" s="11"/>
      <c r="P118" s="2">
        <f t="shared" si="25"/>
        <v>0</v>
      </c>
      <c r="Q118" s="2"/>
      <c r="R118" s="19"/>
      <c r="S118" s="2"/>
      <c r="T118" s="2">
        <f>-13.58</f>
        <v>-13.58</v>
      </c>
      <c r="U118" s="2"/>
      <c r="V118" s="19"/>
      <c r="W118" s="2"/>
      <c r="X118" s="2">
        <f t="shared" si="2"/>
        <v>13.58</v>
      </c>
      <c r="Y118" s="2"/>
      <c r="Z118" s="19">
        <f t="shared" si="3"/>
        <v>-1</v>
      </c>
    </row>
    <row r="119" spans="1:26" s="24" customFormat="1" hidden="1" outlineLevel="1" x14ac:dyDescent="0.25">
      <c r="A119" s="44"/>
      <c r="B119" s="11" t="str">
        <f>CONCATENATE("          ", "4340", " - ", "SALES RETURN NON TAXABLE-LOGO")</f>
        <v xml:space="preserve">          4340 - SALES RETURN NON TAXABLE-LOGO</v>
      </c>
      <c r="C119" s="11"/>
      <c r="D119" s="2">
        <f>-69.9</f>
        <v>-69.900000000000006</v>
      </c>
      <c r="E119" s="2"/>
      <c r="F119" s="19"/>
      <c r="G119" s="2"/>
      <c r="H119" s="2">
        <f>-44.95</f>
        <v>-44.95</v>
      </c>
      <c r="I119" s="2"/>
      <c r="J119" s="19"/>
      <c r="K119" s="2"/>
      <c r="L119" s="2">
        <f t="shared" si="0"/>
        <v>-24.950000000000003</v>
      </c>
      <c r="M119" s="2"/>
      <c r="N119" s="19">
        <f t="shared" si="1"/>
        <v>0.55506117908787544</v>
      </c>
      <c r="O119" s="11"/>
      <c r="P119" s="2">
        <f>-504.14</f>
        <v>-504.14</v>
      </c>
      <c r="Q119" s="2"/>
      <c r="R119" s="19"/>
      <c r="S119" s="2"/>
      <c r="T119" s="2">
        <f>-268.5</f>
        <v>-268.5</v>
      </c>
      <c r="U119" s="2"/>
      <c r="V119" s="19"/>
      <c r="W119" s="2"/>
      <c r="X119" s="2">
        <f t="shared" si="2"/>
        <v>-235.64</v>
      </c>
      <c r="Y119" s="2"/>
      <c r="Z119" s="19">
        <f t="shared" si="3"/>
        <v>0.87761638733705771</v>
      </c>
    </row>
    <row r="120" spans="1:26" s="24" customFormat="1" hidden="1" outlineLevel="1" x14ac:dyDescent="0.25">
      <c r="A120" s="44"/>
      <c r="B120" s="11" t="str">
        <f>CONCATENATE("          ", "4341", " - ", "SALES RETURN NON TAXABLE-LOGO")</f>
        <v xml:space="preserve">          4341 - SALES RETURN NON TAXABLE-LOGO</v>
      </c>
      <c r="C120" s="11"/>
      <c r="D120" s="2">
        <f>0</f>
        <v>0</v>
      </c>
      <c r="E120" s="2"/>
      <c r="F120" s="19"/>
      <c r="G120" s="2"/>
      <c r="H120" s="2">
        <f>-3.95</f>
        <v>-3.95</v>
      </c>
      <c r="I120" s="2"/>
      <c r="J120" s="19"/>
      <c r="K120" s="2"/>
      <c r="L120" s="2">
        <f t="shared" si="0"/>
        <v>3.95</v>
      </c>
      <c r="M120" s="2"/>
      <c r="N120" s="19">
        <f t="shared" si="1"/>
        <v>-1</v>
      </c>
      <c r="O120" s="11"/>
      <c r="P120" s="2">
        <f>-16.95</f>
        <v>-16.95</v>
      </c>
      <c r="Q120" s="2"/>
      <c r="R120" s="19"/>
      <c r="S120" s="2"/>
      <c r="T120" s="2">
        <f>-3.95</f>
        <v>-3.95</v>
      </c>
      <c r="U120" s="2"/>
      <c r="V120" s="19"/>
      <c r="W120" s="2"/>
      <c r="X120" s="2">
        <f t="shared" si="2"/>
        <v>-13</v>
      </c>
      <c r="Y120" s="2"/>
      <c r="Z120" s="19">
        <f t="shared" si="3"/>
        <v>3.2911392405063289</v>
      </c>
    </row>
    <row r="121" spans="1:26" s="24" customFormat="1" hidden="1" outlineLevel="1" x14ac:dyDescent="0.25">
      <c r="A121" s="44"/>
      <c r="B121" s="11" t="str">
        <f>CONCATENATE("          ", "4342", " - ", "SALES RETURN NON TAXABLE-EVERY")</f>
        <v xml:space="preserve">          4342 - SALES RETURN NON TAXABLE-EVERY</v>
      </c>
      <c r="C121" s="11"/>
      <c r="D121" s="2">
        <f>-13.9</f>
        <v>-13.9</v>
      </c>
      <c r="E121" s="2"/>
      <c r="F121" s="19"/>
      <c r="G121" s="2"/>
      <c r="H121" s="2">
        <f>0</f>
        <v>0</v>
      </c>
      <c r="I121" s="2"/>
      <c r="J121" s="19"/>
      <c r="K121" s="2"/>
      <c r="L121" s="2">
        <f t="shared" si="0"/>
        <v>-13.9</v>
      </c>
      <c r="M121" s="2"/>
      <c r="N121" s="19">
        <f t="shared" si="1"/>
        <v>0</v>
      </c>
      <c r="O121" s="11"/>
      <c r="P121" s="2">
        <f>-93.75</f>
        <v>-93.75</v>
      </c>
      <c r="Q121" s="2"/>
      <c r="R121" s="19"/>
      <c r="S121" s="2"/>
      <c r="T121" s="2">
        <f>0</f>
        <v>0</v>
      </c>
      <c r="U121" s="2"/>
      <c r="V121" s="19"/>
      <c r="W121" s="2"/>
      <c r="X121" s="2">
        <f t="shared" si="2"/>
        <v>-93.75</v>
      </c>
      <c r="Y121" s="2"/>
      <c r="Z121" s="19">
        <f t="shared" si="3"/>
        <v>0</v>
      </c>
    </row>
    <row r="122" spans="1:26" s="24" customFormat="1" hidden="1" outlineLevel="1" x14ac:dyDescent="0.25">
      <c r="A122" s="44"/>
      <c r="B122" s="11" t="str">
        <f>CONCATENATE("          ", "4346", " - ", "SALES RETURN NON TAXABLE-COIN-")</f>
        <v xml:space="preserve">          4346 - SALES RETURN NON TAXABLE-COIN-</v>
      </c>
      <c r="C122" s="11"/>
      <c r="D122" s="2">
        <f>0</f>
        <v>0</v>
      </c>
      <c r="E122" s="2"/>
      <c r="F122" s="19"/>
      <c r="G122" s="2"/>
      <c r="H122" s="2">
        <f>-8.15</f>
        <v>-8.15</v>
      </c>
      <c r="I122" s="2"/>
      <c r="J122" s="19"/>
      <c r="K122" s="2"/>
      <c r="L122" s="2">
        <f t="shared" si="0"/>
        <v>8.15</v>
      </c>
      <c r="M122" s="2"/>
      <c r="N122" s="19">
        <f t="shared" si="1"/>
        <v>-1</v>
      </c>
      <c r="O122" s="11"/>
      <c r="P122" s="2">
        <f>0</f>
        <v>0</v>
      </c>
      <c r="Q122" s="2"/>
      <c r="R122" s="19"/>
      <c r="S122" s="2"/>
      <c r="T122" s="2">
        <f>-8.15</f>
        <v>-8.15</v>
      </c>
      <c r="U122" s="2"/>
      <c r="V122" s="19"/>
      <c r="W122" s="2"/>
      <c r="X122" s="2">
        <f t="shared" si="2"/>
        <v>8.15</v>
      </c>
      <c r="Y122" s="2"/>
      <c r="Z122" s="19">
        <f t="shared" si="3"/>
        <v>-1</v>
      </c>
    </row>
    <row r="123" spans="1:26" s="24" customFormat="1" hidden="1" outlineLevel="1" x14ac:dyDescent="0.25">
      <c r="A123" s="44"/>
      <c r="B123" s="11" t="str">
        <f>CONCATENATE("          ", "4381", " - ", "SALES RETURN NON TAXABLE-ELECT")</f>
        <v xml:space="preserve">          4381 - SALES RETURN NON TAXABLE-ELECT</v>
      </c>
      <c r="C123" s="11"/>
      <c r="D123" s="2">
        <f>-3625.2</f>
        <v>-3625.2</v>
      </c>
      <c r="E123" s="2"/>
      <c r="F123" s="19"/>
      <c r="G123" s="2"/>
      <c r="H123" s="2">
        <f>0</f>
        <v>0</v>
      </c>
      <c r="I123" s="2"/>
      <c r="J123" s="19"/>
      <c r="K123" s="2"/>
      <c r="L123" s="2">
        <f t="shared" si="0"/>
        <v>-3625.2</v>
      </c>
      <c r="M123" s="2"/>
      <c r="N123" s="19">
        <f t="shared" si="1"/>
        <v>0</v>
      </c>
      <c r="O123" s="11"/>
      <c r="P123" s="2">
        <f>-5374.2</f>
        <v>-5374.2</v>
      </c>
      <c r="Q123" s="2"/>
      <c r="R123" s="19"/>
      <c r="S123" s="2"/>
      <c r="T123" s="2">
        <f>0</f>
        <v>0</v>
      </c>
      <c r="U123" s="2"/>
      <c r="V123" s="19"/>
      <c r="W123" s="2"/>
      <c r="X123" s="2">
        <f t="shared" si="2"/>
        <v>-5374.2</v>
      </c>
      <c r="Y123" s="2"/>
      <c r="Z123" s="19">
        <f t="shared" si="3"/>
        <v>0</v>
      </c>
    </row>
    <row r="124" spans="1:26" s="24" customFormat="1" hidden="1" outlineLevel="1" x14ac:dyDescent="0.25">
      <c r="A124" s="44"/>
      <c r="B124" s="11" t="str">
        <f>CONCATENATE("          ", "4383", " - ", "SALES RETURN NON TAXABLE-COMPU")</f>
        <v xml:space="preserve">          4383 - SALES RETURN NON TAXABLE-COMPU</v>
      </c>
      <c r="C124" s="11"/>
      <c r="D124" s="2">
        <f t="shared" ref="D124:D125" si="26">0</f>
        <v>0</v>
      </c>
      <c r="E124" s="2"/>
      <c r="F124" s="19"/>
      <c r="G124" s="2"/>
      <c r="H124" s="2">
        <f>-24.99</f>
        <v>-24.99</v>
      </c>
      <c r="I124" s="2"/>
      <c r="J124" s="19"/>
      <c r="K124" s="2"/>
      <c r="L124" s="2">
        <f t="shared" si="0"/>
        <v>24.99</v>
      </c>
      <c r="M124" s="2"/>
      <c r="N124" s="19">
        <f t="shared" si="1"/>
        <v>-1</v>
      </c>
      <c r="O124" s="11"/>
      <c r="P124" s="2">
        <f t="shared" ref="P124:P125" si="27">0</f>
        <v>0</v>
      </c>
      <c r="Q124" s="2"/>
      <c r="R124" s="19"/>
      <c r="S124" s="2"/>
      <c r="T124" s="2">
        <f>-24.99</f>
        <v>-24.99</v>
      </c>
      <c r="U124" s="2"/>
      <c r="V124" s="19"/>
      <c r="W124" s="2"/>
      <c r="X124" s="2">
        <f t="shared" si="2"/>
        <v>24.99</v>
      </c>
      <c r="Y124" s="2"/>
      <c r="Z124" s="19">
        <f t="shared" si="3"/>
        <v>-1</v>
      </c>
    </row>
    <row r="125" spans="1:26" s="24" customFormat="1" hidden="1" outlineLevel="1" x14ac:dyDescent="0.25">
      <c r="A125" s="44"/>
      <c r="B125" s="11" t="str">
        <f>CONCATENATE("          ", "4386", " - ", "SALES RETURN NON TAXABLE-COMPU")</f>
        <v xml:space="preserve">          4386 - SALES RETURN NON TAXABLE-COMPU</v>
      </c>
      <c r="C125" s="11"/>
      <c r="D125" s="2">
        <f t="shared" si="26"/>
        <v>0</v>
      </c>
      <c r="E125" s="2"/>
      <c r="F125" s="19"/>
      <c r="G125" s="2"/>
      <c r="H125" s="2">
        <f>-19.99</f>
        <v>-19.989999999999998</v>
      </c>
      <c r="I125" s="2"/>
      <c r="J125" s="19"/>
      <c r="K125" s="2"/>
      <c r="L125" s="2">
        <f t="shared" si="0"/>
        <v>19.989999999999998</v>
      </c>
      <c r="M125" s="2"/>
      <c r="N125" s="19">
        <f t="shared" si="1"/>
        <v>-1</v>
      </c>
      <c r="O125" s="11"/>
      <c r="P125" s="2">
        <f t="shared" si="27"/>
        <v>0</v>
      </c>
      <c r="Q125" s="2"/>
      <c r="R125" s="19"/>
      <c r="S125" s="2"/>
      <c r="T125" s="2">
        <f>-19.99</f>
        <v>-19.989999999999998</v>
      </c>
      <c r="U125" s="2"/>
      <c r="V125" s="19"/>
      <c r="W125" s="2"/>
      <c r="X125" s="2">
        <f t="shared" si="2"/>
        <v>19.989999999999998</v>
      </c>
      <c r="Y125" s="2"/>
      <c r="Z125" s="19">
        <f t="shared" si="3"/>
        <v>-1</v>
      </c>
    </row>
    <row r="126" spans="1:26" x14ac:dyDescent="0.25">
      <c r="A126" s="9"/>
      <c r="B126" s="10"/>
      <c r="C126" s="9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collapsed="1" x14ac:dyDescent="0.25">
      <c r="A127" s="10"/>
      <c r="B127" s="25" t="s">
        <v>8</v>
      </c>
      <c r="C127" s="10"/>
      <c r="D127" s="4">
        <f>SUM(OSRRefD16x_0)</f>
        <v>1608162.8300000003</v>
      </c>
      <c r="E127" s="4"/>
      <c r="F127" s="12">
        <f t="shared" ref="F127:F181" si="28">IF(D$12=0,0,D127/D$12)</f>
        <v>0.72734892218640745</v>
      </c>
      <c r="G127" s="4"/>
      <c r="H127" s="4">
        <f>SUM(OSRRefH16x_0)</f>
        <v>2542832.4300000006</v>
      </c>
      <c r="I127" s="4"/>
      <c r="J127" s="12">
        <f t="shared" ref="J127:J181" si="29">IF(H$12=0,0,H127/H$12)</f>
        <v>0.60281040051828583</v>
      </c>
      <c r="K127" s="4"/>
      <c r="L127" s="4">
        <f t="shared" ref="L127:L181" si="30">+D127-H127</f>
        <v>-934669.60000000033</v>
      </c>
      <c r="M127" s="4"/>
      <c r="N127" s="12">
        <f t="shared" ref="N127:N181" si="31">IF(H127=0,0,L127/H127)</f>
        <v>-0.36757026887532662</v>
      </c>
      <c r="O127" s="10"/>
      <c r="P127" s="4">
        <f>SUM(OSRRefP16x_0)</f>
        <v>1944976.85</v>
      </c>
      <c r="Q127" s="4"/>
      <c r="R127" s="12">
        <f t="shared" ref="R127:R181" si="32">IF(P$12=0,0,P127/P$12)</f>
        <v>0.72360450930399067</v>
      </c>
      <c r="S127" s="4"/>
      <c r="T127" s="4">
        <f>SUM(OSRRefT16x_0)</f>
        <v>3332370.07</v>
      </c>
      <c r="U127" s="4"/>
      <c r="V127" s="12">
        <f t="shared" ref="V127:V181" si="33">IF(T$12=0,0,T127/T$12)</f>
        <v>0.5820523364034984</v>
      </c>
      <c r="W127" s="4"/>
      <c r="X127" s="4">
        <f t="shared" ref="X127:X181" si="34">+P127-T127</f>
        <v>-1387393.2199999997</v>
      </c>
      <c r="Y127" s="4"/>
      <c r="Z127" s="12">
        <f t="shared" ref="Z127:Z181" si="35">IF(T127=0,0,X127/T127)</f>
        <v>-0.41633827901953274</v>
      </c>
    </row>
    <row r="128" spans="1:26" s="24" customFormat="1" hidden="1" outlineLevel="1" x14ac:dyDescent="0.25">
      <c r="A128" s="44"/>
      <c r="B128" s="11" t="str">
        <f>CONCATENATE("          ", "5001", " - ", "PURCHASES @ COST-NEW TEXT")</f>
        <v xml:space="preserve">          5001 - PURCHASES @ COST-NEW TEXT</v>
      </c>
      <c r="C128" s="11"/>
      <c r="D128" s="2">
        <v>538222.14</v>
      </c>
      <c r="E128" s="2"/>
      <c r="F128" s="19">
        <f t="shared" si="28"/>
        <v>0.24343013413999975</v>
      </c>
      <c r="G128" s="2"/>
      <c r="H128" s="2">
        <v>1483764.14</v>
      </c>
      <c r="I128" s="2"/>
      <c r="J128" s="19">
        <f t="shared" si="29"/>
        <v>0.35174494589408306</v>
      </c>
      <c r="K128" s="2"/>
      <c r="L128" s="2">
        <f t="shared" si="30"/>
        <v>-945541.99999999988</v>
      </c>
      <c r="M128" s="2"/>
      <c r="N128" s="19">
        <f t="shared" si="31"/>
        <v>-0.63725896489181899</v>
      </c>
      <c r="O128" s="11"/>
      <c r="P128" s="2">
        <v>691332.77</v>
      </c>
      <c r="Q128" s="2"/>
      <c r="R128" s="19">
        <f t="shared" si="32"/>
        <v>0.25720178098861107</v>
      </c>
      <c r="S128" s="2"/>
      <c r="T128" s="2">
        <v>1827758.7</v>
      </c>
      <c r="U128" s="2"/>
      <c r="V128" s="19">
        <f t="shared" si="33"/>
        <v>0.31924762237371224</v>
      </c>
      <c r="W128" s="2"/>
      <c r="X128" s="2">
        <f t="shared" si="34"/>
        <v>-1136425.93</v>
      </c>
      <c r="Y128" s="2"/>
      <c r="Z128" s="19">
        <f t="shared" si="35"/>
        <v>-0.62175927818042942</v>
      </c>
    </row>
    <row r="129" spans="1:26" s="24" customFormat="1" hidden="1" outlineLevel="1" x14ac:dyDescent="0.25">
      <c r="A129" s="44"/>
      <c r="B129" s="11" t="str">
        <f>CONCATENATE("          ", "5002", " - ", "PURCHASES @ COST-USED TEXT")</f>
        <v xml:space="preserve">          5002 - PURCHASES @ COST-USED TEXT</v>
      </c>
      <c r="C129" s="11"/>
      <c r="D129" s="2">
        <v>128042.67</v>
      </c>
      <c r="E129" s="2"/>
      <c r="F129" s="19">
        <f t="shared" si="28"/>
        <v>5.7911858352285031E-2</v>
      </c>
      <c r="G129" s="2"/>
      <c r="H129" s="2">
        <v>224687.41999999998</v>
      </c>
      <c r="I129" s="2"/>
      <c r="J129" s="19">
        <f t="shared" si="29"/>
        <v>5.3264978078646052E-2</v>
      </c>
      <c r="K129" s="2"/>
      <c r="L129" s="2">
        <f t="shared" si="30"/>
        <v>-96644.749999999985</v>
      </c>
      <c r="M129" s="2"/>
      <c r="N129" s="19">
        <f t="shared" si="31"/>
        <v>-0.43012977762617949</v>
      </c>
      <c r="O129" s="11"/>
      <c r="P129" s="2">
        <v>188367.52</v>
      </c>
      <c r="Q129" s="2"/>
      <c r="R129" s="19">
        <f t="shared" si="32"/>
        <v>7.0079799087793576E-2</v>
      </c>
      <c r="S129" s="2"/>
      <c r="T129" s="2">
        <v>334980.67</v>
      </c>
      <c r="U129" s="2"/>
      <c r="V129" s="19">
        <f t="shared" si="33"/>
        <v>5.8509792588405198E-2</v>
      </c>
      <c r="W129" s="2"/>
      <c r="X129" s="2">
        <f t="shared" si="34"/>
        <v>-146613.15</v>
      </c>
      <c r="Y129" s="2"/>
      <c r="Z129" s="19">
        <f t="shared" si="35"/>
        <v>-0.4376764486141842</v>
      </c>
    </row>
    <row r="130" spans="1:26" s="24" customFormat="1" hidden="1" outlineLevel="1" x14ac:dyDescent="0.25">
      <c r="A130" s="44"/>
      <c r="B130" s="11" t="str">
        <f>CONCATENATE("          ", "5003", " - ", "PURCHASES @ COST-RENTAL TEXT")</f>
        <v xml:space="preserve">          5003 - PURCHASES @ COST-RENTAL TEXT</v>
      </c>
      <c r="C130" s="11"/>
      <c r="D130" s="2">
        <v>58.8</v>
      </c>
      <c r="E130" s="2"/>
      <c r="F130" s="19">
        <f t="shared" si="28"/>
        <v>2.6594394439871956E-5</v>
      </c>
      <c r="G130" s="2"/>
      <c r="H130" s="2">
        <v>-38374.199999999997</v>
      </c>
      <c r="I130" s="2"/>
      <c r="J130" s="19">
        <f t="shared" si="29"/>
        <v>-9.097086618314364E-3</v>
      </c>
      <c r="K130" s="2"/>
      <c r="L130" s="2">
        <f t="shared" si="30"/>
        <v>38433</v>
      </c>
      <c r="M130" s="2"/>
      <c r="N130" s="19">
        <f t="shared" si="31"/>
        <v>-1.0015322795002892</v>
      </c>
      <c r="O130" s="11"/>
      <c r="P130" s="2">
        <v>-11867.84</v>
      </c>
      <c r="Q130" s="2"/>
      <c r="R130" s="19">
        <f t="shared" si="32"/>
        <v>-4.4152826496100823E-3</v>
      </c>
      <c r="S130" s="2"/>
      <c r="T130" s="2">
        <v>-78.400000000000006</v>
      </c>
      <c r="U130" s="2"/>
      <c r="V130" s="19">
        <f t="shared" si="33"/>
        <v>-1.3693828180984197E-5</v>
      </c>
      <c r="W130" s="2"/>
      <c r="X130" s="2">
        <f t="shared" si="34"/>
        <v>-11789.44</v>
      </c>
      <c r="Y130" s="2"/>
      <c r="Z130" s="19">
        <f t="shared" si="35"/>
        <v>150.37551020408162</v>
      </c>
    </row>
    <row r="131" spans="1:26" s="24" customFormat="1" hidden="1" outlineLevel="1" x14ac:dyDescent="0.25">
      <c r="A131" s="44"/>
      <c r="B131" s="11" t="str">
        <f>CONCATENATE("          ", "5004", " - ", "PURCHASES @ COST-DIGITAL TEXT")</f>
        <v xml:space="preserve">          5004 - PURCHASES @ COST-DIGITAL TEXT</v>
      </c>
      <c r="C131" s="11"/>
      <c r="D131" s="2">
        <v>117504.49</v>
      </c>
      <c r="E131" s="2"/>
      <c r="F131" s="19">
        <f t="shared" si="28"/>
        <v>5.3145591080203912E-2</v>
      </c>
      <c r="G131" s="2"/>
      <c r="H131" s="2">
        <v>169007.92</v>
      </c>
      <c r="I131" s="2"/>
      <c r="J131" s="19">
        <f t="shared" si="29"/>
        <v>4.0065452502492424E-2</v>
      </c>
      <c r="K131" s="2"/>
      <c r="L131" s="2">
        <f t="shared" si="30"/>
        <v>-51503.430000000008</v>
      </c>
      <c r="M131" s="2"/>
      <c r="N131" s="19">
        <f t="shared" si="31"/>
        <v>-0.30473974237420354</v>
      </c>
      <c r="O131" s="11"/>
      <c r="P131" s="2">
        <v>122429.97</v>
      </c>
      <c r="Q131" s="2"/>
      <c r="R131" s="19">
        <f t="shared" si="32"/>
        <v>4.5548551575794995E-2</v>
      </c>
      <c r="S131" s="2"/>
      <c r="T131" s="2">
        <v>302966.49000000005</v>
      </c>
      <c r="U131" s="2"/>
      <c r="V131" s="19">
        <f t="shared" si="33"/>
        <v>5.2917998197141165E-2</v>
      </c>
      <c r="W131" s="2"/>
      <c r="X131" s="2">
        <f t="shared" si="34"/>
        <v>-180536.52000000005</v>
      </c>
      <c r="Y131" s="2"/>
      <c r="Z131" s="19">
        <f t="shared" si="35"/>
        <v>-0.59589600156769817</v>
      </c>
    </row>
    <row r="132" spans="1:26" s="24" customFormat="1" hidden="1" outlineLevel="1" x14ac:dyDescent="0.25">
      <c r="A132" s="44"/>
      <c r="B132" s="11" t="str">
        <f>CONCATENATE("          ", "5011", " - ", "PURCHASES @ COST-NO VALUE TEXT")</f>
        <v xml:space="preserve">          5011 - PURCHASES @ COST-NO VALUE TEXT</v>
      </c>
      <c r="C132" s="11"/>
      <c r="D132" s="2"/>
      <c r="E132" s="2"/>
      <c r="F132" s="19">
        <f t="shared" si="28"/>
        <v>0</v>
      </c>
      <c r="G132" s="2"/>
      <c r="H132" s="2">
        <v>369</v>
      </c>
      <c r="I132" s="2"/>
      <c r="J132" s="19">
        <f t="shared" si="29"/>
        <v>8.7476089720645668E-5</v>
      </c>
      <c r="K132" s="2"/>
      <c r="L132" s="2">
        <f t="shared" si="30"/>
        <v>-369</v>
      </c>
      <c r="M132" s="2"/>
      <c r="N132" s="19">
        <f t="shared" si="31"/>
        <v>-1</v>
      </c>
      <c r="O132" s="11"/>
      <c r="P132" s="2"/>
      <c r="Q132" s="2"/>
      <c r="R132" s="19">
        <f t="shared" si="32"/>
        <v>0</v>
      </c>
      <c r="S132" s="2"/>
      <c r="T132" s="2">
        <v>657</v>
      </c>
      <c r="U132" s="2"/>
      <c r="V132" s="19">
        <f t="shared" si="33"/>
        <v>1.147556774860538E-4</v>
      </c>
      <c r="W132" s="2"/>
      <c r="X132" s="2">
        <f t="shared" si="34"/>
        <v>-657</v>
      </c>
      <c r="Y132" s="2"/>
      <c r="Z132" s="19">
        <f t="shared" si="35"/>
        <v>-1</v>
      </c>
    </row>
    <row r="133" spans="1:26" s="24" customFormat="1" hidden="1" outlineLevel="1" x14ac:dyDescent="0.25">
      <c r="A133" s="44"/>
      <c r="B133" s="11" t="str">
        <f>CONCATENATE("          ", "5013", " - ", "PURCHASES @ COST-TRADE BOOKS")</f>
        <v xml:space="preserve">          5013 - PURCHASES @ COST-TRADE BOOKS</v>
      </c>
      <c r="C133" s="11"/>
      <c r="D133" s="2"/>
      <c r="E133" s="2"/>
      <c r="F133" s="19">
        <f t="shared" si="28"/>
        <v>0</v>
      </c>
      <c r="G133" s="2"/>
      <c r="H133" s="2"/>
      <c r="I133" s="2"/>
      <c r="J133" s="19">
        <f t="shared" si="29"/>
        <v>0</v>
      </c>
      <c r="K133" s="2"/>
      <c r="L133" s="2">
        <f t="shared" si="30"/>
        <v>0</v>
      </c>
      <c r="M133" s="2"/>
      <c r="N133" s="19">
        <f t="shared" si="31"/>
        <v>0</v>
      </c>
      <c r="O133" s="11"/>
      <c r="P133" s="2">
        <v>108.54</v>
      </c>
      <c r="Q133" s="2"/>
      <c r="R133" s="19">
        <f t="shared" si="32"/>
        <v>4.0380960544520181E-5</v>
      </c>
      <c r="S133" s="2"/>
      <c r="T133" s="2">
        <v>204.9</v>
      </c>
      <c r="U133" s="2"/>
      <c r="V133" s="19">
        <f t="shared" si="33"/>
        <v>3.5789099416883443E-5</v>
      </c>
      <c r="W133" s="2"/>
      <c r="X133" s="2">
        <f t="shared" si="34"/>
        <v>-96.36</v>
      </c>
      <c r="Y133" s="2"/>
      <c r="Z133" s="19">
        <f t="shared" si="35"/>
        <v>-0.47027818448023423</v>
      </c>
    </row>
    <row r="134" spans="1:26" s="24" customFormat="1" hidden="1" outlineLevel="1" x14ac:dyDescent="0.25">
      <c r="A134" s="44"/>
      <c r="B134" s="11" t="str">
        <f>CONCATENATE("          ", "5014", " - ", "PURCHASES @ COST-REMAINDERS")</f>
        <v xml:space="preserve">          5014 - PURCHASES @ COST-REMAINDERS</v>
      </c>
      <c r="C134" s="11"/>
      <c r="D134" s="2"/>
      <c r="E134" s="2"/>
      <c r="F134" s="19">
        <f t="shared" si="28"/>
        <v>0</v>
      </c>
      <c r="G134" s="2"/>
      <c r="H134" s="2">
        <v>133.84</v>
      </c>
      <c r="I134" s="2"/>
      <c r="J134" s="19">
        <f t="shared" si="29"/>
        <v>3.1728454873201129E-5</v>
      </c>
      <c r="K134" s="2"/>
      <c r="L134" s="2">
        <f t="shared" si="30"/>
        <v>-133.84</v>
      </c>
      <c r="M134" s="2"/>
      <c r="N134" s="19">
        <f t="shared" si="31"/>
        <v>-1</v>
      </c>
      <c r="O134" s="11"/>
      <c r="P134" s="2">
        <v>-12.51</v>
      </c>
      <c r="Q134" s="2"/>
      <c r="R134" s="19">
        <f t="shared" si="32"/>
        <v>-4.6541903115160069E-6</v>
      </c>
      <c r="S134" s="2"/>
      <c r="T134" s="2">
        <v>234.32</v>
      </c>
      <c r="U134" s="2"/>
      <c r="V134" s="19">
        <f t="shared" si="33"/>
        <v>4.0927778308268071E-5</v>
      </c>
      <c r="W134" s="2"/>
      <c r="X134" s="2">
        <f t="shared" si="34"/>
        <v>-246.82999999999998</v>
      </c>
      <c r="Y134" s="2"/>
      <c r="Z134" s="19">
        <f t="shared" si="35"/>
        <v>-1.0533885285080231</v>
      </c>
    </row>
    <row r="135" spans="1:26" s="24" customFormat="1" hidden="1" outlineLevel="1" x14ac:dyDescent="0.25">
      <c r="A135" s="44"/>
      <c r="B135" s="11" t="str">
        <f>CONCATENATE("          ", "5017", " - ", "PURCHASES @ COST-DORM/HOUSEWAR")</f>
        <v xml:space="preserve">          5017 - PURCHASES @ COST-DORM/HOUSEWAR</v>
      </c>
      <c r="C135" s="11"/>
      <c r="D135" s="2"/>
      <c r="E135" s="2"/>
      <c r="F135" s="19">
        <f t="shared" si="28"/>
        <v>0</v>
      </c>
      <c r="G135" s="2"/>
      <c r="H135" s="2">
        <v>139.86000000000001</v>
      </c>
      <c r="I135" s="2"/>
      <c r="J135" s="19">
        <f t="shared" si="29"/>
        <v>3.3155571567288626E-5</v>
      </c>
      <c r="K135" s="2"/>
      <c r="L135" s="2">
        <f t="shared" si="30"/>
        <v>-139.86000000000001</v>
      </c>
      <c r="M135" s="2"/>
      <c r="N135" s="19">
        <f t="shared" si="31"/>
        <v>-1</v>
      </c>
      <c r="O135" s="11"/>
      <c r="P135" s="2"/>
      <c r="Q135" s="2"/>
      <c r="R135" s="19">
        <f t="shared" si="32"/>
        <v>0</v>
      </c>
      <c r="S135" s="2"/>
      <c r="T135" s="2">
        <v>139.86000000000001</v>
      </c>
      <c r="U135" s="2"/>
      <c r="V135" s="19">
        <f t="shared" si="33"/>
        <v>2.4428811344291452E-5</v>
      </c>
      <c r="W135" s="2"/>
      <c r="X135" s="2">
        <f t="shared" si="34"/>
        <v>-139.86000000000001</v>
      </c>
      <c r="Y135" s="2"/>
      <c r="Z135" s="19">
        <f t="shared" si="35"/>
        <v>-1</v>
      </c>
    </row>
    <row r="136" spans="1:26" s="24" customFormat="1" hidden="1" outlineLevel="1" x14ac:dyDescent="0.25">
      <c r="A136" s="44"/>
      <c r="B136" s="11" t="str">
        <f>CONCATENATE("          ", "5018", " - ", "PURCHASES @ COST-STUDY GUIDES")</f>
        <v xml:space="preserve">          5018 - PURCHASES @ COST-STUDY GUIDES</v>
      </c>
      <c r="C136" s="11"/>
      <c r="D136" s="2"/>
      <c r="E136" s="2"/>
      <c r="F136" s="19">
        <f t="shared" si="28"/>
        <v>0</v>
      </c>
      <c r="G136" s="2"/>
      <c r="H136" s="2"/>
      <c r="I136" s="2"/>
      <c r="J136" s="19">
        <f t="shared" si="29"/>
        <v>0</v>
      </c>
      <c r="K136" s="2"/>
      <c r="L136" s="2">
        <f t="shared" si="30"/>
        <v>0</v>
      </c>
      <c r="M136" s="2"/>
      <c r="N136" s="19">
        <f t="shared" si="31"/>
        <v>0</v>
      </c>
      <c r="O136" s="11"/>
      <c r="P136" s="2"/>
      <c r="Q136" s="2"/>
      <c r="R136" s="19">
        <f t="shared" si="32"/>
        <v>0</v>
      </c>
      <c r="S136" s="2"/>
      <c r="T136" s="2">
        <v>503.93</v>
      </c>
      <c r="U136" s="2"/>
      <c r="V136" s="19">
        <f t="shared" si="33"/>
        <v>8.8019525959736822E-5</v>
      </c>
      <c r="W136" s="2"/>
      <c r="X136" s="2">
        <f t="shared" si="34"/>
        <v>-503.93</v>
      </c>
      <c r="Y136" s="2"/>
      <c r="Z136" s="19">
        <f t="shared" si="35"/>
        <v>-1</v>
      </c>
    </row>
    <row r="137" spans="1:26" s="24" customFormat="1" hidden="1" outlineLevel="1" x14ac:dyDescent="0.25">
      <c r="A137" s="44"/>
      <c r="B137" s="11" t="str">
        <f>CONCATENATE("          ", "5025", " - ", "PURCHASES @ COST-TEST FORMS")</f>
        <v xml:space="preserve">          5025 - PURCHASES @ COST-TEST FORMS</v>
      </c>
      <c r="C137" s="11"/>
      <c r="D137" s="2"/>
      <c r="E137" s="2"/>
      <c r="F137" s="19">
        <f t="shared" si="28"/>
        <v>0</v>
      </c>
      <c r="G137" s="2"/>
      <c r="H137" s="2">
        <v>878.02</v>
      </c>
      <c r="I137" s="2"/>
      <c r="J137" s="19">
        <f t="shared" si="29"/>
        <v>2.0814568102038293E-4</v>
      </c>
      <c r="K137" s="2"/>
      <c r="L137" s="2">
        <f t="shared" si="30"/>
        <v>-878.02</v>
      </c>
      <c r="M137" s="2"/>
      <c r="N137" s="19">
        <f t="shared" si="31"/>
        <v>-1</v>
      </c>
      <c r="O137" s="11"/>
      <c r="P137" s="2"/>
      <c r="Q137" s="2"/>
      <c r="R137" s="19">
        <f t="shared" si="32"/>
        <v>0</v>
      </c>
      <c r="S137" s="2"/>
      <c r="T137" s="2">
        <v>1757.14</v>
      </c>
      <c r="U137" s="2"/>
      <c r="V137" s="19">
        <f t="shared" si="33"/>
        <v>3.069129241063083E-4</v>
      </c>
      <c r="W137" s="2"/>
      <c r="X137" s="2">
        <f t="shared" si="34"/>
        <v>-1757.14</v>
      </c>
      <c r="Y137" s="2"/>
      <c r="Z137" s="19">
        <f t="shared" si="35"/>
        <v>-1</v>
      </c>
    </row>
    <row r="138" spans="1:26" s="24" customFormat="1" hidden="1" outlineLevel="1" x14ac:dyDescent="0.25">
      <c r="A138" s="44"/>
      <c r="B138" s="11" t="str">
        <f>CONCATENATE("          ", "5026", " - ", "PURCHASES @ COST-WRITING INSTR")</f>
        <v xml:space="preserve">          5026 - PURCHASES @ COST-WRITING INSTR</v>
      </c>
      <c r="C138" s="11"/>
      <c r="D138" s="2"/>
      <c r="E138" s="2"/>
      <c r="F138" s="19">
        <f t="shared" si="28"/>
        <v>0</v>
      </c>
      <c r="G138" s="2"/>
      <c r="H138" s="2">
        <v>2205.4899999999998</v>
      </c>
      <c r="I138" s="2"/>
      <c r="J138" s="19">
        <f t="shared" si="29"/>
        <v>5.228391358211024E-4</v>
      </c>
      <c r="K138" s="2"/>
      <c r="L138" s="2">
        <f t="shared" si="30"/>
        <v>-2205.4899999999998</v>
      </c>
      <c r="M138" s="2"/>
      <c r="N138" s="19">
        <f t="shared" si="31"/>
        <v>-1</v>
      </c>
      <c r="O138" s="11"/>
      <c r="P138" s="2"/>
      <c r="Q138" s="2"/>
      <c r="R138" s="19">
        <f t="shared" si="32"/>
        <v>0</v>
      </c>
      <c r="S138" s="2"/>
      <c r="T138" s="2">
        <v>12536.53</v>
      </c>
      <c r="U138" s="2"/>
      <c r="V138" s="19">
        <f t="shared" si="33"/>
        <v>2.1897077526244111E-3</v>
      </c>
      <c r="W138" s="2"/>
      <c r="X138" s="2">
        <f t="shared" si="34"/>
        <v>-12536.53</v>
      </c>
      <c r="Y138" s="2"/>
      <c r="Z138" s="19">
        <f t="shared" si="35"/>
        <v>-1</v>
      </c>
    </row>
    <row r="139" spans="1:26" s="24" customFormat="1" hidden="1" outlineLevel="1" x14ac:dyDescent="0.25">
      <c r="A139" s="44"/>
      <c r="B139" s="11" t="str">
        <f>CONCATENATE("          ", "5027", " - ", "PURCHASES @ COST-SCHOOL SUPPLI")</f>
        <v xml:space="preserve">          5027 - PURCHASES @ COST-SCHOOL SUPPLI</v>
      </c>
      <c r="C139" s="11"/>
      <c r="D139" s="2"/>
      <c r="E139" s="2"/>
      <c r="F139" s="19">
        <f t="shared" si="28"/>
        <v>0</v>
      </c>
      <c r="G139" s="2"/>
      <c r="H139" s="2">
        <v>-588.74</v>
      </c>
      <c r="I139" s="2"/>
      <c r="J139" s="19">
        <f t="shared" si="29"/>
        <v>-1.3956821968057705E-4</v>
      </c>
      <c r="K139" s="2"/>
      <c r="L139" s="2">
        <f t="shared" si="30"/>
        <v>588.74</v>
      </c>
      <c r="M139" s="2"/>
      <c r="N139" s="19">
        <f t="shared" si="31"/>
        <v>-1</v>
      </c>
      <c r="O139" s="11"/>
      <c r="P139" s="2">
        <v>8503.4</v>
      </c>
      <c r="Q139" s="2"/>
      <c r="R139" s="19">
        <f t="shared" si="32"/>
        <v>3.1635844840084103E-3</v>
      </c>
      <c r="S139" s="2"/>
      <c r="T139" s="2">
        <v>49526.729999999996</v>
      </c>
      <c r="U139" s="2"/>
      <c r="V139" s="19">
        <f t="shared" si="33"/>
        <v>8.6506445278825943E-3</v>
      </c>
      <c r="W139" s="2"/>
      <c r="X139" s="2">
        <f t="shared" si="34"/>
        <v>-41023.329999999994</v>
      </c>
      <c r="Y139" s="2"/>
      <c r="Z139" s="19">
        <f t="shared" si="35"/>
        <v>-0.82830685571205687</v>
      </c>
    </row>
    <row r="140" spans="1:26" s="24" customFormat="1" hidden="1" outlineLevel="1" x14ac:dyDescent="0.25">
      <c r="A140" s="44"/>
      <c r="B140" s="11" t="str">
        <f>CONCATENATE("          ", "5028", " - ", "PURCHASES @ COST-ART/TECH")</f>
        <v xml:space="preserve">          5028 - PURCHASES @ COST-ART/TECH</v>
      </c>
      <c r="C140" s="11"/>
      <c r="D140" s="2"/>
      <c r="E140" s="2"/>
      <c r="F140" s="19">
        <f t="shared" si="28"/>
        <v>0</v>
      </c>
      <c r="G140" s="2"/>
      <c r="H140" s="2">
        <v>27987.119999999999</v>
      </c>
      <c r="I140" s="2"/>
      <c r="J140" s="19">
        <f t="shared" si="29"/>
        <v>6.6346986995731074E-3</v>
      </c>
      <c r="K140" s="2"/>
      <c r="L140" s="2">
        <f t="shared" si="30"/>
        <v>-27987.119999999999</v>
      </c>
      <c r="M140" s="2"/>
      <c r="N140" s="19">
        <f t="shared" si="31"/>
        <v>-1</v>
      </c>
      <c r="O140" s="11"/>
      <c r="P140" s="2"/>
      <c r="Q140" s="2"/>
      <c r="R140" s="19">
        <f t="shared" si="32"/>
        <v>0</v>
      </c>
      <c r="S140" s="2"/>
      <c r="T140" s="2">
        <v>56014.77</v>
      </c>
      <c r="U140" s="2"/>
      <c r="V140" s="19">
        <f t="shared" si="33"/>
        <v>9.7838856629763795E-3</v>
      </c>
      <c r="W140" s="2"/>
      <c r="X140" s="2">
        <f t="shared" si="34"/>
        <v>-56014.77</v>
      </c>
      <c r="Y140" s="2"/>
      <c r="Z140" s="19">
        <f t="shared" si="35"/>
        <v>-1</v>
      </c>
    </row>
    <row r="141" spans="1:26" s="24" customFormat="1" hidden="1" outlineLevel="1" x14ac:dyDescent="0.25">
      <c r="A141" s="44"/>
      <c r="B141" s="11" t="str">
        <f>CONCATENATE("          ", "5031", " - ", "PURCHASES @ COST-FOOD")</f>
        <v xml:space="preserve">          5031 - PURCHASES @ COST-FOOD</v>
      </c>
      <c r="C141" s="11"/>
      <c r="D141" s="2"/>
      <c r="E141" s="2"/>
      <c r="F141" s="19">
        <f t="shared" si="28"/>
        <v>0</v>
      </c>
      <c r="G141" s="2"/>
      <c r="H141" s="2">
        <v>2679.04</v>
      </c>
      <c r="I141" s="2"/>
      <c r="J141" s="19">
        <f t="shared" si="29"/>
        <v>6.3510011762926439E-4</v>
      </c>
      <c r="K141" s="2"/>
      <c r="L141" s="2">
        <f t="shared" si="30"/>
        <v>-2679.04</v>
      </c>
      <c r="M141" s="2"/>
      <c r="N141" s="19">
        <f t="shared" si="31"/>
        <v>-1</v>
      </c>
      <c r="O141" s="11"/>
      <c r="P141" s="2"/>
      <c r="Q141" s="2"/>
      <c r="R141" s="19">
        <f t="shared" si="32"/>
        <v>0</v>
      </c>
      <c r="S141" s="2"/>
      <c r="T141" s="2">
        <v>2679.04</v>
      </c>
      <c r="U141" s="2"/>
      <c r="V141" s="19">
        <f t="shared" si="33"/>
        <v>4.6793767155591713E-4</v>
      </c>
      <c r="W141" s="2"/>
      <c r="X141" s="2">
        <f t="shared" si="34"/>
        <v>-2679.04</v>
      </c>
      <c r="Y141" s="2"/>
      <c r="Z141" s="19">
        <f t="shared" si="35"/>
        <v>-1</v>
      </c>
    </row>
    <row r="142" spans="1:26" s="24" customFormat="1" hidden="1" outlineLevel="1" x14ac:dyDescent="0.25">
      <c r="A142" s="44"/>
      <c r="B142" s="11" t="str">
        <f>CONCATENATE("          ", "5032", " - ", "PURCHASES @ COST-JUICE")</f>
        <v xml:space="preserve">          5032 - PURCHASES @ COST-JUICE</v>
      </c>
      <c r="C142" s="11"/>
      <c r="D142" s="2"/>
      <c r="E142" s="2"/>
      <c r="F142" s="19">
        <f t="shared" si="28"/>
        <v>0</v>
      </c>
      <c r="G142" s="2"/>
      <c r="H142" s="2">
        <v>227.18</v>
      </c>
      <c r="I142" s="2"/>
      <c r="J142" s="19">
        <f t="shared" si="29"/>
        <v>5.3855875508770413E-5</v>
      </c>
      <c r="K142" s="2"/>
      <c r="L142" s="2">
        <f t="shared" si="30"/>
        <v>-227.18</v>
      </c>
      <c r="M142" s="2"/>
      <c r="N142" s="19">
        <f t="shared" si="31"/>
        <v>-1</v>
      </c>
      <c r="O142" s="11"/>
      <c r="P142" s="2"/>
      <c r="Q142" s="2"/>
      <c r="R142" s="19">
        <f t="shared" si="32"/>
        <v>0</v>
      </c>
      <c r="S142" s="2"/>
      <c r="T142" s="2">
        <v>341.6</v>
      </c>
      <c r="U142" s="2"/>
      <c r="V142" s="19">
        <f t="shared" si="33"/>
        <v>5.9665965645716863E-5</v>
      </c>
      <c r="W142" s="2"/>
      <c r="X142" s="2">
        <f t="shared" si="34"/>
        <v>-341.6</v>
      </c>
      <c r="Y142" s="2"/>
      <c r="Z142" s="19">
        <f t="shared" si="35"/>
        <v>-1</v>
      </c>
    </row>
    <row r="143" spans="1:26" s="24" customFormat="1" hidden="1" outlineLevel="1" x14ac:dyDescent="0.25">
      <c r="A143" s="44"/>
      <c r="B143" s="11" t="str">
        <f>CONCATENATE("          ", "5033", " - ", "PURCHASES @ COST-CANDY")</f>
        <v xml:space="preserve">          5033 - PURCHASES @ COST-CANDY</v>
      </c>
      <c r="C143" s="11"/>
      <c r="D143" s="2"/>
      <c r="E143" s="2"/>
      <c r="F143" s="19">
        <f t="shared" si="28"/>
        <v>0</v>
      </c>
      <c r="G143" s="2"/>
      <c r="H143" s="2">
        <v>986.46</v>
      </c>
      <c r="I143" s="2"/>
      <c r="J143" s="19">
        <f t="shared" si="29"/>
        <v>2.3385274651985941E-4</v>
      </c>
      <c r="K143" s="2"/>
      <c r="L143" s="2">
        <f t="shared" si="30"/>
        <v>-986.46</v>
      </c>
      <c r="M143" s="2"/>
      <c r="N143" s="19">
        <f t="shared" si="31"/>
        <v>-1</v>
      </c>
      <c r="O143" s="11"/>
      <c r="P143" s="2"/>
      <c r="Q143" s="2"/>
      <c r="R143" s="19">
        <f t="shared" si="32"/>
        <v>0</v>
      </c>
      <c r="S143" s="2"/>
      <c r="T143" s="2">
        <v>986.46</v>
      </c>
      <c r="U143" s="2"/>
      <c r="V143" s="19">
        <f t="shared" si="33"/>
        <v>1.7230119575782743E-4</v>
      </c>
      <c r="W143" s="2"/>
      <c r="X143" s="2">
        <f t="shared" si="34"/>
        <v>-986.46</v>
      </c>
      <c r="Y143" s="2"/>
      <c r="Z143" s="19">
        <f t="shared" si="35"/>
        <v>-1</v>
      </c>
    </row>
    <row r="144" spans="1:26" s="24" customFormat="1" hidden="1" outlineLevel="1" x14ac:dyDescent="0.25">
      <c r="A144" s="44"/>
      <c r="B144" s="11" t="str">
        <f>CONCATENATE("          ", "5034", " - ", "PURCHASES @ COST-SODA")</f>
        <v xml:space="preserve">          5034 - PURCHASES @ COST-SODA</v>
      </c>
      <c r="C144" s="11"/>
      <c r="D144" s="2"/>
      <c r="E144" s="2"/>
      <c r="F144" s="19">
        <f t="shared" si="28"/>
        <v>0</v>
      </c>
      <c r="G144" s="2"/>
      <c r="H144" s="2">
        <v>350.04</v>
      </c>
      <c r="I144" s="2"/>
      <c r="J144" s="19">
        <f t="shared" si="29"/>
        <v>8.298138332199136E-5</v>
      </c>
      <c r="K144" s="2"/>
      <c r="L144" s="2">
        <f t="shared" si="30"/>
        <v>-350.04</v>
      </c>
      <c r="M144" s="2"/>
      <c r="N144" s="19">
        <f t="shared" si="31"/>
        <v>-1</v>
      </c>
      <c r="O144" s="11"/>
      <c r="P144" s="2"/>
      <c r="Q144" s="2"/>
      <c r="R144" s="19">
        <f t="shared" si="32"/>
        <v>0</v>
      </c>
      <c r="S144" s="2"/>
      <c r="T144" s="2">
        <v>288.5</v>
      </c>
      <c r="U144" s="2"/>
      <c r="V144" s="19">
        <f t="shared" si="33"/>
        <v>5.0391191711912512E-5</v>
      </c>
      <c r="W144" s="2"/>
      <c r="X144" s="2">
        <f t="shared" si="34"/>
        <v>-288.5</v>
      </c>
      <c r="Y144" s="2"/>
      <c r="Z144" s="19">
        <f t="shared" si="35"/>
        <v>-1</v>
      </c>
    </row>
    <row r="145" spans="1:26" s="24" customFormat="1" hidden="1" outlineLevel="1" x14ac:dyDescent="0.25">
      <c r="A145" s="44"/>
      <c r="B145" s="11" t="str">
        <f>CONCATENATE("          ", "5035", " - ", "PURCHASES @ COST-HEALTH &amp; BEAU")</f>
        <v xml:space="preserve">          5035 - PURCHASES @ COST-HEALTH &amp; BEAU</v>
      </c>
      <c r="C145" s="11"/>
      <c r="D145" s="2"/>
      <c r="E145" s="2"/>
      <c r="F145" s="19">
        <f t="shared" si="28"/>
        <v>0</v>
      </c>
      <c r="G145" s="2"/>
      <c r="H145" s="2">
        <v>76.73</v>
      </c>
      <c r="I145" s="2"/>
      <c r="J145" s="19">
        <f t="shared" si="29"/>
        <v>1.8189811285271386E-5</v>
      </c>
      <c r="K145" s="2"/>
      <c r="L145" s="2">
        <f t="shared" si="30"/>
        <v>-76.73</v>
      </c>
      <c r="M145" s="2"/>
      <c r="N145" s="19">
        <f t="shared" si="31"/>
        <v>-1</v>
      </c>
      <c r="O145" s="11"/>
      <c r="P145" s="2"/>
      <c r="Q145" s="2"/>
      <c r="R145" s="19">
        <f t="shared" si="32"/>
        <v>0</v>
      </c>
      <c r="S145" s="2"/>
      <c r="T145" s="2">
        <v>76.73</v>
      </c>
      <c r="U145" s="2"/>
      <c r="V145" s="19">
        <f t="shared" si="33"/>
        <v>1.3402135667435172E-5</v>
      </c>
      <c r="W145" s="2"/>
      <c r="X145" s="2">
        <f t="shared" si="34"/>
        <v>-76.73</v>
      </c>
      <c r="Y145" s="2"/>
      <c r="Z145" s="19">
        <f t="shared" si="35"/>
        <v>-1</v>
      </c>
    </row>
    <row r="146" spans="1:26" s="24" customFormat="1" hidden="1" outlineLevel="1" x14ac:dyDescent="0.25">
      <c r="A146" s="44"/>
      <c r="B146" s="11" t="str">
        <f>CONCATENATE("          ", "5037", " - ", "PURCHASES @ COST-WATER")</f>
        <v xml:space="preserve">          5037 - PURCHASES @ COST-WATER</v>
      </c>
      <c r="C146" s="11"/>
      <c r="D146" s="2"/>
      <c r="E146" s="2"/>
      <c r="F146" s="19">
        <f t="shared" si="28"/>
        <v>0</v>
      </c>
      <c r="G146" s="2"/>
      <c r="H146" s="2">
        <v>462.36</v>
      </c>
      <c r="I146" s="2"/>
      <c r="J146" s="19">
        <f t="shared" si="29"/>
        <v>1.0960825160769033E-4</v>
      </c>
      <c r="K146" s="2"/>
      <c r="L146" s="2">
        <f t="shared" si="30"/>
        <v>-462.36</v>
      </c>
      <c r="M146" s="2"/>
      <c r="N146" s="19">
        <f t="shared" si="31"/>
        <v>-1</v>
      </c>
      <c r="O146" s="11"/>
      <c r="P146" s="2"/>
      <c r="Q146" s="2"/>
      <c r="R146" s="19">
        <f t="shared" si="32"/>
        <v>0</v>
      </c>
      <c r="S146" s="2"/>
      <c r="T146" s="2">
        <v>495.94</v>
      </c>
      <c r="U146" s="2"/>
      <c r="V146" s="19">
        <f t="shared" si="33"/>
        <v>8.6623943215271716E-5</v>
      </c>
      <c r="W146" s="2"/>
      <c r="X146" s="2">
        <f t="shared" si="34"/>
        <v>-495.94</v>
      </c>
      <c r="Y146" s="2"/>
      <c r="Z146" s="19">
        <f t="shared" si="35"/>
        <v>-1</v>
      </c>
    </row>
    <row r="147" spans="1:26" s="24" customFormat="1" hidden="1" outlineLevel="1" x14ac:dyDescent="0.25">
      <c r="A147" s="44"/>
      <c r="B147" s="11" t="str">
        <f>CONCATENATE("          ", "5040", " - ", "PURCHASES @ COST-LOGO CLOTHING")</f>
        <v xml:space="preserve">          5040 - PURCHASES @ COST-LOGO CLOTHING</v>
      </c>
      <c r="C147" s="11"/>
      <c r="D147" s="2">
        <v>7628.83</v>
      </c>
      <c r="E147" s="2"/>
      <c r="F147" s="19">
        <f t="shared" si="28"/>
        <v>3.4504101043321151E-3</v>
      </c>
      <c r="G147" s="2"/>
      <c r="H147" s="2">
        <v>106647.4</v>
      </c>
      <c r="I147" s="2"/>
      <c r="J147" s="19">
        <f t="shared" si="29"/>
        <v>2.5282107129738714E-2</v>
      </c>
      <c r="K147" s="2"/>
      <c r="L147" s="2">
        <f t="shared" si="30"/>
        <v>-99018.569999999992</v>
      </c>
      <c r="M147" s="2"/>
      <c r="N147" s="19">
        <f t="shared" si="31"/>
        <v>-0.92846679806540056</v>
      </c>
      <c r="O147" s="11"/>
      <c r="P147" s="2">
        <v>9351.9</v>
      </c>
      <c r="Q147" s="2"/>
      <c r="R147" s="19">
        <f t="shared" si="32"/>
        <v>3.4792583832347359E-3</v>
      </c>
      <c r="S147" s="2"/>
      <c r="T147" s="2">
        <v>185568.97</v>
      </c>
      <c r="U147" s="2"/>
      <c r="V147" s="19">
        <f t="shared" si="33"/>
        <v>3.2412622332936361E-2</v>
      </c>
      <c r="W147" s="2"/>
      <c r="X147" s="2">
        <f t="shared" si="34"/>
        <v>-176217.07</v>
      </c>
      <c r="Y147" s="2"/>
      <c r="Z147" s="19">
        <f t="shared" si="35"/>
        <v>-0.9496041822078336</v>
      </c>
    </row>
    <row r="148" spans="1:26" s="24" customFormat="1" hidden="1" outlineLevel="1" x14ac:dyDescent="0.25">
      <c r="A148" s="44"/>
      <c r="B148" s="11" t="str">
        <f>CONCATENATE("          ", "5041", " - ", "PURCHASES @ COST-LOGO GIFTS")</f>
        <v xml:space="preserve">          5041 - PURCHASES @ COST-LOGO GIFTS</v>
      </c>
      <c r="C148" s="11"/>
      <c r="D148" s="2">
        <v>1843.29</v>
      </c>
      <c r="E148" s="2"/>
      <c r="F148" s="19">
        <f t="shared" si="28"/>
        <v>8.3369355998421052E-4</v>
      </c>
      <c r="G148" s="2"/>
      <c r="H148" s="2">
        <v>16578.89</v>
      </c>
      <c r="I148" s="2"/>
      <c r="J148" s="19">
        <f t="shared" si="29"/>
        <v>3.9302343336279546E-3</v>
      </c>
      <c r="K148" s="2"/>
      <c r="L148" s="2">
        <f t="shared" si="30"/>
        <v>-14735.599999999999</v>
      </c>
      <c r="M148" s="2"/>
      <c r="N148" s="19">
        <f t="shared" si="31"/>
        <v>-0.888817043843104</v>
      </c>
      <c r="O148" s="11"/>
      <c r="P148" s="2">
        <v>1129.54</v>
      </c>
      <c r="Q148" s="2"/>
      <c r="R148" s="19">
        <f t="shared" si="32"/>
        <v>4.2023134488167793E-4</v>
      </c>
      <c r="S148" s="2"/>
      <c r="T148" s="2">
        <v>28529.16</v>
      </c>
      <c r="U148" s="2"/>
      <c r="V148" s="19">
        <f t="shared" si="33"/>
        <v>4.9830792753546823E-3</v>
      </c>
      <c r="W148" s="2"/>
      <c r="X148" s="2">
        <f t="shared" si="34"/>
        <v>-27399.62</v>
      </c>
      <c r="Y148" s="2"/>
      <c r="Z148" s="19">
        <f t="shared" si="35"/>
        <v>-0.96040752689528885</v>
      </c>
    </row>
    <row r="149" spans="1:26" s="24" customFormat="1" hidden="1" outlineLevel="1" x14ac:dyDescent="0.25">
      <c r="A149" s="44"/>
      <c r="B149" s="11" t="str">
        <f>CONCATENATE("          ", "5042", " - ", "PURCHASES @ COST-EVERYDAY GIFT")</f>
        <v xml:space="preserve">          5042 - PURCHASES @ COST-EVERYDAY GIFT</v>
      </c>
      <c r="C149" s="11"/>
      <c r="D149" s="2">
        <v>732.99</v>
      </c>
      <c r="E149" s="2"/>
      <c r="F149" s="19">
        <f t="shared" si="28"/>
        <v>3.3152083640275079E-4</v>
      </c>
      <c r="G149" s="2"/>
      <c r="H149" s="2">
        <v>15979.86</v>
      </c>
      <c r="I149" s="2"/>
      <c r="J149" s="19">
        <f t="shared" si="29"/>
        <v>3.7882267400632975E-3</v>
      </c>
      <c r="K149" s="2"/>
      <c r="L149" s="2">
        <f t="shared" si="30"/>
        <v>-15246.87</v>
      </c>
      <c r="M149" s="2"/>
      <c r="N149" s="19">
        <f t="shared" si="31"/>
        <v>-0.95413038662416316</v>
      </c>
      <c r="O149" s="11"/>
      <c r="P149" s="2">
        <v>969.15</v>
      </c>
      <c r="Q149" s="2"/>
      <c r="R149" s="19">
        <f t="shared" si="32"/>
        <v>3.6056023504442354E-4</v>
      </c>
      <c r="S149" s="2"/>
      <c r="T149" s="2">
        <v>23732.22</v>
      </c>
      <c r="U149" s="2"/>
      <c r="V149" s="19">
        <f t="shared" si="33"/>
        <v>4.145216110118837E-3</v>
      </c>
      <c r="W149" s="2"/>
      <c r="X149" s="2">
        <f t="shared" si="34"/>
        <v>-22763.07</v>
      </c>
      <c r="Y149" s="2"/>
      <c r="Z149" s="19">
        <f t="shared" si="35"/>
        <v>-0.95916311242690311</v>
      </c>
    </row>
    <row r="150" spans="1:26" s="24" customFormat="1" hidden="1" outlineLevel="1" x14ac:dyDescent="0.25">
      <c r="A150" s="44"/>
      <c r="B150" s="11" t="str">
        <f>CONCATENATE("          ", "5043", " - ", "PURCHASES @ COST-CARDS")</f>
        <v xml:space="preserve">          5043 - PURCHASES @ COST-CARDS</v>
      </c>
      <c r="C150" s="11"/>
      <c r="D150" s="2">
        <v>1406.55</v>
      </c>
      <c r="E150" s="2"/>
      <c r="F150" s="19">
        <f t="shared" si="28"/>
        <v>6.3616233842520237E-4</v>
      </c>
      <c r="G150" s="2"/>
      <c r="H150" s="2">
        <v>15.24</v>
      </c>
      <c r="I150" s="2"/>
      <c r="J150" s="19">
        <f t="shared" si="29"/>
        <v>3.6128336242347966E-6</v>
      </c>
      <c r="K150" s="2"/>
      <c r="L150" s="2">
        <f t="shared" si="30"/>
        <v>1391.31</v>
      </c>
      <c r="M150" s="2"/>
      <c r="N150" s="19">
        <f t="shared" si="31"/>
        <v>91.293307086614163</v>
      </c>
      <c r="O150" s="11"/>
      <c r="P150" s="2">
        <v>1715.25</v>
      </c>
      <c r="Q150" s="2"/>
      <c r="R150" s="19">
        <f t="shared" si="32"/>
        <v>6.3813748455857967E-4</v>
      </c>
      <c r="S150" s="2"/>
      <c r="T150" s="2">
        <v>513.5</v>
      </c>
      <c r="U150" s="2"/>
      <c r="V150" s="19">
        <f t="shared" si="33"/>
        <v>8.9691081261930933E-5</v>
      </c>
      <c r="W150" s="2"/>
      <c r="X150" s="2">
        <f t="shared" si="34"/>
        <v>1201.75</v>
      </c>
      <c r="Y150" s="2"/>
      <c r="Z150" s="19">
        <f t="shared" si="35"/>
        <v>2.3403115871470304</v>
      </c>
    </row>
    <row r="151" spans="1:26" s="24" customFormat="1" hidden="1" outlineLevel="1" x14ac:dyDescent="0.25">
      <c r="A151" s="44"/>
      <c r="B151" s="11" t="str">
        <f>CONCATENATE("          ", "5044", " - ", "PURCHASES @ COST-ACCESSORIES")</f>
        <v xml:space="preserve">          5044 - PURCHASES @ COST-ACCESSORIES</v>
      </c>
      <c r="C151" s="11"/>
      <c r="D151" s="2"/>
      <c r="E151" s="2"/>
      <c r="F151" s="19">
        <f t="shared" si="28"/>
        <v>0</v>
      </c>
      <c r="G151" s="2"/>
      <c r="H151" s="2">
        <v>13249.12</v>
      </c>
      <c r="I151" s="2"/>
      <c r="J151" s="19">
        <f t="shared" si="29"/>
        <v>3.1408704873701924E-3</v>
      </c>
      <c r="K151" s="2"/>
      <c r="L151" s="2">
        <f t="shared" si="30"/>
        <v>-13249.12</v>
      </c>
      <c r="M151" s="2"/>
      <c r="N151" s="19">
        <f t="shared" si="31"/>
        <v>-1</v>
      </c>
      <c r="O151" s="11"/>
      <c r="P151" s="2"/>
      <c r="Q151" s="2"/>
      <c r="R151" s="19">
        <f t="shared" si="32"/>
        <v>0</v>
      </c>
      <c r="S151" s="2"/>
      <c r="T151" s="2">
        <v>18088.12</v>
      </c>
      <c r="U151" s="2"/>
      <c r="V151" s="19">
        <f t="shared" si="33"/>
        <v>3.1593827474110186E-3</v>
      </c>
      <c r="W151" s="2"/>
      <c r="X151" s="2">
        <f t="shared" si="34"/>
        <v>-18088.12</v>
      </c>
      <c r="Y151" s="2"/>
      <c r="Z151" s="19">
        <f t="shared" si="35"/>
        <v>-1</v>
      </c>
    </row>
    <row r="152" spans="1:26" s="24" customFormat="1" hidden="1" outlineLevel="1" x14ac:dyDescent="0.25">
      <c r="A152" s="44"/>
      <c r="B152" s="11" t="str">
        <f>CONCATENATE("          ", "5045", " - ", "PURCHASES @ COST-SPECIAL ORDER")</f>
        <v xml:space="preserve">          5045 - PURCHASES @ COST-SPECIAL ORDER</v>
      </c>
      <c r="C152" s="11"/>
      <c r="D152" s="2">
        <v>5633.96</v>
      </c>
      <c r="E152" s="2"/>
      <c r="F152" s="19">
        <f t="shared" si="28"/>
        <v>2.5481590901098813E-3</v>
      </c>
      <c r="G152" s="2"/>
      <c r="H152" s="2">
        <v>4152.78</v>
      </c>
      <c r="I152" s="2"/>
      <c r="J152" s="19">
        <f t="shared" si="29"/>
        <v>9.8446871509512966E-4</v>
      </c>
      <c r="K152" s="2"/>
      <c r="L152" s="2">
        <f t="shared" si="30"/>
        <v>1481.1800000000003</v>
      </c>
      <c r="M152" s="2"/>
      <c r="N152" s="19">
        <f t="shared" si="31"/>
        <v>0.35667191616218541</v>
      </c>
      <c r="O152" s="11"/>
      <c r="P152" s="2">
        <v>8390.17</v>
      </c>
      <c r="Q152" s="2"/>
      <c r="R152" s="19">
        <f t="shared" si="32"/>
        <v>3.1214586671440654E-3</v>
      </c>
      <c r="S152" s="2"/>
      <c r="T152" s="2">
        <v>20145.63</v>
      </c>
      <c r="U152" s="2"/>
      <c r="V152" s="19">
        <f t="shared" si="33"/>
        <v>3.5187601507357231E-3</v>
      </c>
      <c r="W152" s="2"/>
      <c r="X152" s="2">
        <f t="shared" si="34"/>
        <v>-11755.460000000001</v>
      </c>
      <c r="Y152" s="2"/>
      <c r="Z152" s="19">
        <f t="shared" si="35"/>
        <v>-0.58352406948802293</v>
      </c>
    </row>
    <row r="153" spans="1:26" s="24" customFormat="1" hidden="1" outlineLevel="1" x14ac:dyDescent="0.25">
      <c r="A153" s="44"/>
      <c r="B153" s="11" t="str">
        <f>CONCATENATE("          ", "5053", " - ", "PURCHASES @ COST-FOOD")</f>
        <v xml:space="preserve">          5053 - PURCHASES @ COST-FOOD</v>
      </c>
      <c r="C153" s="11"/>
      <c r="D153" s="2">
        <v>78417.86</v>
      </c>
      <c r="E153" s="2"/>
      <c r="F153" s="19">
        <f t="shared" si="28"/>
        <v>3.5467270407664245E-2</v>
      </c>
      <c r="G153" s="2"/>
      <c r="H153" s="2">
        <v>392494.10000000003</v>
      </c>
      <c r="I153" s="2"/>
      <c r="J153" s="19">
        <f t="shared" si="29"/>
        <v>9.3045661535024596E-2</v>
      </c>
      <c r="K153" s="2"/>
      <c r="L153" s="2">
        <f t="shared" si="30"/>
        <v>-314076.24000000005</v>
      </c>
      <c r="M153" s="2"/>
      <c r="N153" s="19">
        <f t="shared" si="31"/>
        <v>-0.80020627061655203</v>
      </c>
      <c r="O153" s="11"/>
      <c r="P153" s="2">
        <v>86471.61</v>
      </c>
      <c r="Q153" s="2"/>
      <c r="R153" s="19">
        <f t="shared" si="32"/>
        <v>3.2170689806809809E-2</v>
      </c>
      <c r="S153" s="2"/>
      <c r="T153" s="2">
        <v>666124.87</v>
      </c>
      <c r="U153" s="2"/>
      <c r="V153" s="19">
        <f t="shared" si="33"/>
        <v>0.11634948363342391</v>
      </c>
      <c r="W153" s="2"/>
      <c r="X153" s="2">
        <f t="shared" si="34"/>
        <v>-579653.26</v>
      </c>
      <c r="Y153" s="2"/>
      <c r="Z153" s="19">
        <f t="shared" si="35"/>
        <v>-0.87018708669442113</v>
      </c>
    </row>
    <row r="154" spans="1:26" s="24" customFormat="1" hidden="1" outlineLevel="1" x14ac:dyDescent="0.25">
      <c r="A154" s="44"/>
      <c r="B154" s="11" t="str">
        <f>CONCATENATE("          ", "5059", " - ", "PURCHASES @ COST-FOOD")</f>
        <v xml:space="preserve">          5059 - PURCHASES @ COST-FOOD</v>
      </c>
      <c r="C154" s="11"/>
      <c r="D154" s="2">
        <v>-30142.09</v>
      </c>
      <c r="E154" s="2"/>
      <c r="F154" s="19">
        <f t="shared" si="28"/>
        <v>-1.3632833855478234E-2</v>
      </c>
      <c r="G154" s="2"/>
      <c r="H154" s="2">
        <v>-75014.38</v>
      </c>
      <c r="I154" s="2"/>
      <c r="J154" s="19">
        <f t="shared" si="29"/>
        <v>-1.7783101992462351E-2</v>
      </c>
      <c r="K154" s="2"/>
      <c r="L154" s="2">
        <f t="shared" si="30"/>
        <v>44872.290000000008</v>
      </c>
      <c r="M154" s="2"/>
      <c r="N154" s="19">
        <f t="shared" si="31"/>
        <v>-0.59818250847370869</v>
      </c>
      <c r="O154" s="11"/>
      <c r="P154" s="2">
        <v>-26733.09</v>
      </c>
      <c r="Q154" s="2"/>
      <c r="R154" s="19">
        <f t="shared" si="32"/>
        <v>-9.9457145063857281E-3</v>
      </c>
      <c r="S154" s="2"/>
      <c r="T154" s="2">
        <v>-95350.13</v>
      </c>
      <c r="U154" s="2"/>
      <c r="V154" s="19">
        <f t="shared" si="33"/>
        <v>-1.6654442567021768E-2</v>
      </c>
      <c r="W154" s="2"/>
      <c r="X154" s="2">
        <f t="shared" si="34"/>
        <v>68617.040000000008</v>
      </c>
      <c r="Y154" s="2"/>
      <c r="Z154" s="19">
        <f t="shared" si="35"/>
        <v>-0.71963236966745614</v>
      </c>
    </row>
    <row r="155" spans="1:26" s="24" customFormat="1" hidden="1" outlineLevel="1" x14ac:dyDescent="0.25">
      <c r="A155" s="44"/>
      <c r="B155" s="11" t="str">
        <f>CONCATENATE("          ", "5081", " - ", "PURCHASES @ COST-ELECTRONICS")</f>
        <v xml:space="preserve">          5081 - PURCHASES @ COST-ELECTRONICS</v>
      </c>
      <c r="C155" s="11"/>
      <c r="D155" s="2">
        <v>745.55</v>
      </c>
      <c r="E155" s="2"/>
      <c r="F155" s="19">
        <f t="shared" si="28"/>
        <v>3.3720154378650571E-4</v>
      </c>
      <c r="G155" s="2"/>
      <c r="H155" s="2">
        <v>17704.489999999998</v>
      </c>
      <c r="I155" s="2"/>
      <c r="J155" s="19">
        <f t="shared" si="29"/>
        <v>4.1970719666619884E-3</v>
      </c>
      <c r="K155" s="2"/>
      <c r="L155" s="2">
        <f t="shared" si="30"/>
        <v>-16958.939999999999</v>
      </c>
      <c r="M155" s="2"/>
      <c r="N155" s="19">
        <f t="shared" si="31"/>
        <v>-0.95788921341422428</v>
      </c>
      <c r="O155" s="11"/>
      <c r="P155" s="2">
        <v>7422.47</v>
      </c>
      <c r="Q155" s="2"/>
      <c r="R155" s="19">
        <f t="shared" si="32"/>
        <v>2.7614378866121676E-3</v>
      </c>
      <c r="S155" s="2"/>
      <c r="T155" s="2">
        <v>83762.840000000011</v>
      </c>
      <c r="U155" s="2"/>
      <c r="V155" s="19">
        <f t="shared" si="33"/>
        <v>1.4630534935092735E-2</v>
      </c>
      <c r="W155" s="2"/>
      <c r="X155" s="2">
        <f t="shared" si="34"/>
        <v>-76340.37000000001</v>
      </c>
      <c r="Y155" s="2"/>
      <c r="Z155" s="19">
        <f t="shared" si="35"/>
        <v>-0.91138707808856534</v>
      </c>
    </row>
    <row r="156" spans="1:26" s="24" customFormat="1" hidden="1" outlineLevel="1" x14ac:dyDescent="0.25">
      <c r="A156" s="44"/>
      <c r="B156" s="11" t="str">
        <f>CONCATENATE("          ", "5082", " - ", "PURCHASES @ COST-COMPUTER HARD")</f>
        <v xml:space="preserve">          5082 - PURCHASES @ COST-COMPUTER HARD</v>
      </c>
      <c r="C156" s="11"/>
      <c r="D156" s="2">
        <v>56751.23</v>
      </c>
      <c r="E156" s="2"/>
      <c r="F156" s="19">
        <f t="shared" si="28"/>
        <v>2.5667765230746507E-2</v>
      </c>
      <c r="G156" s="2"/>
      <c r="H156" s="2">
        <v>317193.52999999997</v>
      </c>
      <c r="I156" s="2"/>
      <c r="J156" s="19">
        <f t="shared" si="29"/>
        <v>7.5194714604575358E-2</v>
      </c>
      <c r="K156" s="2"/>
      <c r="L156" s="2">
        <f t="shared" si="30"/>
        <v>-260442.29999999996</v>
      </c>
      <c r="M156" s="2"/>
      <c r="N156" s="19">
        <f t="shared" si="31"/>
        <v>-0.82108326736677129</v>
      </c>
      <c r="O156" s="11"/>
      <c r="P156" s="2">
        <v>243223.8</v>
      </c>
      <c r="Q156" s="2"/>
      <c r="R156" s="19">
        <f t="shared" si="32"/>
        <v>9.0488397561159631E-2</v>
      </c>
      <c r="S156" s="2"/>
      <c r="T156" s="2">
        <v>673753.5</v>
      </c>
      <c r="U156" s="2"/>
      <c r="V156" s="19">
        <f t="shared" si="33"/>
        <v>0.11768194726194817</v>
      </c>
      <c r="W156" s="2"/>
      <c r="X156" s="2">
        <f t="shared" si="34"/>
        <v>-430529.7</v>
      </c>
      <c r="Y156" s="2"/>
      <c r="Z156" s="19">
        <f t="shared" si="35"/>
        <v>-0.63900180110381621</v>
      </c>
    </row>
    <row r="157" spans="1:26" s="24" customFormat="1" hidden="1" outlineLevel="1" x14ac:dyDescent="0.25">
      <c r="A157" s="44"/>
      <c r="B157" s="11" t="str">
        <f>CONCATENATE("          ", "5083", " - ", "PURCHASES @ COST-COMPUTER EQUI")</f>
        <v xml:space="preserve">          5083 - PURCHASES @ COST-COMPUTER EQUI</v>
      </c>
      <c r="C157" s="11"/>
      <c r="D157" s="2">
        <v>7340.55</v>
      </c>
      <c r="E157" s="2"/>
      <c r="F157" s="19">
        <f t="shared" si="28"/>
        <v>3.3200252058775866E-3</v>
      </c>
      <c r="G157" s="2"/>
      <c r="H157" s="2">
        <v>9997.75</v>
      </c>
      <c r="I157" s="2"/>
      <c r="J157" s="19">
        <f t="shared" si="29"/>
        <v>2.3700923468958947E-3</v>
      </c>
      <c r="K157" s="2"/>
      <c r="L157" s="2">
        <f t="shared" si="30"/>
        <v>-2657.2</v>
      </c>
      <c r="M157" s="2"/>
      <c r="N157" s="19">
        <f t="shared" si="31"/>
        <v>-0.26577980045510236</v>
      </c>
      <c r="O157" s="11"/>
      <c r="P157" s="2">
        <v>37278.85</v>
      </c>
      <c r="Q157" s="2"/>
      <c r="R157" s="19">
        <f t="shared" si="32"/>
        <v>1.3869133692602597E-2</v>
      </c>
      <c r="S157" s="2"/>
      <c r="T157" s="2">
        <v>17273.89</v>
      </c>
      <c r="U157" s="2"/>
      <c r="V157" s="19">
        <f t="shared" si="33"/>
        <v>3.0171643071074121E-3</v>
      </c>
      <c r="W157" s="2"/>
      <c r="X157" s="2">
        <f t="shared" si="34"/>
        <v>20004.96</v>
      </c>
      <c r="Y157" s="2"/>
      <c r="Z157" s="19">
        <f t="shared" si="35"/>
        <v>1.1581039360560939</v>
      </c>
    </row>
    <row r="158" spans="1:26" s="24" customFormat="1" hidden="1" outlineLevel="1" x14ac:dyDescent="0.25">
      <c r="A158" s="44"/>
      <c r="B158" s="11" t="str">
        <f>CONCATENATE("          ", "5084", " - ", "PURCHASES @ COST-SOFTWARE LICE")</f>
        <v xml:space="preserve">          5084 - PURCHASES @ COST-SOFTWARE LICE</v>
      </c>
      <c r="C158" s="11"/>
      <c r="D158" s="2"/>
      <c r="E158" s="2"/>
      <c r="F158" s="19">
        <f t="shared" si="28"/>
        <v>0</v>
      </c>
      <c r="G158" s="2"/>
      <c r="H158" s="2">
        <v>1522</v>
      </c>
      <c r="I158" s="2"/>
      <c r="J158" s="19">
        <f t="shared" si="29"/>
        <v>3.608092372759423E-4</v>
      </c>
      <c r="K158" s="2"/>
      <c r="L158" s="2">
        <f t="shared" si="30"/>
        <v>-1522</v>
      </c>
      <c r="M158" s="2"/>
      <c r="N158" s="19">
        <f t="shared" si="31"/>
        <v>-1</v>
      </c>
      <c r="O158" s="11"/>
      <c r="P158" s="2"/>
      <c r="Q158" s="2"/>
      <c r="R158" s="19">
        <f t="shared" si="32"/>
        <v>0</v>
      </c>
      <c r="S158" s="2"/>
      <c r="T158" s="2">
        <v>1522</v>
      </c>
      <c r="U158" s="2"/>
      <c r="V158" s="19">
        <f t="shared" si="33"/>
        <v>2.6584191953390237E-4</v>
      </c>
      <c r="W158" s="2"/>
      <c r="X158" s="2">
        <f t="shared" si="34"/>
        <v>-1522</v>
      </c>
      <c r="Y158" s="2"/>
      <c r="Z158" s="19">
        <f t="shared" si="35"/>
        <v>-1</v>
      </c>
    </row>
    <row r="159" spans="1:26" s="24" customFormat="1" hidden="1" outlineLevel="1" x14ac:dyDescent="0.25">
      <c r="A159" s="44"/>
      <c r="B159" s="11" t="str">
        <f>CONCATENATE("          ", "5085", " - ", "PURCHASES @ COST-SOFTWARE")</f>
        <v xml:space="preserve">          5085 - PURCHASES @ COST-SOFTWARE</v>
      </c>
      <c r="C159" s="11"/>
      <c r="D159" s="2">
        <v>2364.2199999999998</v>
      </c>
      <c r="E159" s="2"/>
      <c r="F159" s="19">
        <f t="shared" si="28"/>
        <v>1.0693027078679264E-3</v>
      </c>
      <c r="G159" s="2"/>
      <c r="H159" s="2">
        <v>3368</v>
      </c>
      <c r="I159" s="2"/>
      <c r="J159" s="19">
        <f t="shared" si="29"/>
        <v>7.9842674845293925E-4</v>
      </c>
      <c r="K159" s="2"/>
      <c r="L159" s="2">
        <f t="shared" si="30"/>
        <v>-1003.7800000000002</v>
      </c>
      <c r="M159" s="2"/>
      <c r="N159" s="19">
        <f t="shared" si="31"/>
        <v>-0.2980344418052257</v>
      </c>
      <c r="O159" s="11"/>
      <c r="P159" s="2">
        <v>6228.56</v>
      </c>
      <c r="Q159" s="2"/>
      <c r="R159" s="19">
        <f t="shared" si="32"/>
        <v>2.3172584817502911E-3</v>
      </c>
      <c r="S159" s="2"/>
      <c r="T159" s="2">
        <v>3368</v>
      </c>
      <c r="U159" s="2"/>
      <c r="V159" s="19">
        <f t="shared" si="33"/>
        <v>5.8827568001983133E-4</v>
      </c>
      <c r="W159" s="2"/>
      <c r="X159" s="2">
        <f t="shared" si="34"/>
        <v>2860.5600000000004</v>
      </c>
      <c r="Y159" s="2"/>
      <c r="Z159" s="19">
        <f t="shared" si="35"/>
        <v>0.84933491686460816</v>
      </c>
    </row>
    <row r="160" spans="1:26" s="24" customFormat="1" hidden="1" outlineLevel="1" x14ac:dyDescent="0.25">
      <c r="A160" s="44"/>
      <c r="B160" s="11" t="str">
        <f>CONCATENATE("          ", "5086", " - ", "PURCHASES @ COST-COMPUTER SUPP")</f>
        <v xml:space="preserve">          5086 - PURCHASES @ COST-COMPUTER SUPP</v>
      </c>
      <c r="C160" s="11"/>
      <c r="D160" s="2">
        <v>21649.96</v>
      </c>
      <c r="E160" s="2"/>
      <c r="F160" s="19">
        <f t="shared" si="28"/>
        <v>9.7919655756369094E-3</v>
      </c>
      <c r="G160" s="2"/>
      <c r="H160" s="2">
        <v>2837.81</v>
      </c>
      <c r="I160" s="2"/>
      <c r="J160" s="19">
        <f t="shared" si="29"/>
        <v>6.7273854246651884E-4</v>
      </c>
      <c r="K160" s="2"/>
      <c r="L160" s="2">
        <f t="shared" si="30"/>
        <v>18812.149999999998</v>
      </c>
      <c r="M160" s="2"/>
      <c r="N160" s="19">
        <f t="shared" si="31"/>
        <v>6.6291083617296431</v>
      </c>
      <c r="O160" s="11"/>
      <c r="P160" s="2">
        <v>21737.21</v>
      </c>
      <c r="Q160" s="2"/>
      <c r="R160" s="19">
        <f t="shared" si="32"/>
        <v>8.0870593270494697E-3</v>
      </c>
      <c r="S160" s="2"/>
      <c r="T160" s="2">
        <v>6264.88</v>
      </c>
      <c r="U160" s="2"/>
      <c r="V160" s="19">
        <f t="shared" si="33"/>
        <v>1.0942626313071974E-3</v>
      </c>
      <c r="W160" s="2"/>
      <c r="X160" s="2">
        <f t="shared" si="34"/>
        <v>15472.329999999998</v>
      </c>
      <c r="Y160" s="2"/>
      <c r="Z160" s="19">
        <f t="shared" si="35"/>
        <v>2.4696929550127056</v>
      </c>
    </row>
    <row r="161" spans="1:26" s="24" customFormat="1" hidden="1" outlineLevel="1" x14ac:dyDescent="0.25">
      <c r="A161" s="44"/>
      <c r="B161" s="11" t="str">
        <f>CONCATENATE("          ", "5088", " - ", "PURCHASES @ COST-MUSIC")</f>
        <v xml:space="preserve">          5088 - PURCHASES @ COST-MUSIC</v>
      </c>
      <c r="C161" s="11"/>
      <c r="D161" s="2"/>
      <c r="E161" s="2"/>
      <c r="F161" s="19">
        <f t="shared" si="28"/>
        <v>0</v>
      </c>
      <c r="G161" s="2"/>
      <c r="H161" s="2"/>
      <c r="I161" s="2"/>
      <c r="J161" s="19">
        <f t="shared" si="29"/>
        <v>0</v>
      </c>
      <c r="K161" s="2"/>
      <c r="L161" s="2">
        <f t="shared" si="30"/>
        <v>0</v>
      </c>
      <c r="M161" s="2"/>
      <c r="N161" s="19">
        <f t="shared" si="31"/>
        <v>0</v>
      </c>
      <c r="O161" s="11"/>
      <c r="P161" s="2"/>
      <c r="Q161" s="2"/>
      <c r="R161" s="19">
        <f t="shared" si="32"/>
        <v>0</v>
      </c>
      <c r="S161" s="2"/>
      <c r="T161" s="2">
        <v>82</v>
      </c>
      <c r="U161" s="2"/>
      <c r="V161" s="19">
        <f t="shared" si="33"/>
        <v>1.4322626413784492E-5</v>
      </c>
      <c r="W161" s="2"/>
      <c r="X161" s="2">
        <f t="shared" si="34"/>
        <v>-82</v>
      </c>
      <c r="Y161" s="2"/>
      <c r="Z161" s="19">
        <f t="shared" si="35"/>
        <v>-1</v>
      </c>
    </row>
    <row r="162" spans="1:26" s="24" customFormat="1" hidden="1" outlineLevel="1" x14ac:dyDescent="0.25">
      <c r="A162" s="44"/>
      <c r="B162" s="11" t="str">
        <f>CONCATENATE("          ", "5092", " - ", "PURCHASES @ COST-GRAD MERCH")</f>
        <v xml:space="preserve">          5092 - PURCHASES @ COST-GRAD MERCH</v>
      </c>
      <c r="C162" s="11"/>
      <c r="D162" s="2"/>
      <c r="E162" s="2"/>
      <c r="F162" s="19">
        <f t="shared" si="28"/>
        <v>0</v>
      </c>
      <c r="G162" s="2"/>
      <c r="H162" s="2">
        <v>-600.6</v>
      </c>
      <c r="I162" s="2"/>
      <c r="J162" s="19">
        <f t="shared" si="29"/>
        <v>-1.4237978180547367E-4</v>
      </c>
      <c r="K162" s="2"/>
      <c r="L162" s="2">
        <f t="shared" si="30"/>
        <v>600.6</v>
      </c>
      <c r="M162" s="2"/>
      <c r="N162" s="19">
        <f t="shared" si="31"/>
        <v>-1</v>
      </c>
      <c r="O162" s="11"/>
      <c r="P162" s="2"/>
      <c r="Q162" s="2"/>
      <c r="R162" s="19">
        <f t="shared" si="32"/>
        <v>0</v>
      </c>
      <c r="S162" s="2"/>
      <c r="T162" s="2">
        <v>628</v>
      </c>
      <c r="U162" s="2"/>
      <c r="V162" s="19">
        <f t="shared" si="33"/>
        <v>1.0969035838849586E-4</v>
      </c>
      <c r="W162" s="2"/>
      <c r="X162" s="2">
        <f t="shared" si="34"/>
        <v>-628</v>
      </c>
      <c r="Y162" s="2"/>
      <c r="Z162" s="19">
        <f t="shared" si="35"/>
        <v>-1</v>
      </c>
    </row>
    <row r="163" spans="1:26" s="24" customFormat="1" hidden="1" outlineLevel="1" x14ac:dyDescent="0.25">
      <c r="A163" s="44"/>
      <c r="B163" s="11" t="str">
        <f>CONCATENATE("          ", "5095", " - ", "PURCHASES @ COST-CUSTOMER SERV")</f>
        <v xml:space="preserve">          5095 - PURCHASES @ COST-CUSTOMER SERV</v>
      </c>
      <c r="C163" s="11"/>
      <c r="D163" s="2"/>
      <c r="E163" s="2"/>
      <c r="F163" s="19">
        <f t="shared" si="28"/>
        <v>0</v>
      </c>
      <c r="G163" s="2"/>
      <c r="H163" s="2"/>
      <c r="I163" s="2"/>
      <c r="J163" s="19">
        <f t="shared" si="29"/>
        <v>0</v>
      </c>
      <c r="K163" s="2"/>
      <c r="L163" s="2">
        <f t="shared" si="30"/>
        <v>0</v>
      </c>
      <c r="M163" s="2"/>
      <c r="N163" s="19">
        <f t="shared" si="31"/>
        <v>0</v>
      </c>
      <c r="O163" s="11"/>
      <c r="P163" s="2"/>
      <c r="Q163" s="2"/>
      <c r="R163" s="19">
        <f t="shared" si="32"/>
        <v>0</v>
      </c>
      <c r="S163" s="2"/>
      <c r="T163" s="2">
        <v>0</v>
      </c>
      <c r="U163" s="2"/>
      <c r="V163" s="19">
        <f t="shared" si="33"/>
        <v>0</v>
      </c>
      <c r="W163" s="2"/>
      <c r="X163" s="2">
        <f t="shared" si="34"/>
        <v>0</v>
      </c>
      <c r="Y163" s="2"/>
      <c r="Z163" s="19">
        <f t="shared" si="35"/>
        <v>0</v>
      </c>
    </row>
    <row r="164" spans="1:26" s="24" customFormat="1" hidden="1" outlineLevel="1" x14ac:dyDescent="0.25">
      <c r="A164" s="44"/>
      <c r="B164" s="11" t="str">
        <f>CONCATENATE("          ", "5200", " - ", "PURCHASES OFFSET")</f>
        <v xml:space="preserve">          5200 - PURCHASES OFFSET</v>
      </c>
      <c r="C164" s="11"/>
      <c r="D164" s="2">
        <v>-586112.93000000005</v>
      </c>
      <c r="E164" s="2"/>
      <c r="F164" s="19">
        <f t="shared" si="28"/>
        <v>-0.26509044977430379</v>
      </c>
      <c r="G164" s="2"/>
      <c r="H164" s="2">
        <v>-1879524</v>
      </c>
      <c r="I164" s="2"/>
      <c r="J164" s="19">
        <f t="shared" si="29"/>
        <v>-0.44556479690001849</v>
      </c>
      <c r="K164" s="2"/>
      <c r="L164" s="2">
        <f t="shared" si="30"/>
        <v>1293411.0699999998</v>
      </c>
      <c r="M164" s="2"/>
      <c r="N164" s="19">
        <f t="shared" si="31"/>
        <v>-0.68815884766568547</v>
      </c>
      <c r="O164" s="11"/>
      <c r="P164" s="2">
        <v>-1028934.9800000001</v>
      </c>
      <c r="Q164" s="2"/>
      <c r="R164" s="19">
        <f t="shared" si="32"/>
        <v>-0.38280249521150417</v>
      </c>
      <c r="S164" s="2"/>
      <c r="T164" s="2">
        <v>-3141833</v>
      </c>
      <c r="U164" s="2"/>
      <c r="V164" s="19">
        <f t="shared" si="33"/>
        <v>-0.54877195504268017</v>
      </c>
      <c r="W164" s="2"/>
      <c r="X164" s="2">
        <f t="shared" si="34"/>
        <v>2112898.02</v>
      </c>
      <c r="Y164" s="2"/>
      <c r="Z164" s="19">
        <f t="shared" si="35"/>
        <v>-0.67250487852155094</v>
      </c>
    </row>
    <row r="165" spans="1:26" s="24" customFormat="1" hidden="1" outlineLevel="1" x14ac:dyDescent="0.25">
      <c r="A165" s="44"/>
      <c r="B165" s="11" t="str">
        <f>CONCATENATE("          ", "5300", " - ", "COG$ OFFSET")</f>
        <v xml:space="preserve">          5300 - COG$ OFFSET</v>
      </c>
      <c r="C165" s="11"/>
      <c r="D165" s="2">
        <v>1248893</v>
      </c>
      <c r="E165" s="2"/>
      <c r="F165" s="19">
        <f t="shared" si="28"/>
        <v>0.56485634447610555</v>
      </c>
      <c r="G165" s="2"/>
      <c r="H165" s="2">
        <v>1703338</v>
      </c>
      <c r="I165" s="2"/>
      <c r="J165" s="19">
        <f t="shared" si="29"/>
        <v>0.40379769027800849</v>
      </c>
      <c r="K165" s="2"/>
      <c r="L165" s="2">
        <f t="shared" si="30"/>
        <v>-454445</v>
      </c>
      <c r="M165" s="2"/>
      <c r="N165" s="19">
        <f t="shared" si="31"/>
        <v>-0.26679672501875729</v>
      </c>
      <c r="O165" s="11"/>
      <c r="P165" s="2">
        <v>1568477</v>
      </c>
      <c r="Q165" s="2"/>
      <c r="R165" s="19">
        <f t="shared" si="32"/>
        <v>0.58353241065033512</v>
      </c>
      <c r="S165" s="2"/>
      <c r="T165" s="2">
        <v>2226828</v>
      </c>
      <c r="U165" s="2"/>
      <c r="V165" s="19">
        <f t="shared" si="33"/>
        <v>0.38895153087505963</v>
      </c>
      <c r="W165" s="2"/>
      <c r="X165" s="2">
        <f t="shared" si="34"/>
        <v>-658351</v>
      </c>
      <c r="Y165" s="2"/>
      <c r="Z165" s="19">
        <f t="shared" si="35"/>
        <v>-0.29564519576725279</v>
      </c>
    </row>
    <row r="166" spans="1:26" s="24" customFormat="1" hidden="1" outlineLevel="1" x14ac:dyDescent="0.25">
      <c r="A166" s="44"/>
      <c r="B166" s="11" t="str">
        <f>CONCATENATE("          ", "5500", " - ", "FREIGHT-IN")</f>
        <v xml:space="preserve">          5500 - FREIGHT-IN</v>
      </c>
      <c r="C166" s="11"/>
      <c r="D166" s="2"/>
      <c r="E166" s="2"/>
      <c r="F166" s="19">
        <f t="shared" si="28"/>
        <v>0</v>
      </c>
      <c r="G166" s="2"/>
      <c r="H166" s="2"/>
      <c r="I166" s="2"/>
      <c r="J166" s="19">
        <f t="shared" si="29"/>
        <v>0</v>
      </c>
      <c r="K166" s="2"/>
      <c r="L166" s="2">
        <f t="shared" si="30"/>
        <v>0</v>
      </c>
      <c r="M166" s="2"/>
      <c r="N166" s="19">
        <f t="shared" si="31"/>
        <v>0</v>
      </c>
      <c r="O166" s="11"/>
      <c r="P166" s="2"/>
      <c r="Q166" s="2"/>
      <c r="R166" s="19">
        <f t="shared" si="32"/>
        <v>0</v>
      </c>
      <c r="S166" s="2"/>
      <c r="T166" s="2">
        <v>49</v>
      </c>
      <c r="U166" s="2"/>
      <c r="V166" s="19">
        <f t="shared" si="33"/>
        <v>8.5586426131151236E-6</v>
      </c>
      <c r="W166" s="2"/>
      <c r="X166" s="2">
        <f t="shared" si="34"/>
        <v>-49</v>
      </c>
      <c r="Y166" s="2"/>
      <c r="Z166" s="19">
        <f t="shared" si="35"/>
        <v>-1</v>
      </c>
    </row>
    <row r="167" spans="1:26" s="24" customFormat="1" hidden="1" outlineLevel="1" x14ac:dyDescent="0.25">
      <c r="A167" s="44"/>
      <c r="B167" s="11" t="str">
        <f>CONCATENATE("          ", "5501", " - ", "FREIGHT-IN-NEW TEXT")</f>
        <v xml:space="preserve">          5501 - FREIGHT-IN-NEW TEXT</v>
      </c>
      <c r="C167" s="11"/>
      <c r="D167" s="2">
        <v>4680.5600000000004</v>
      </c>
      <c r="E167" s="2"/>
      <c r="F167" s="19">
        <f t="shared" si="28"/>
        <v>2.116949980263386E-3</v>
      </c>
      <c r="G167" s="2"/>
      <c r="H167" s="2">
        <v>11008.16</v>
      </c>
      <c r="I167" s="2"/>
      <c r="J167" s="19">
        <f t="shared" si="29"/>
        <v>2.6096227420575142E-3</v>
      </c>
      <c r="K167" s="2"/>
      <c r="L167" s="2">
        <f t="shared" si="30"/>
        <v>-6327.5999999999995</v>
      </c>
      <c r="M167" s="2"/>
      <c r="N167" s="19">
        <f t="shared" si="31"/>
        <v>-0.57480995915757038</v>
      </c>
      <c r="O167" s="11"/>
      <c r="P167" s="2">
        <v>5483.28</v>
      </c>
      <c r="Q167" s="2"/>
      <c r="R167" s="19">
        <f t="shared" si="32"/>
        <v>2.0399863030639083E-3</v>
      </c>
      <c r="S167" s="2"/>
      <c r="T167" s="2">
        <v>12724.24</v>
      </c>
      <c r="U167" s="2"/>
      <c r="V167" s="19">
        <f t="shared" si="33"/>
        <v>2.2224943404796729E-3</v>
      </c>
      <c r="W167" s="2"/>
      <c r="X167" s="2">
        <f t="shared" si="34"/>
        <v>-7240.96</v>
      </c>
      <c r="Y167" s="2"/>
      <c r="Z167" s="19">
        <f t="shared" si="35"/>
        <v>-0.56906817224447193</v>
      </c>
    </row>
    <row r="168" spans="1:26" s="24" customFormat="1" hidden="1" outlineLevel="1" x14ac:dyDescent="0.25">
      <c r="A168" s="44"/>
      <c r="B168" s="11" t="str">
        <f>CONCATENATE("          ", "5502", " - ", "FREIGHT-IN-USED TEXT")</f>
        <v xml:space="preserve">          5502 - FREIGHT-IN-USED TEXT</v>
      </c>
      <c r="C168" s="11"/>
      <c r="D168" s="2">
        <v>1186.6600000000001</v>
      </c>
      <c r="E168" s="2"/>
      <c r="F168" s="19">
        <f t="shared" si="28"/>
        <v>5.3670925350371532E-4</v>
      </c>
      <c r="G168" s="2"/>
      <c r="H168" s="2">
        <v>3985.02</v>
      </c>
      <c r="I168" s="2"/>
      <c r="J168" s="19">
        <f t="shared" si="29"/>
        <v>9.4469909771969477E-4</v>
      </c>
      <c r="K168" s="2"/>
      <c r="L168" s="2">
        <f t="shared" si="30"/>
        <v>-2798.3599999999997</v>
      </c>
      <c r="M168" s="2"/>
      <c r="N168" s="19">
        <f t="shared" si="31"/>
        <v>-0.70221981320043558</v>
      </c>
      <c r="O168" s="11"/>
      <c r="P168" s="2">
        <v>1234.55</v>
      </c>
      <c r="Q168" s="2"/>
      <c r="R168" s="19">
        <f t="shared" si="32"/>
        <v>4.5929901271639378E-4</v>
      </c>
      <c r="S168" s="2"/>
      <c r="T168" s="2">
        <v>4262.51</v>
      </c>
      <c r="U168" s="2"/>
      <c r="V168" s="19">
        <f t="shared" si="33"/>
        <v>7.4451632091488459E-4</v>
      </c>
      <c r="W168" s="2"/>
      <c r="X168" s="2">
        <f t="shared" si="34"/>
        <v>-3027.96</v>
      </c>
      <c r="Y168" s="2"/>
      <c r="Z168" s="19">
        <f t="shared" si="35"/>
        <v>-0.71037018094972204</v>
      </c>
    </row>
    <row r="169" spans="1:26" s="24" customFormat="1" hidden="1" outlineLevel="1" x14ac:dyDescent="0.25">
      <c r="A169" s="44"/>
      <c r="B169" s="11" t="str">
        <f>CONCATENATE("          ", "5504", " - ", "FREIGHT-IN-DIGITAL TEXT")</f>
        <v xml:space="preserve">          5504 - FREIGHT-IN-DIGITAL TEXT</v>
      </c>
      <c r="C169" s="11"/>
      <c r="D169" s="2"/>
      <c r="E169" s="2"/>
      <c r="F169" s="19">
        <f t="shared" si="28"/>
        <v>0</v>
      </c>
      <c r="G169" s="2"/>
      <c r="H169" s="2">
        <v>7.03</v>
      </c>
      <c r="I169" s="2"/>
      <c r="J169" s="19">
        <f t="shared" si="29"/>
        <v>1.6665498935938727E-6</v>
      </c>
      <c r="K169" s="2"/>
      <c r="L169" s="2">
        <f t="shared" si="30"/>
        <v>-7.03</v>
      </c>
      <c r="M169" s="2"/>
      <c r="N169" s="19">
        <f t="shared" si="31"/>
        <v>-1</v>
      </c>
      <c r="O169" s="11"/>
      <c r="P169" s="2"/>
      <c r="Q169" s="2"/>
      <c r="R169" s="19">
        <f t="shared" si="32"/>
        <v>0</v>
      </c>
      <c r="S169" s="2"/>
      <c r="T169" s="2">
        <v>7.03</v>
      </c>
      <c r="U169" s="2"/>
      <c r="V169" s="19">
        <f t="shared" si="33"/>
        <v>1.2279032157183534E-6</v>
      </c>
      <c r="W169" s="2"/>
      <c r="X169" s="2">
        <f t="shared" si="34"/>
        <v>-7.03</v>
      </c>
      <c r="Y169" s="2"/>
      <c r="Z169" s="19">
        <f t="shared" si="35"/>
        <v>-1</v>
      </c>
    </row>
    <row r="170" spans="1:26" s="24" customFormat="1" hidden="1" outlineLevel="1" x14ac:dyDescent="0.25">
      <c r="A170" s="44"/>
      <c r="B170" s="11" t="str">
        <f>CONCATENATE("          ", "5526", " - ", "FREIGHT-IN-WRITING INSTRUMENTS")</f>
        <v xml:space="preserve">          5526 - FREIGHT-IN-WRITING INSTRUMENTS</v>
      </c>
      <c r="C170" s="11"/>
      <c r="D170" s="2"/>
      <c r="E170" s="2"/>
      <c r="F170" s="19">
        <f t="shared" si="28"/>
        <v>0</v>
      </c>
      <c r="G170" s="2"/>
      <c r="H170" s="2">
        <v>17.46</v>
      </c>
      <c r="I170" s="2"/>
      <c r="J170" s="19">
        <f t="shared" si="29"/>
        <v>4.1391125380012827E-6</v>
      </c>
      <c r="K170" s="2"/>
      <c r="L170" s="2">
        <f t="shared" si="30"/>
        <v>-17.46</v>
      </c>
      <c r="M170" s="2"/>
      <c r="N170" s="19">
        <f t="shared" si="31"/>
        <v>-1</v>
      </c>
      <c r="O170" s="11"/>
      <c r="P170" s="2"/>
      <c r="Q170" s="2"/>
      <c r="R170" s="19">
        <f t="shared" si="32"/>
        <v>0</v>
      </c>
      <c r="S170" s="2"/>
      <c r="T170" s="2">
        <v>56.57</v>
      </c>
      <c r="U170" s="2"/>
      <c r="V170" s="19">
        <f t="shared" si="33"/>
        <v>9.8808655637535199E-6</v>
      </c>
      <c r="W170" s="2"/>
      <c r="X170" s="2">
        <f t="shared" si="34"/>
        <v>-56.57</v>
      </c>
      <c r="Y170" s="2"/>
      <c r="Z170" s="19">
        <f t="shared" si="35"/>
        <v>-1</v>
      </c>
    </row>
    <row r="171" spans="1:26" s="24" customFormat="1" hidden="1" outlineLevel="1" x14ac:dyDescent="0.25">
      <c r="A171" s="44"/>
      <c r="B171" s="11" t="str">
        <f>CONCATENATE("          ", "5527", " - ", "FREIGHT-IN-SCHOOL SUPPLIES")</f>
        <v xml:space="preserve">          5527 - FREIGHT-IN-SCHOOL SUPPLIES</v>
      </c>
      <c r="C171" s="11"/>
      <c r="D171" s="2"/>
      <c r="E171" s="2"/>
      <c r="F171" s="19">
        <f t="shared" si="28"/>
        <v>0</v>
      </c>
      <c r="G171" s="2"/>
      <c r="H171" s="2">
        <v>10.49</v>
      </c>
      <c r="I171" s="2"/>
      <c r="J171" s="19">
        <f t="shared" si="29"/>
        <v>2.4867863988335313E-6</v>
      </c>
      <c r="K171" s="2"/>
      <c r="L171" s="2">
        <f t="shared" si="30"/>
        <v>-10.49</v>
      </c>
      <c r="M171" s="2"/>
      <c r="N171" s="19">
        <f t="shared" si="31"/>
        <v>-1</v>
      </c>
      <c r="O171" s="11"/>
      <c r="P171" s="2"/>
      <c r="Q171" s="2"/>
      <c r="R171" s="19">
        <f t="shared" si="32"/>
        <v>0</v>
      </c>
      <c r="S171" s="2"/>
      <c r="T171" s="2">
        <v>260.51</v>
      </c>
      <c r="U171" s="2"/>
      <c r="V171" s="19">
        <f t="shared" si="33"/>
        <v>4.5502285451890219E-5</v>
      </c>
      <c r="W171" s="2"/>
      <c r="X171" s="2">
        <f t="shared" si="34"/>
        <v>-260.51</v>
      </c>
      <c r="Y171" s="2"/>
      <c r="Z171" s="19">
        <f t="shared" si="35"/>
        <v>-1</v>
      </c>
    </row>
    <row r="172" spans="1:26" s="24" customFormat="1" hidden="1" outlineLevel="1" x14ac:dyDescent="0.25">
      <c r="A172" s="44"/>
      <c r="B172" s="11" t="str">
        <f>CONCATENATE("          ", "5528", " - ", "FREIGHT-IN-ART/TECH")</f>
        <v xml:space="preserve">          5528 - FREIGHT-IN-ART/TECH</v>
      </c>
      <c r="C172" s="11"/>
      <c r="D172" s="2"/>
      <c r="E172" s="2"/>
      <c r="F172" s="19">
        <f t="shared" si="28"/>
        <v>0</v>
      </c>
      <c r="G172" s="2"/>
      <c r="H172" s="2">
        <v>255.45</v>
      </c>
      <c r="I172" s="2"/>
      <c r="J172" s="19">
        <f t="shared" si="29"/>
        <v>6.0557634469211202E-5</v>
      </c>
      <c r="K172" s="2"/>
      <c r="L172" s="2">
        <f t="shared" si="30"/>
        <v>-255.45</v>
      </c>
      <c r="M172" s="2"/>
      <c r="N172" s="19">
        <f t="shared" si="31"/>
        <v>-1</v>
      </c>
      <c r="O172" s="11"/>
      <c r="P172" s="2">
        <v>38.049999999999997</v>
      </c>
      <c r="Q172" s="2"/>
      <c r="R172" s="19">
        <f t="shared" si="32"/>
        <v>1.415603048386763E-5</v>
      </c>
      <c r="S172" s="2"/>
      <c r="T172" s="2">
        <v>299.8</v>
      </c>
      <c r="U172" s="2"/>
      <c r="V172" s="19">
        <f t="shared" si="33"/>
        <v>5.2364919498202326E-5</v>
      </c>
      <c r="W172" s="2"/>
      <c r="X172" s="2">
        <f t="shared" si="34"/>
        <v>-261.75</v>
      </c>
      <c r="Y172" s="2"/>
      <c r="Z172" s="19">
        <f t="shared" si="35"/>
        <v>-0.87308205470313538</v>
      </c>
    </row>
    <row r="173" spans="1:26" s="24" customFormat="1" hidden="1" outlineLevel="1" x14ac:dyDescent="0.25">
      <c r="A173" s="44"/>
      <c r="B173" s="11" t="str">
        <f>CONCATENATE("          ", "5540", " - ", "FREIGHT-IN-LOGO CLOTHING")</f>
        <v xml:space="preserve">          5540 - FREIGHT-IN-LOGO CLOTHING</v>
      </c>
      <c r="C173" s="11"/>
      <c r="D173" s="2">
        <v>1021.7</v>
      </c>
      <c r="E173" s="2"/>
      <c r="F173" s="19">
        <f t="shared" si="28"/>
        <v>4.6210021767376157E-4</v>
      </c>
      <c r="G173" s="2"/>
      <c r="H173" s="2">
        <v>1936.72</v>
      </c>
      <c r="I173" s="2"/>
      <c r="J173" s="19">
        <f t="shared" si="29"/>
        <v>4.5912382786929235E-4</v>
      </c>
      <c r="K173" s="2"/>
      <c r="L173" s="2">
        <f t="shared" si="30"/>
        <v>-915.02</v>
      </c>
      <c r="M173" s="2"/>
      <c r="N173" s="19">
        <f t="shared" si="31"/>
        <v>-0.47245858978066008</v>
      </c>
      <c r="O173" s="11"/>
      <c r="P173" s="2">
        <v>1931.53</v>
      </c>
      <c r="Q173" s="2"/>
      <c r="R173" s="19">
        <f t="shared" si="32"/>
        <v>7.1860177557174368E-4</v>
      </c>
      <c r="S173" s="2"/>
      <c r="T173" s="2">
        <v>2331.94</v>
      </c>
      <c r="U173" s="2"/>
      <c r="V173" s="19">
        <f t="shared" si="33"/>
        <v>4.0731104194342203E-4</v>
      </c>
      <c r="W173" s="2"/>
      <c r="X173" s="2">
        <f t="shared" si="34"/>
        <v>-400.41000000000008</v>
      </c>
      <c r="Y173" s="2"/>
      <c r="Z173" s="19">
        <f t="shared" si="35"/>
        <v>-0.17170681921490263</v>
      </c>
    </row>
    <row r="174" spans="1:26" s="24" customFormat="1" hidden="1" outlineLevel="1" x14ac:dyDescent="0.25">
      <c r="A174" s="44"/>
      <c r="B174" s="11" t="str">
        <f>CONCATENATE("          ", "5541", " - ", "FREIGHT-IN-LOGO GIFTS")</f>
        <v xml:space="preserve">          5541 - FREIGHT-IN-LOGO GIFTS</v>
      </c>
      <c r="C174" s="11"/>
      <c r="D174" s="2">
        <v>123.12</v>
      </c>
      <c r="E174" s="2"/>
      <c r="F174" s="19">
        <f t="shared" si="28"/>
        <v>5.5685405500629853E-5</v>
      </c>
      <c r="G174" s="2"/>
      <c r="H174" s="2">
        <v>405.92</v>
      </c>
      <c r="I174" s="2"/>
      <c r="J174" s="19">
        <f t="shared" si="29"/>
        <v>9.6228439944185602E-5</v>
      </c>
      <c r="K174" s="2"/>
      <c r="L174" s="2">
        <f t="shared" si="30"/>
        <v>-282.8</v>
      </c>
      <c r="M174" s="2"/>
      <c r="N174" s="19">
        <f t="shared" si="31"/>
        <v>-0.69668900275916434</v>
      </c>
      <c r="O174" s="11"/>
      <c r="P174" s="2">
        <v>206.7</v>
      </c>
      <c r="Q174" s="2"/>
      <c r="R174" s="19">
        <f t="shared" si="32"/>
        <v>7.6900170854545056E-5</v>
      </c>
      <c r="S174" s="2"/>
      <c r="T174" s="2">
        <v>720.41</v>
      </c>
      <c r="U174" s="2"/>
      <c r="V174" s="19">
        <f t="shared" si="33"/>
        <v>1.2583125969212788E-4</v>
      </c>
      <c r="W174" s="2"/>
      <c r="X174" s="2">
        <f t="shared" si="34"/>
        <v>-513.71</v>
      </c>
      <c r="Y174" s="2"/>
      <c r="Z174" s="19">
        <f t="shared" si="35"/>
        <v>-0.71308005163726218</v>
      </c>
    </row>
    <row r="175" spans="1:26" s="24" customFormat="1" hidden="1" outlineLevel="1" x14ac:dyDescent="0.25">
      <c r="A175" s="44"/>
      <c r="B175" s="11" t="str">
        <f>CONCATENATE("          ", "5542", " - ", "FREIGHT-IN-EVERYDAY GIFTS")</f>
        <v xml:space="preserve">          5542 - FREIGHT-IN-EVERYDAY GIFTS</v>
      </c>
      <c r="C175" s="11"/>
      <c r="D175" s="2"/>
      <c r="E175" s="2"/>
      <c r="F175" s="19">
        <f t="shared" si="28"/>
        <v>0</v>
      </c>
      <c r="G175" s="2"/>
      <c r="H175" s="2">
        <v>83.05</v>
      </c>
      <c r="I175" s="2"/>
      <c r="J175" s="19">
        <f t="shared" si="29"/>
        <v>1.9688046751489492E-5</v>
      </c>
      <c r="K175" s="2"/>
      <c r="L175" s="2">
        <f t="shared" si="30"/>
        <v>-83.05</v>
      </c>
      <c r="M175" s="2"/>
      <c r="N175" s="19">
        <f t="shared" si="31"/>
        <v>-1</v>
      </c>
      <c r="O175" s="11"/>
      <c r="P175" s="2">
        <v>5.94</v>
      </c>
      <c r="Q175" s="2"/>
      <c r="R175" s="19">
        <f t="shared" si="32"/>
        <v>2.2099033133817013E-6</v>
      </c>
      <c r="S175" s="2"/>
      <c r="T175" s="2">
        <v>112.77</v>
      </c>
      <c r="U175" s="2"/>
      <c r="V175" s="19">
        <f t="shared" si="33"/>
        <v>1.9697104642469231E-5</v>
      </c>
      <c r="W175" s="2"/>
      <c r="X175" s="2">
        <f t="shared" si="34"/>
        <v>-106.83</v>
      </c>
      <c r="Y175" s="2"/>
      <c r="Z175" s="19">
        <f t="shared" si="35"/>
        <v>-0.94732641660015959</v>
      </c>
    </row>
    <row r="176" spans="1:26" s="24" customFormat="1" hidden="1" outlineLevel="1" x14ac:dyDescent="0.25">
      <c r="A176" s="44"/>
      <c r="B176" s="11" t="str">
        <f>CONCATENATE("          ", "5543", " - ", "FREIGHT-IN-CARDS")</f>
        <v xml:space="preserve">          5543 - FREIGHT-IN-CARDS</v>
      </c>
      <c r="C176" s="11"/>
      <c r="D176" s="2"/>
      <c r="E176" s="2"/>
      <c r="F176" s="19">
        <f t="shared" si="28"/>
        <v>0</v>
      </c>
      <c r="G176" s="2"/>
      <c r="H176" s="2">
        <v>4.58</v>
      </c>
      <c r="I176" s="2"/>
      <c r="J176" s="19">
        <f t="shared" si="29"/>
        <v>1.0857465878605884E-6</v>
      </c>
      <c r="K176" s="2"/>
      <c r="L176" s="2">
        <f t="shared" si="30"/>
        <v>-4.58</v>
      </c>
      <c r="M176" s="2"/>
      <c r="N176" s="19">
        <f t="shared" si="31"/>
        <v>-1</v>
      </c>
      <c r="O176" s="11"/>
      <c r="P176" s="2"/>
      <c r="Q176" s="2"/>
      <c r="R176" s="19">
        <f t="shared" si="32"/>
        <v>0</v>
      </c>
      <c r="S176" s="2"/>
      <c r="T176" s="2">
        <v>4.58</v>
      </c>
      <c r="U176" s="2"/>
      <c r="V176" s="19">
        <f t="shared" si="33"/>
        <v>7.9997108506259722E-7</v>
      </c>
      <c r="W176" s="2"/>
      <c r="X176" s="2">
        <f t="shared" si="34"/>
        <v>-4.58</v>
      </c>
      <c r="Y176" s="2"/>
      <c r="Z176" s="19">
        <f t="shared" si="35"/>
        <v>-1</v>
      </c>
    </row>
    <row r="177" spans="1:26" s="24" customFormat="1" hidden="1" outlineLevel="1" x14ac:dyDescent="0.25">
      <c r="A177" s="44"/>
      <c r="B177" s="11" t="str">
        <f>CONCATENATE("          ", "5544", " - ", "FREIGHT-IN-ACCESSORIES")</f>
        <v xml:space="preserve">          5544 - FREIGHT-IN-ACCESSORIES</v>
      </c>
      <c r="C177" s="11"/>
      <c r="D177" s="2"/>
      <c r="E177" s="2"/>
      <c r="F177" s="19">
        <f t="shared" si="28"/>
        <v>0</v>
      </c>
      <c r="G177" s="2"/>
      <c r="H177" s="2">
        <v>84.93</v>
      </c>
      <c r="I177" s="2"/>
      <c r="J177" s="19">
        <f t="shared" si="29"/>
        <v>2.0133724390174627E-5</v>
      </c>
      <c r="K177" s="2"/>
      <c r="L177" s="2">
        <f t="shared" si="30"/>
        <v>-84.93</v>
      </c>
      <c r="M177" s="2"/>
      <c r="N177" s="19">
        <f t="shared" si="31"/>
        <v>-1</v>
      </c>
      <c r="O177" s="11"/>
      <c r="P177" s="2"/>
      <c r="Q177" s="2"/>
      <c r="R177" s="19">
        <f t="shared" si="32"/>
        <v>0</v>
      </c>
      <c r="S177" s="2"/>
      <c r="T177" s="2">
        <v>101.66</v>
      </c>
      <c r="U177" s="2"/>
      <c r="V177" s="19">
        <f t="shared" si="33"/>
        <v>1.7756563429577212E-5</v>
      </c>
      <c r="W177" s="2"/>
      <c r="X177" s="2">
        <f t="shared" si="34"/>
        <v>-101.66</v>
      </c>
      <c r="Y177" s="2"/>
      <c r="Z177" s="19">
        <f t="shared" si="35"/>
        <v>-1</v>
      </c>
    </row>
    <row r="178" spans="1:26" s="24" customFormat="1" hidden="1" outlineLevel="1" x14ac:dyDescent="0.25">
      <c r="A178" s="44"/>
      <c r="B178" s="11" t="str">
        <f>CONCATENATE("          ", "5545", " - ", "FREIGHT-IN-SPECIAL ORDERS")</f>
        <v xml:space="preserve">          5545 - FREIGHT-IN-SPECIAL ORDERS</v>
      </c>
      <c r="C178" s="11"/>
      <c r="D178" s="2">
        <v>145.6</v>
      </c>
      <c r="E178" s="2"/>
      <c r="F178" s="19">
        <f t="shared" si="28"/>
        <v>6.5852786232063889E-5</v>
      </c>
      <c r="G178" s="2"/>
      <c r="H178" s="2">
        <v>8.8699999999999992</v>
      </c>
      <c r="I178" s="2"/>
      <c r="J178" s="19">
        <f t="shared" si="29"/>
        <v>2.1027450293282574E-6</v>
      </c>
      <c r="K178" s="2"/>
      <c r="L178" s="2">
        <f t="shared" si="30"/>
        <v>136.72999999999999</v>
      </c>
      <c r="M178" s="2"/>
      <c r="N178" s="19">
        <f t="shared" si="31"/>
        <v>15.414881623449832</v>
      </c>
      <c r="O178" s="11"/>
      <c r="P178" s="2">
        <v>446</v>
      </c>
      <c r="Q178" s="2"/>
      <c r="R178" s="19">
        <f t="shared" si="32"/>
        <v>1.6592876730105031E-4</v>
      </c>
      <c r="S178" s="2"/>
      <c r="T178" s="2">
        <v>235.95</v>
      </c>
      <c r="U178" s="2"/>
      <c r="V178" s="19">
        <f t="shared" si="33"/>
        <v>4.1212484174785982E-5</v>
      </c>
      <c r="W178" s="2"/>
      <c r="X178" s="2">
        <f t="shared" si="34"/>
        <v>210.05</v>
      </c>
      <c r="Y178" s="2"/>
      <c r="Z178" s="19">
        <f t="shared" si="35"/>
        <v>0.89023098114007215</v>
      </c>
    </row>
    <row r="179" spans="1:26" s="24" customFormat="1" hidden="1" outlineLevel="1" x14ac:dyDescent="0.25">
      <c r="A179" s="44"/>
      <c r="B179" s="11" t="str">
        <f>CONCATENATE("          ", "5583", " - ", "FREIGHT-IN-COMPUTER EQUIPMENT")</f>
        <v xml:space="preserve">          5583 - FREIGHT-IN-COMPUTER EQUIPMENT</v>
      </c>
      <c r="C179" s="11"/>
      <c r="D179" s="2"/>
      <c r="E179" s="2"/>
      <c r="F179" s="19">
        <f t="shared" si="28"/>
        <v>0</v>
      </c>
      <c r="G179" s="2"/>
      <c r="H179" s="2">
        <v>26.15</v>
      </c>
      <c r="I179" s="2"/>
      <c r="J179" s="19">
        <f t="shared" si="29"/>
        <v>6.1991863040511762E-6</v>
      </c>
      <c r="K179" s="2"/>
      <c r="L179" s="2">
        <f t="shared" si="30"/>
        <v>-26.15</v>
      </c>
      <c r="M179" s="2"/>
      <c r="N179" s="19">
        <f t="shared" si="31"/>
        <v>-1</v>
      </c>
      <c r="O179" s="11"/>
      <c r="P179" s="2">
        <v>17.39</v>
      </c>
      <c r="Q179" s="2"/>
      <c r="R179" s="19">
        <f t="shared" si="32"/>
        <v>6.4697337743615806E-6</v>
      </c>
      <c r="S179" s="2"/>
      <c r="T179" s="2">
        <v>33.14</v>
      </c>
      <c r="U179" s="2"/>
      <c r="V179" s="19">
        <f t="shared" si="33"/>
        <v>5.7884370652782686E-6</v>
      </c>
      <c r="W179" s="2"/>
      <c r="X179" s="2">
        <f t="shared" si="34"/>
        <v>-15.75</v>
      </c>
      <c r="Y179" s="2"/>
      <c r="Z179" s="19">
        <f t="shared" si="35"/>
        <v>-0.4752564876282438</v>
      </c>
    </row>
    <row r="180" spans="1:26" s="24" customFormat="1" hidden="1" outlineLevel="1" x14ac:dyDescent="0.25">
      <c r="A180" s="44"/>
      <c r="B180" s="11" t="str">
        <f>CONCATENATE("          ", "5586", " - ", "FREIGHT-IN-COMPUTER SUPPLIES")</f>
        <v xml:space="preserve">          5586 - FREIGHT-IN-COMPUTER SUPPLIES</v>
      </c>
      <c r="C180" s="11"/>
      <c r="D180" s="2">
        <v>24.12</v>
      </c>
      <c r="E180" s="2"/>
      <c r="F180" s="19">
        <f t="shared" si="28"/>
        <v>1.0909129147784211E-5</v>
      </c>
      <c r="G180" s="2"/>
      <c r="H180" s="2">
        <v>7.36</v>
      </c>
      <c r="I180" s="2"/>
      <c r="J180" s="19">
        <f t="shared" si="29"/>
        <v>1.7447805429375396E-6</v>
      </c>
      <c r="K180" s="2"/>
      <c r="L180" s="2">
        <f t="shared" si="30"/>
        <v>16.760000000000002</v>
      </c>
      <c r="M180" s="2"/>
      <c r="N180" s="19">
        <f t="shared" si="31"/>
        <v>2.2771739130434785</v>
      </c>
      <c r="O180" s="11"/>
      <c r="P180" s="2">
        <v>24.12</v>
      </c>
      <c r="Q180" s="2"/>
      <c r="R180" s="19">
        <f t="shared" si="32"/>
        <v>8.9735467876711509E-6</v>
      </c>
      <c r="S180" s="2"/>
      <c r="T180" s="2">
        <v>37.03</v>
      </c>
      <c r="U180" s="2"/>
      <c r="V180" s="19">
        <f t="shared" si="33"/>
        <v>6.4678884890541428E-6</v>
      </c>
      <c r="W180" s="2"/>
      <c r="X180" s="2">
        <f t="shared" si="34"/>
        <v>-12.91</v>
      </c>
      <c r="Y180" s="2"/>
      <c r="Z180" s="19">
        <f t="shared" si="35"/>
        <v>-0.34863624088576828</v>
      </c>
    </row>
    <row r="181" spans="1:26" s="24" customFormat="1" hidden="1" outlineLevel="1" x14ac:dyDescent="0.25">
      <c r="A181" s="44"/>
      <c r="B181" s="11" t="str">
        <f>CONCATENATE("          ", "5592", " - ", "FREIGHT-IN-GRAD MERCH")</f>
        <v xml:space="preserve">          5592 - FREIGHT-IN-GRAD MERCH</v>
      </c>
      <c r="C181" s="11"/>
      <c r="D181" s="2"/>
      <c r="E181" s="2"/>
      <c r="F181" s="19">
        <f t="shared" si="28"/>
        <v>0</v>
      </c>
      <c r="G181" s="2"/>
      <c r="H181" s="2">
        <v>59.57</v>
      </c>
      <c r="I181" s="2"/>
      <c r="J181" s="19">
        <f t="shared" si="29"/>
        <v>1.4121817519400711E-5</v>
      </c>
      <c r="K181" s="2"/>
      <c r="L181" s="2">
        <f t="shared" si="30"/>
        <v>-59.57</v>
      </c>
      <c r="M181" s="2"/>
      <c r="N181" s="19">
        <f t="shared" si="31"/>
        <v>-1</v>
      </c>
      <c r="O181" s="11"/>
      <c r="P181" s="2"/>
      <c r="Q181" s="2"/>
      <c r="R181" s="19">
        <f t="shared" si="32"/>
        <v>0</v>
      </c>
      <c r="S181" s="2"/>
      <c r="T181" s="2">
        <v>59.57</v>
      </c>
      <c r="U181" s="2"/>
      <c r="V181" s="19">
        <f t="shared" si="33"/>
        <v>1.04048640910871E-5</v>
      </c>
      <c r="W181" s="2"/>
      <c r="X181" s="2">
        <f t="shared" si="34"/>
        <v>-59.57</v>
      </c>
      <c r="Y181" s="2"/>
      <c r="Z181" s="19">
        <f t="shared" si="35"/>
        <v>-1</v>
      </c>
    </row>
    <row r="182" spans="1:26" x14ac:dyDescent="0.25">
      <c r="A182" s="9"/>
      <c r="B182" s="10"/>
      <c r="C182" s="10"/>
      <c r="D182" s="3"/>
      <c r="E182" s="3"/>
      <c r="F182" s="8"/>
      <c r="G182" s="3"/>
      <c r="H182" s="3"/>
      <c r="I182" s="3"/>
      <c r="J182" s="8"/>
      <c r="K182" s="3"/>
      <c r="L182" s="3"/>
      <c r="M182" s="3"/>
      <c r="N182" s="8"/>
      <c r="O182" s="10"/>
      <c r="P182" s="3"/>
      <c r="Q182" s="3"/>
      <c r="R182" s="8"/>
      <c r="S182" s="3"/>
      <c r="T182" s="3"/>
      <c r="U182" s="3"/>
      <c r="V182" s="8"/>
      <c r="W182" s="3"/>
      <c r="X182" s="3"/>
      <c r="Y182" s="3"/>
      <c r="Z182" s="8"/>
    </row>
    <row r="183" spans="1:26" s="23" customFormat="1" x14ac:dyDescent="0.25">
      <c r="A183" s="10"/>
      <c r="B183" s="26" t="s">
        <v>6</v>
      </c>
      <c r="C183" s="26"/>
      <c r="D183" s="22">
        <f>D12-D127</f>
        <v>602829.42000000016</v>
      </c>
      <c r="E183" s="13"/>
      <c r="F183" s="21">
        <f>IF(D$12=0,0,D183/D$12)</f>
        <v>0.27265107781359255</v>
      </c>
      <c r="G183" s="13"/>
      <c r="H183" s="22">
        <f>H12-H127</f>
        <v>1675463.1199999955</v>
      </c>
      <c r="I183" s="13"/>
      <c r="J183" s="21">
        <f>IF(H$12=0,0,H183/H$12)</f>
        <v>0.39718959948171412</v>
      </c>
      <c r="K183" s="16"/>
      <c r="L183" s="22">
        <f>+D183-H183</f>
        <v>-1072633.6999999953</v>
      </c>
      <c r="M183" s="16"/>
      <c r="N183" s="21">
        <f>IF(H183=0,0,L183/H183)</f>
        <v>-0.64020131938206926</v>
      </c>
      <c r="O183" s="25"/>
      <c r="P183" s="22">
        <f>P12-P127</f>
        <v>742923.54999999981</v>
      </c>
      <c r="Q183" s="13"/>
      <c r="R183" s="21">
        <f>IF(P$12=0,0,P183/P$12)</f>
        <v>0.27639549069600938</v>
      </c>
      <c r="S183" s="13"/>
      <c r="T183" s="22">
        <f>T12-T127</f>
        <v>2392836.8599999989</v>
      </c>
      <c r="U183" s="13"/>
      <c r="V183" s="21">
        <f>IF(T$12=0,0,T183/T$12)</f>
        <v>0.41794766359650154</v>
      </c>
      <c r="W183" s="16"/>
      <c r="X183" s="22">
        <f>+P183-T183</f>
        <v>-1649913.3099999991</v>
      </c>
      <c r="Y183" s="16"/>
      <c r="Z183" s="21">
        <f>IF(T183=0,0,X183/T183)</f>
        <v>-0.68952185482465356</v>
      </c>
    </row>
    <row r="184" spans="1:26" x14ac:dyDescent="0.25">
      <c r="A184" s="9"/>
      <c r="B184" s="10"/>
      <c r="C184" s="9"/>
      <c r="D184" s="1"/>
      <c r="E184" s="1"/>
      <c r="F184" s="5"/>
      <c r="G184" s="1"/>
      <c r="H184" s="1"/>
      <c r="I184" s="1"/>
      <c r="J184" s="5"/>
      <c r="K184" s="1"/>
      <c r="L184" s="1"/>
      <c r="M184" s="1"/>
      <c r="N184" s="5"/>
      <c r="O184" s="37"/>
      <c r="P184" s="1"/>
      <c r="Q184" s="1"/>
      <c r="R184" s="5"/>
      <c r="S184" s="1"/>
      <c r="T184" s="1"/>
      <c r="U184" s="1"/>
      <c r="V184" s="5"/>
      <c r="W184" s="1"/>
      <c r="X184" s="1"/>
      <c r="Y184" s="1"/>
      <c r="Z184" s="5"/>
    </row>
    <row r="185" spans="1:26" s="23" customFormat="1" x14ac:dyDescent="0.25">
      <c r="A185" s="10"/>
      <c r="B185" s="25" t="s">
        <v>9</v>
      </c>
      <c r="C185" s="10"/>
      <c r="D185" s="20">
        <f>SUM(OSRRefD22x_0)</f>
        <v>609031.24000000011</v>
      </c>
      <c r="E185" s="20"/>
      <c r="F185" s="35">
        <f t="shared" ref="F185:F196" si="36">IF(D$12=0,0,D185/D$12)</f>
        <v>0.27545607181571985</v>
      </c>
      <c r="G185" s="20"/>
      <c r="H185" s="20">
        <f>SUM(OSRRefH22x_0)</f>
        <v>1350843.6799999997</v>
      </c>
      <c r="I185" s="20"/>
      <c r="J185" s="35">
        <f t="shared" ref="J185:J196" si="37">IF(H$12=0,0,H185/H$12)</f>
        <v>0.32023447953996514</v>
      </c>
      <c r="K185" s="4"/>
      <c r="L185" s="20">
        <f t="shared" ref="L185:L196" si="38">+D185-H185</f>
        <v>-741812.43999999959</v>
      </c>
      <c r="M185" s="4"/>
      <c r="N185" s="35">
        <f t="shared" ref="N185:N196" si="39">IF(H185=0,0,L185/H185)</f>
        <v>-0.54914750757837483</v>
      </c>
      <c r="O185" s="10"/>
      <c r="P185" s="20">
        <f>SUM(OSRRefP22x_0)</f>
        <v>1308917.79</v>
      </c>
      <c r="Q185" s="20"/>
      <c r="R185" s="35">
        <f t="shared" ref="R185:R196" si="40">IF(P$12=0,0,P185/P$12)</f>
        <v>0.48696662644196193</v>
      </c>
      <c r="S185" s="20"/>
      <c r="T185" s="20">
        <f>SUM(OSRRefT22x_0)</f>
        <v>2663502.8500000006</v>
      </c>
      <c r="U185" s="20"/>
      <c r="V185" s="35">
        <f t="shared" ref="V185:V196" si="41">IF(T$12=0,0,T185/T$12)</f>
        <v>0.46522385698293023</v>
      </c>
      <c r="W185" s="4"/>
      <c r="X185" s="20">
        <f t="shared" ref="X185:X196" si="42">+P185-T185</f>
        <v>-1354585.0600000005</v>
      </c>
      <c r="Y185" s="4"/>
      <c r="Z185" s="35">
        <f t="shared" ref="Z185:Z196" si="43">IF(T185=0,0,X185/T185)</f>
        <v>-0.50857278414400808</v>
      </c>
    </row>
    <row r="186" spans="1:26" s="28" customFormat="1" outlineLevel="1" collapsed="1" x14ac:dyDescent="0.25">
      <c r="A186" s="27"/>
      <c r="B186" s="14" t="str">
        <f>CONCATENATE("     ","*Benefits                                         ")</f>
        <v xml:space="preserve">     *Benefits                                         </v>
      </c>
      <c r="C186" s="14"/>
      <c r="D186" s="1">
        <f>SUM(OSRRefD22_0x_0)</f>
        <v>151965.57999999999</v>
      </c>
      <c r="E186" s="1"/>
      <c r="F186" s="5">
        <f t="shared" si="36"/>
        <v>6.8731846527277499E-2</v>
      </c>
      <c r="G186" s="1"/>
      <c r="H186" s="1">
        <f>SUM(OSRRefH22_0x_0)</f>
        <v>217946.41999999998</v>
      </c>
      <c r="I186" s="1"/>
      <c r="J186" s="5">
        <f t="shared" si="37"/>
        <v>5.166693926887133E-2</v>
      </c>
      <c r="K186" s="1"/>
      <c r="L186" s="1">
        <f t="shared" si="38"/>
        <v>-65980.84</v>
      </c>
      <c r="M186" s="1"/>
      <c r="N186" s="5">
        <f t="shared" si="39"/>
        <v>-0.30273881075908476</v>
      </c>
      <c r="O186" s="14"/>
      <c r="P186" s="1">
        <f>SUM(OSRRefP22_0x_0)</f>
        <v>306078.72000000003</v>
      </c>
      <c r="Q186" s="1"/>
      <c r="R186" s="5">
        <f t="shared" si="40"/>
        <v>0.11387279082215994</v>
      </c>
      <c r="S186" s="1"/>
      <c r="T186" s="1">
        <f>SUM(OSRRefT22_0x_0)</f>
        <v>461782.09</v>
      </c>
      <c r="U186" s="1"/>
      <c r="V186" s="5">
        <f t="shared" si="41"/>
        <v>8.0657711703007409E-2</v>
      </c>
      <c r="W186" s="1"/>
      <c r="X186" s="1">
        <f t="shared" si="42"/>
        <v>-155703.37</v>
      </c>
      <c r="Y186" s="1"/>
      <c r="Z186" s="5">
        <f t="shared" si="43"/>
        <v>-0.3371793176300969</v>
      </c>
    </row>
    <row r="187" spans="1:26" s="24" customFormat="1" hidden="1" outlineLevel="2" x14ac:dyDescent="0.25">
      <c r="A187" s="29"/>
      <c r="B187" s="11" t="str">
        <f>CONCATENATE("          ", "6111", " - ", "F.I.C.A.")</f>
        <v xml:space="preserve">          6111 - F.I.C.A.</v>
      </c>
      <c r="C187" s="11"/>
      <c r="D187" s="7">
        <v>22595.21</v>
      </c>
      <c r="E187" s="2"/>
      <c r="F187" s="6">
        <f t="shared" si="36"/>
        <v>1.021948855768264E-2</v>
      </c>
      <c r="G187" s="2"/>
      <c r="H187" s="7">
        <v>44247.740000000005</v>
      </c>
      <c r="I187" s="2"/>
      <c r="J187" s="6">
        <f t="shared" si="37"/>
        <v>1.0489483127847704E-2</v>
      </c>
      <c r="K187" s="2"/>
      <c r="L187" s="7">
        <f t="shared" si="38"/>
        <v>-21652.530000000006</v>
      </c>
      <c r="M187" s="2"/>
      <c r="N187" s="6">
        <f t="shared" si="39"/>
        <v>-0.48934770453813015</v>
      </c>
      <c r="O187" s="11"/>
      <c r="P187" s="7">
        <v>41464.870000000003</v>
      </c>
      <c r="Q187" s="2"/>
      <c r="R187" s="6">
        <f t="shared" si="40"/>
        <v>1.5426490505377359E-2</v>
      </c>
      <c r="S187" s="2"/>
      <c r="T187" s="7">
        <v>82446.599999999991</v>
      </c>
      <c r="U187" s="2"/>
      <c r="V187" s="6">
        <f t="shared" si="41"/>
        <v>1.4400632327886883E-2</v>
      </c>
      <c r="W187" s="2"/>
      <c r="X187" s="7">
        <f t="shared" si="42"/>
        <v>-40981.729999999989</v>
      </c>
      <c r="Y187" s="2"/>
      <c r="Z187" s="6">
        <f t="shared" si="43"/>
        <v>-0.49706998226730992</v>
      </c>
    </row>
    <row r="188" spans="1:26" s="24" customFormat="1" hidden="1" outlineLevel="2" x14ac:dyDescent="0.25">
      <c r="A188" s="29"/>
      <c r="B188" s="11" t="str">
        <f>CONCATENATE("          ", "6112", " - ", "COMPENSATION INSURANCE")</f>
        <v xml:space="preserve">          6112 - COMPENSATION INSURANCE</v>
      </c>
      <c r="C188" s="11"/>
      <c r="D188" s="7">
        <v>7180.93</v>
      </c>
      <c r="E188" s="2"/>
      <c r="F188" s="6">
        <f t="shared" si="36"/>
        <v>3.2478313752569684E-3</v>
      </c>
      <c r="G188" s="2"/>
      <c r="H188" s="7">
        <v>17070.38</v>
      </c>
      <c r="I188" s="2"/>
      <c r="J188" s="6">
        <f t="shared" si="37"/>
        <v>4.0467482180095264E-3</v>
      </c>
      <c r="K188" s="2"/>
      <c r="L188" s="7">
        <f t="shared" si="38"/>
        <v>-9889.4500000000007</v>
      </c>
      <c r="M188" s="2"/>
      <c r="N188" s="6">
        <f t="shared" si="39"/>
        <v>-0.5793339105514933</v>
      </c>
      <c r="O188" s="11"/>
      <c r="P188" s="7">
        <v>13400.77</v>
      </c>
      <c r="Q188" s="2"/>
      <c r="R188" s="6">
        <f t="shared" si="40"/>
        <v>4.9855902398764484E-3</v>
      </c>
      <c r="S188" s="2"/>
      <c r="T188" s="7">
        <v>31910.52</v>
      </c>
      <c r="U188" s="2"/>
      <c r="V188" s="6">
        <f t="shared" si="41"/>
        <v>5.5736884954829058E-3</v>
      </c>
      <c r="W188" s="2"/>
      <c r="X188" s="7">
        <f t="shared" si="42"/>
        <v>-18509.75</v>
      </c>
      <c r="Y188" s="2"/>
      <c r="Z188" s="6">
        <f t="shared" si="43"/>
        <v>-0.58005165694573446</v>
      </c>
    </row>
    <row r="189" spans="1:26" s="24" customFormat="1" hidden="1" outlineLevel="2" x14ac:dyDescent="0.25">
      <c r="A189" s="29"/>
      <c r="B189" s="11" t="str">
        <f>CONCATENATE("          ", "6113", " - ", "GROUP INSURANCE")</f>
        <v xml:space="preserve">          6113 - GROUP INSURANCE</v>
      </c>
      <c r="C189" s="11"/>
      <c r="D189" s="7">
        <v>75559.64</v>
      </c>
      <c r="E189" s="2"/>
      <c r="F189" s="6">
        <f t="shared" si="36"/>
        <v>3.4174538603651813E-2</v>
      </c>
      <c r="G189" s="2"/>
      <c r="H189" s="7">
        <v>93812.87</v>
      </c>
      <c r="I189" s="2"/>
      <c r="J189" s="6">
        <f t="shared" si="37"/>
        <v>2.2239520414827282E-2</v>
      </c>
      <c r="K189" s="2"/>
      <c r="L189" s="7">
        <f t="shared" si="38"/>
        <v>-18253.229999999996</v>
      </c>
      <c r="M189" s="2"/>
      <c r="N189" s="6">
        <f t="shared" si="39"/>
        <v>-0.19457063833565691</v>
      </c>
      <c r="O189" s="11"/>
      <c r="P189" s="7">
        <v>151224.64000000001</v>
      </c>
      <c r="Q189" s="2"/>
      <c r="R189" s="6">
        <f t="shared" si="40"/>
        <v>5.6261251346962117E-2</v>
      </c>
      <c r="S189" s="2"/>
      <c r="T189" s="7">
        <v>186460.92</v>
      </c>
      <c r="U189" s="2"/>
      <c r="V189" s="6">
        <f t="shared" si="41"/>
        <v>3.2568415828421425E-2</v>
      </c>
      <c r="W189" s="2"/>
      <c r="X189" s="7">
        <f t="shared" si="42"/>
        <v>-35236.28</v>
      </c>
      <c r="Y189" s="2"/>
      <c r="Z189" s="6">
        <f t="shared" si="43"/>
        <v>-0.18897407564008584</v>
      </c>
    </row>
    <row r="190" spans="1:26" s="24" customFormat="1" hidden="1" outlineLevel="2" x14ac:dyDescent="0.25">
      <c r="A190" s="29"/>
      <c r="B190" s="11" t="str">
        <f>CONCATENATE("          ", "6114", " - ", "STATE UNEMPLOYMENT INSURANCE")</f>
        <v xml:space="preserve">          6114 - STATE UNEMPLOYMENT INSURANCE</v>
      </c>
      <c r="C190" s="11"/>
      <c r="D190" s="7">
        <v>779.29</v>
      </c>
      <c r="E190" s="2"/>
      <c r="F190" s="6">
        <f t="shared" si="36"/>
        <v>3.5246166059605132E-4</v>
      </c>
      <c r="G190" s="2"/>
      <c r="H190" s="7">
        <v>1537.94</v>
      </c>
      <c r="I190" s="2"/>
      <c r="J190" s="6">
        <f t="shared" si="37"/>
        <v>3.6458801470181518E-4</v>
      </c>
      <c r="K190" s="2"/>
      <c r="L190" s="7">
        <f t="shared" si="38"/>
        <v>-758.65000000000009</v>
      </c>
      <c r="M190" s="2"/>
      <c r="N190" s="6">
        <f t="shared" si="39"/>
        <v>-0.49328972521684855</v>
      </c>
      <c r="O190" s="11"/>
      <c r="P190" s="7">
        <v>1501.47</v>
      </c>
      <c r="Q190" s="2"/>
      <c r="R190" s="6">
        <f t="shared" si="40"/>
        <v>5.5860328753252911E-4</v>
      </c>
      <c r="S190" s="2"/>
      <c r="T190" s="7">
        <v>2861.27</v>
      </c>
      <c r="U190" s="2"/>
      <c r="V190" s="6">
        <f t="shared" si="41"/>
        <v>4.9976708876791644E-4</v>
      </c>
      <c r="W190" s="2"/>
      <c r="X190" s="7">
        <f t="shared" si="42"/>
        <v>-1359.8</v>
      </c>
      <c r="Y190" s="2"/>
      <c r="Z190" s="6">
        <f t="shared" si="43"/>
        <v>-0.47524351074872345</v>
      </c>
    </row>
    <row r="191" spans="1:26" s="24" customFormat="1" hidden="1" outlineLevel="2" x14ac:dyDescent="0.25">
      <c r="A191" s="29"/>
      <c r="B191" s="11" t="str">
        <f>CONCATENATE("          ", "6115", " - ", "P.E.R.S.")</f>
        <v xml:space="preserve">          6115 - P.E.R.S.</v>
      </c>
      <c r="C191" s="11"/>
      <c r="D191" s="7">
        <v>14241.5</v>
      </c>
      <c r="E191" s="2"/>
      <c r="F191" s="6">
        <f t="shared" si="36"/>
        <v>6.4412256533237493E-3</v>
      </c>
      <c r="G191" s="2"/>
      <c r="H191" s="7">
        <v>18475.900000000001</v>
      </c>
      <c r="I191" s="2"/>
      <c r="J191" s="6">
        <f t="shared" si="37"/>
        <v>4.3799444066928922E-3</v>
      </c>
      <c r="K191" s="2"/>
      <c r="L191" s="7">
        <f t="shared" si="38"/>
        <v>-4234.4000000000015</v>
      </c>
      <c r="M191" s="2"/>
      <c r="N191" s="6">
        <f t="shared" si="39"/>
        <v>-0.22918504646593676</v>
      </c>
      <c r="O191" s="11"/>
      <c r="P191" s="7">
        <v>35492.950000000004</v>
      </c>
      <c r="Q191" s="2"/>
      <c r="R191" s="6">
        <f t="shared" si="40"/>
        <v>1.3204711751968192E-2</v>
      </c>
      <c r="S191" s="2"/>
      <c r="T191" s="7">
        <v>36622.83</v>
      </c>
      <c r="U191" s="2"/>
      <c r="V191" s="6">
        <f t="shared" si="41"/>
        <v>6.3967696622626719E-3</v>
      </c>
      <c r="W191" s="2"/>
      <c r="X191" s="7">
        <f t="shared" si="42"/>
        <v>-1129.8799999999974</v>
      </c>
      <c r="Y191" s="2"/>
      <c r="Z191" s="6">
        <f t="shared" si="43"/>
        <v>-3.0851793812766443E-2</v>
      </c>
    </row>
    <row r="192" spans="1:26" s="24" customFormat="1" hidden="1" outlineLevel="2" x14ac:dyDescent="0.25">
      <c r="A192" s="29"/>
      <c r="B192" s="11" t="str">
        <f>CONCATENATE("          ", "6116", " - ", "EDUCATIONAL BENEFITS")</f>
        <v xml:space="preserve">          6116 - EDUCATIONAL BENEFITS</v>
      </c>
      <c r="C192" s="11"/>
      <c r="D192" s="7"/>
      <c r="E192" s="2"/>
      <c r="F192" s="6">
        <f t="shared" si="36"/>
        <v>0</v>
      </c>
      <c r="G192" s="2"/>
      <c r="H192" s="7"/>
      <c r="I192" s="2"/>
      <c r="J192" s="6">
        <f t="shared" si="37"/>
        <v>0</v>
      </c>
      <c r="K192" s="2"/>
      <c r="L192" s="7">
        <f t="shared" si="38"/>
        <v>0</v>
      </c>
      <c r="M192" s="2"/>
      <c r="N192" s="6">
        <f t="shared" si="39"/>
        <v>0</v>
      </c>
      <c r="O192" s="11"/>
      <c r="P192" s="7">
        <v>0</v>
      </c>
      <c r="Q192" s="2"/>
      <c r="R192" s="6">
        <f t="shared" si="40"/>
        <v>0</v>
      </c>
      <c r="S192" s="2"/>
      <c r="T192" s="7"/>
      <c r="U192" s="2"/>
      <c r="V192" s="6">
        <f t="shared" si="41"/>
        <v>0</v>
      </c>
      <c r="W192" s="2"/>
      <c r="X192" s="7">
        <f t="shared" si="42"/>
        <v>0</v>
      </c>
      <c r="Y192" s="2"/>
      <c r="Z192" s="6">
        <f t="shared" si="43"/>
        <v>0</v>
      </c>
    </row>
    <row r="193" spans="1:26" s="24" customFormat="1" hidden="1" outlineLevel="2" x14ac:dyDescent="0.25">
      <c r="A193" s="29"/>
      <c r="B193" s="11" t="str">
        <f>CONCATENATE("          ", "6117", " - ", "RETIREMENT STAFF HOURLY")</f>
        <v xml:space="preserve">          6117 - RETIREMENT STAFF HOURLY</v>
      </c>
      <c r="C193" s="11"/>
      <c r="D193" s="7">
        <v>1920.07</v>
      </c>
      <c r="E193" s="2"/>
      <c r="F193" s="6">
        <f t="shared" si="36"/>
        <v>8.6842004986675077E-4</v>
      </c>
      <c r="G193" s="2"/>
      <c r="H193" s="7">
        <v>1426.59</v>
      </c>
      <c r="I193" s="2"/>
      <c r="J193" s="6">
        <f t="shared" si="37"/>
        <v>3.381910971126718E-4</v>
      </c>
      <c r="K193" s="2"/>
      <c r="L193" s="7">
        <f t="shared" si="38"/>
        <v>493.48</v>
      </c>
      <c r="M193" s="2"/>
      <c r="N193" s="6">
        <f t="shared" si="39"/>
        <v>0.34591578519406418</v>
      </c>
      <c r="O193" s="11"/>
      <c r="P193" s="7">
        <v>4569.8900000000003</v>
      </c>
      <c r="Q193" s="2"/>
      <c r="R193" s="6">
        <f t="shared" si="40"/>
        <v>1.7001708843080645E-3</v>
      </c>
      <c r="S193" s="2"/>
      <c r="T193" s="7">
        <v>3225.66</v>
      </c>
      <c r="U193" s="2"/>
      <c r="V193" s="6">
        <f t="shared" si="41"/>
        <v>5.6341369655961069E-4</v>
      </c>
      <c r="W193" s="2"/>
      <c r="X193" s="7">
        <f t="shared" si="42"/>
        <v>1344.2300000000005</v>
      </c>
      <c r="Y193" s="2"/>
      <c r="Z193" s="6">
        <f t="shared" si="43"/>
        <v>0.41673021955196782</v>
      </c>
    </row>
    <row r="194" spans="1:26" s="24" customFormat="1" hidden="1" outlineLevel="2" x14ac:dyDescent="0.25">
      <c r="A194" s="29"/>
      <c r="B194" s="11" t="str">
        <f>CONCATENATE("          ", "6118", " - ", "VACATION")</f>
        <v xml:space="preserve">          6118 - VACATION</v>
      </c>
      <c r="C194" s="11"/>
      <c r="D194" s="7">
        <v>14846.529999999999</v>
      </c>
      <c r="E194" s="2"/>
      <c r="F194" s="6">
        <f t="shared" si="36"/>
        <v>6.7148720218263977E-3</v>
      </c>
      <c r="G194" s="2"/>
      <c r="H194" s="7">
        <v>19508.900000000001</v>
      </c>
      <c r="I194" s="2"/>
      <c r="J194" s="6">
        <f t="shared" si="37"/>
        <v>4.6248300453959465E-3</v>
      </c>
      <c r="K194" s="2"/>
      <c r="L194" s="7">
        <f t="shared" si="38"/>
        <v>-4662.3700000000026</v>
      </c>
      <c r="M194" s="2"/>
      <c r="N194" s="6">
        <f t="shared" si="39"/>
        <v>-0.23898682139946395</v>
      </c>
      <c r="O194" s="11"/>
      <c r="P194" s="7">
        <v>29169.38</v>
      </c>
      <c r="Q194" s="2"/>
      <c r="R194" s="6">
        <f t="shared" si="40"/>
        <v>1.0852105978331639E-2</v>
      </c>
      <c r="S194" s="2"/>
      <c r="T194" s="7">
        <v>48828.72</v>
      </c>
      <c r="U194" s="2"/>
      <c r="V194" s="6">
        <f t="shared" si="41"/>
        <v>8.5287257905278906E-3</v>
      </c>
      <c r="W194" s="2"/>
      <c r="X194" s="7">
        <f t="shared" si="42"/>
        <v>-19659.34</v>
      </c>
      <c r="Y194" s="2"/>
      <c r="Z194" s="6">
        <f t="shared" si="43"/>
        <v>-0.40261837705350456</v>
      </c>
    </row>
    <row r="195" spans="1:26" s="24" customFormat="1" hidden="1" outlineLevel="2" x14ac:dyDescent="0.25">
      <c r="A195" s="29"/>
      <c r="B195" s="11" t="str">
        <f>CONCATENATE("          ", "6119", " - ", "SICK LEAVE")</f>
        <v xml:space="preserve">          6119 - SICK LEAVE</v>
      </c>
      <c r="C195" s="11"/>
      <c r="D195" s="7">
        <v>10199.56</v>
      </c>
      <c r="E195" s="2"/>
      <c r="F195" s="6">
        <f t="shared" si="36"/>
        <v>4.6131143155295987E-3</v>
      </c>
      <c r="G195" s="2"/>
      <c r="H195" s="7">
        <v>13305.16</v>
      </c>
      <c r="I195" s="2"/>
      <c r="J195" s="6">
        <f t="shared" si="37"/>
        <v>3.1541554740041893E-3</v>
      </c>
      <c r="K195" s="2"/>
      <c r="L195" s="7">
        <f t="shared" si="38"/>
        <v>-3105.6000000000004</v>
      </c>
      <c r="M195" s="2"/>
      <c r="N195" s="6">
        <f t="shared" si="39"/>
        <v>-0.23341320209602895</v>
      </c>
      <c r="O195" s="11"/>
      <c r="P195" s="7">
        <v>20399.12</v>
      </c>
      <c r="Q195" s="2"/>
      <c r="R195" s="6">
        <f t="shared" si="40"/>
        <v>7.5892395417627824E-3</v>
      </c>
      <c r="S195" s="2"/>
      <c r="T195" s="7">
        <v>53115.96</v>
      </c>
      <c r="U195" s="2"/>
      <c r="V195" s="6">
        <f t="shared" si="41"/>
        <v>9.2775616059697624E-3</v>
      </c>
      <c r="W195" s="2"/>
      <c r="X195" s="7">
        <f t="shared" si="42"/>
        <v>-32716.84</v>
      </c>
      <c r="Y195" s="2"/>
      <c r="Z195" s="6">
        <f t="shared" si="43"/>
        <v>-0.61595121315702472</v>
      </c>
    </row>
    <row r="196" spans="1:26" s="24" customFormat="1" hidden="1" outlineLevel="2" x14ac:dyDescent="0.25">
      <c r="A196" s="29"/>
      <c r="B196" s="11" t="str">
        <f>CONCATENATE("          ", "6156", " - ", "EMPLOYEE MEALS")</f>
        <v xml:space="preserve">          6156 - EMPLOYEE MEALS</v>
      </c>
      <c r="C196" s="11"/>
      <c r="D196" s="7">
        <v>4642.8500000000004</v>
      </c>
      <c r="E196" s="2"/>
      <c r="F196" s="6">
        <f t="shared" si="36"/>
        <v>2.0998942895435295E-3</v>
      </c>
      <c r="G196" s="2"/>
      <c r="H196" s="7">
        <v>8560.94</v>
      </c>
      <c r="I196" s="2"/>
      <c r="J196" s="6">
        <f t="shared" si="37"/>
        <v>2.0294784702793072E-3</v>
      </c>
      <c r="K196" s="2"/>
      <c r="L196" s="7">
        <f t="shared" si="38"/>
        <v>-3918.09</v>
      </c>
      <c r="M196" s="2"/>
      <c r="N196" s="6">
        <f t="shared" si="39"/>
        <v>-0.4576705361794382</v>
      </c>
      <c r="O196" s="11"/>
      <c r="P196" s="7">
        <v>8855.6299999999992</v>
      </c>
      <c r="Q196" s="2"/>
      <c r="R196" s="6">
        <f t="shared" si="40"/>
        <v>3.294627286040807E-3</v>
      </c>
      <c r="S196" s="2"/>
      <c r="T196" s="7">
        <v>16309.609999999999</v>
      </c>
      <c r="U196" s="2"/>
      <c r="V196" s="6">
        <f t="shared" si="41"/>
        <v>2.8487372071283375E-3</v>
      </c>
      <c r="W196" s="2"/>
      <c r="X196" s="7">
        <f t="shared" si="42"/>
        <v>-7453.98</v>
      </c>
      <c r="Y196" s="2"/>
      <c r="Z196" s="6">
        <f t="shared" si="43"/>
        <v>-0.45702993511187578</v>
      </c>
    </row>
    <row r="197" spans="1:26" s="28" customFormat="1" outlineLevel="1" collapsed="1" x14ac:dyDescent="0.25">
      <c r="A197" s="27"/>
      <c r="B197" s="14" t="str">
        <f>CONCATENATE("     ","*Payroll                                          ")</f>
        <v xml:space="preserve">     *Payroll                                          </v>
      </c>
      <c r="C197" s="14"/>
      <c r="D197" s="1">
        <f>SUM(OSRRefD22_1x_0)</f>
        <v>314680.14999999997</v>
      </c>
      <c r="E197" s="1"/>
      <c r="F197" s="5">
        <f t="shared" ref="F197:F204" si="44">IF(D$12=0,0,D197/D$12)</f>
        <v>0.14232530665813048</v>
      </c>
      <c r="G197" s="1"/>
      <c r="H197" s="1">
        <f>SUM(OSRRefH22_1x_0)</f>
        <v>671078.84</v>
      </c>
      <c r="I197" s="1"/>
      <c r="J197" s="5">
        <f t="shared" ref="J197:J204" si="45">IF(H$12=0,0,H197/H$12)</f>
        <v>0.15908767701210519</v>
      </c>
      <c r="K197" s="1"/>
      <c r="L197" s="1">
        <f t="shared" ref="L197:L204" si="46">+D197-H197</f>
        <v>-356398.69</v>
      </c>
      <c r="M197" s="1"/>
      <c r="N197" s="5">
        <f t="shared" ref="N197:N204" si="47">IF(H197=0,0,L197/H197)</f>
        <v>-0.53108318837768753</v>
      </c>
      <c r="O197" s="14"/>
      <c r="P197" s="1">
        <f>SUM(OSRRefP22_1x_0)</f>
        <v>592083.31999999995</v>
      </c>
      <c r="Q197" s="1"/>
      <c r="R197" s="5">
        <f t="shared" ref="R197:R204" si="48">IF(P$12=0,0,P197/P$12)</f>
        <v>0.22027725432088183</v>
      </c>
      <c r="S197" s="1"/>
      <c r="T197" s="1">
        <f>SUM(OSRRefT22_1x_0)</f>
        <v>1270655.74</v>
      </c>
      <c r="U197" s="1"/>
      <c r="V197" s="5">
        <f t="shared" ref="V197:V204" si="49">IF(T$12=0,0,T197/T$12)</f>
        <v>0.22194057883598634</v>
      </c>
      <c r="W197" s="1"/>
      <c r="X197" s="1">
        <f t="shared" ref="X197:X204" si="50">+P197-T197</f>
        <v>-678572.42</v>
      </c>
      <c r="Y197" s="1"/>
      <c r="Z197" s="5">
        <f t="shared" ref="Z197:Z204" si="51">IF(T197=0,0,X197/T197)</f>
        <v>-0.53403325435731319</v>
      </c>
    </row>
    <row r="198" spans="1:26" s="24" customFormat="1" hidden="1" outlineLevel="2" x14ac:dyDescent="0.25">
      <c r="A198" s="29"/>
      <c r="B198" s="11" t="str">
        <f>CONCATENATE("          ", "6001", " - ", "ADMINISTRATIVE SALARIES")</f>
        <v xml:space="preserve">          6001 - ADMINISTRATIVE SALARIES</v>
      </c>
      <c r="C198" s="11"/>
      <c r="D198" s="7">
        <v>24856.46</v>
      </c>
      <c r="E198" s="2"/>
      <c r="F198" s="6">
        <f t="shared" si="44"/>
        <v>1.124221941528741E-2</v>
      </c>
      <c r="G198" s="2"/>
      <c r="H198" s="7">
        <v>30531.79</v>
      </c>
      <c r="I198" s="2"/>
      <c r="J198" s="6">
        <f t="shared" si="45"/>
        <v>7.2379447191650735E-3</v>
      </c>
      <c r="K198" s="2"/>
      <c r="L198" s="7">
        <f t="shared" si="46"/>
        <v>-5675.3300000000017</v>
      </c>
      <c r="M198" s="2"/>
      <c r="N198" s="6">
        <f t="shared" si="47"/>
        <v>-0.1858826488718808</v>
      </c>
      <c r="O198" s="11"/>
      <c r="P198" s="7">
        <v>57046.899999999994</v>
      </c>
      <c r="Q198" s="2"/>
      <c r="R198" s="6">
        <f t="shared" si="48"/>
        <v>2.122359146938629E-2</v>
      </c>
      <c r="S198" s="2"/>
      <c r="T198" s="7">
        <v>71556.26999999999</v>
      </c>
      <c r="U198" s="2"/>
      <c r="V198" s="6">
        <f t="shared" si="49"/>
        <v>1.2498460033827983E-2</v>
      </c>
      <c r="W198" s="2"/>
      <c r="X198" s="7">
        <f t="shared" si="50"/>
        <v>-14509.369999999995</v>
      </c>
      <c r="Y198" s="2"/>
      <c r="Z198" s="6">
        <f t="shared" si="51"/>
        <v>-0.20276867421960365</v>
      </c>
    </row>
    <row r="199" spans="1:26" s="24" customFormat="1" hidden="1" outlineLevel="2" x14ac:dyDescent="0.25">
      <c r="A199" s="29"/>
      <c r="B199" s="11" t="str">
        <f>CONCATENATE("          ", "6002", " - ", "STAFF SALARIES")</f>
        <v xml:space="preserve">          6002 - STAFF SALARIES</v>
      </c>
      <c r="C199" s="11"/>
      <c r="D199" s="7">
        <v>110527.54</v>
      </c>
      <c r="E199" s="2"/>
      <c r="F199" s="6">
        <f t="shared" si="44"/>
        <v>4.999001692565859E-2</v>
      </c>
      <c r="G199" s="2"/>
      <c r="H199" s="7">
        <v>167975.15</v>
      </c>
      <c r="I199" s="2"/>
      <c r="J199" s="6">
        <f t="shared" si="45"/>
        <v>3.9820621388181335E-2</v>
      </c>
      <c r="K199" s="2"/>
      <c r="L199" s="7">
        <f t="shared" si="46"/>
        <v>-57447.61</v>
      </c>
      <c r="M199" s="2"/>
      <c r="N199" s="6">
        <f t="shared" si="47"/>
        <v>-0.34200064711952932</v>
      </c>
      <c r="O199" s="11"/>
      <c r="P199" s="7">
        <v>246455.61</v>
      </c>
      <c r="Q199" s="2"/>
      <c r="R199" s="6">
        <f t="shared" si="48"/>
        <v>9.1690752380556961E-2</v>
      </c>
      <c r="S199" s="2"/>
      <c r="T199" s="7">
        <v>364503.64999999997</v>
      </c>
      <c r="U199" s="2"/>
      <c r="V199" s="6">
        <f t="shared" si="49"/>
        <v>6.3666458602571432E-2</v>
      </c>
      <c r="W199" s="2"/>
      <c r="X199" s="7">
        <f t="shared" si="50"/>
        <v>-118048.03999999998</v>
      </c>
      <c r="Y199" s="2"/>
      <c r="Z199" s="6">
        <f t="shared" si="51"/>
        <v>-0.32385969248867602</v>
      </c>
    </row>
    <row r="200" spans="1:26" s="24" customFormat="1" hidden="1" outlineLevel="2" x14ac:dyDescent="0.25">
      <c r="A200" s="29"/>
      <c r="B200" s="11" t="str">
        <f>CONCATENATE("          ", "6004", " - ", "STAFF HOURLY")</f>
        <v xml:space="preserve">          6004 - STAFF HOURLY</v>
      </c>
      <c r="C200" s="11"/>
      <c r="D200" s="7">
        <v>64226.310000000005</v>
      </c>
      <c r="E200" s="2"/>
      <c r="F200" s="6">
        <f t="shared" si="44"/>
        <v>2.9048636421045795E-2</v>
      </c>
      <c r="G200" s="2"/>
      <c r="H200" s="7">
        <v>58430.729999999996</v>
      </c>
      <c r="I200" s="2"/>
      <c r="J200" s="6">
        <f t="shared" si="45"/>
        <v>1.3851739240983258E-2</v>
      </c>
      <c r="K200" s="2"/>
      <c r="L200" s="7">
        <f t="shared" si="46"/>
        <v>5795.580000000009</v>
      </c>
      <c r="M200" s="2"/>
      <c r="N200" s="6">
        <f t="shared" si="47"/>
        <v>9.9187191397403549E-2</v>
      </c>
      <c r="O200" s="11"/>
      <c r="P200" s="7">
        <v>118895.79</v>
      </c>
      <c r="Q200" s="2"/>
      <c r="R200" s="6">
        <f t="shared" si="48"/>
        <v>4.4233703748844264E-2</v>
      </c>
      <c r="S200" s="2"/>
      <c r="T200" s="7">
        <v>121519.16</v>
      </c>
      <c r="U200" s="2"/>
      <c r="V200" s="6">
        <f t="shared" si="49"/>
        <v>2.1225286960937853E-2</v>
      </c>
      <c r="W200" s="2"/>
      <c r="X200" s="7">
        <f t="shared" si="50"/>
        <v>-2623.3700000000099</v>
      </c>
      <c r="Y200" s="2"/>
      <c r="Z200" s="6">
        <f t="shared" si="51"/>
        <v>-2.1588118285215351E-2</v>
      </c>
    </row>
    <row r="201" spans="1:26" s="24" customFormat="1" hidden="1" outlineLevel="2" x14ac:dyDescent="0.25">
      <c r="A201" s="29"/>
      <c r="B201" s="11" t="str">
        <f>CONCATENATE("          ", "6005", " - ", "TEMPORARY WAGES-HOURLY")</f>
        <v xml:space="preserve">          6005 - TEMPORARY WAGES-HOURLY</v>
      </c>
      <c r="C201" s="11"/>
      <c r="D201" s="7">
        <v>31518.659999999996</v>
      </c>
      <c r="E201" s="2"/>
      <c r="F201" s="6">
        <f t="shared" si="44"/>
        <v>1.4255436671024057E-2</v>
      </c>
      <c r="G201" s="2"/>
      <c r="H201" s="7">
        <v>99663.5</v>
      </c>
      <c r="I201" s="2"/>
      <c r="J201" s="6">
        <f t="shared" si="45"/>
        <v>2.362648582079558E-2</v>
      </c>
      <c r="K201" s="2"/>
      <c r="L201" s="7">
        <f t="shared" si="46"/>
        <v>-68144.84</v>
      </c>
      <c r="M201" s="2"/>
      <c r="N201" s="6">
        <f t="shared" si="47"/>
        <v>-0.68374921611221762</v>
      </c>
      <c r="O201" s="11"/>
      <c r="P201" s="7">
        <v>50641.599999999999</v>
      </c>
      <c r="Q201" s="2"/>
      <c r="R201" s="6">
        <f t="shared" si="48"/>
        <v>1.8840579063123024E-2</v>
      </c>
      <c r="S201" s="2"/>
      <c r="T201" s="7">
        <v>189787.44</v>
      </c>
      <c r="U201" s="2"/>
      <c r="V201" s="6">
        <f t="shared" si="49"/>
        <v>3.3149446355469993E-2</v>
      </c>
      <c r="W201" s="2"/>
      <c r="X201" s="7">
        <f t="shared" si="50"/>
        <v>-139145.84</v>
      </c>
      <c r="Y201" s="2"/>
      <c r="Z201" s="6">
        <f t="shared" si="51"/>
        <v>-0.73316674696702788</v>
      </c>
    </row>
    <row r="202" spans="1:26" s="24" customFormat="1" hidden="1" outlineLevel="2" x14ac:dyDescent="0.25">
      <c r="A202" s="29"/>
      <c r="B202" s="11" t="str">
        <f>CONCATENATE("          ", "6006", " - ", "TEMPORARY PART TIME")</f>
        <v xml:space="preserve">          6006 - TEMPORARY PART TIME</v>
      </c>
      <c r="C202" s="11"/>
      <c r="D202" s="7">
        <v>1927.34</v>
      </c>
      <c r="E202" s="2"/>
      <c r="F202" s="6">
        <f t="shared" si="44"/>
        <v>8.7170816632215669E-4</v>
      </c>
      <c r="G202" s="2"/>
      <c r="H202" s="7">
        <v>14144.13</v>
      </c>
      <c r="I202" s="2"/>
      <c r="J202" s="6">
        <f t="shared" si="45"/>
        <v>3.3530438615189048E-3</v>
      </c>
      <c r="K202" s="2"/>
      <c r="L202" s="7">
        <f t="shared" si="46"/>
        <v>-12216.789999999999</v>
      </c>
      <c r="M202" s="2"/>
      <c r="N202" s="6">
        <f t="shared" si="47"/>
        <v>-0.86373569813060258</v>
      </c>
      <c r="O202" s="11"/>
      <c r="P202" s="7">
        <v>3975.55</v>
      </c>
      <c r="Q202" s="2"/>
      <c r="R202" s="6">
        <f t="shared" si="48"/>
        <v>1.479054060187647E-3</v>
      </c>
      <c r="S202" s="2"/>
      <c r="T202" s="7">
        <v>28085.969999999998</v>
      </c>
      <c r="U202" s="2"/>
      <c r="V202" s="6">
        <f t="shared" si="49"/>
        <v>4.9056689729116924E-3</v>
      </c>
      <c r="W202" s="2"/>
      <c r="X202" s="7">
        <f t="shared" si="50"/>
        <v>-24110.42</v>
      </c>
      <c r="Y202" s="2"/>
      <c r="Z202" s="6">
        <f t="shared" si="51"/>
        <v>-0.85845067839921496</v>
      </c>
    </row>
    <row r="203" spans="1:26" s="24" customFormat="1" hidden="1" outlineLevel="2" x14ac:dyDescent="0.25">
      <c r="A203" s="29"/>
      <c r="B203" s="11" t="str">
        <f>CONCATENATE("          ", "6007", " - ", "STUDENT HOURLY")</f>
        <v xml:space="preserve">          6007 - STUDENT HOURLY</v>
      </c>
      <c r="C203" s="11"/>
      <c r="D203" s="7">
        <v>80574.48</v>
      </c>
      <c r="E203" s="2"/>
      <c r="F203" s="6">
        <f t="shared" si="44"/>
        <v>3.6442678620877113E-2</v>
      </c>
      <c r="G203" s="2"/>
      <c r="H203" s="7">
        <v>283289.17</v>
      </c>
      <c r="I203" s="2"/>
      <c r="J203" s="6">
        <f t="shared" si="45"/>
        <v>6.7157259760995236E-2</v>
      </c>
      <c r="K203" s="2"/>
      <c r="L203" s="7">
        <f t="shared" si="46"/>
        <v>-202714.69</v>
      </c>
      <c r="M203" s="2"/>
      <c r="N203" s="6">
        <f t="shared" si="47"/>
        <v>-0.71557514888408902</v>
      </c>
      <c r="O203" s="11"/>
      <c r="P203" s="7">
        <v>114018.51</v>
      </c>
      <c r="Q203" s="2"/>
      <c r="R203" s="6">
        <f t="shared" si="48"/>
        <v>4.2419172228256669E-2</v>
      </c>
      <c r="S203" s="2"/>
      <c r="T203" s="7">
        <v>465566.55</v>
      </c>
      <c r="U203" s="2"/>
      <c r="V203" s="6">
        <f t="shared" si="49"/>
        <v>8.1318728858591677E-2</v>
      </c>
      <c r="W203" s="2"/>
      <c r="X203" s="7">
        <f t="shared" si="50"/>
        <v>-351548.04</v>
      </c>
      <c r="Y203" s="2"/>
      <c r="Z203" s="6">
        <f t="shared" si="51"/>
        <v>-0.75509728952821031</v>
      </c>
    </row>
    <row r="204" spans="1:26" s="24" customFormat="1" hidden="1" outlineLevel="2" x14ac:dyDescent="0.25">
      <c r="A204" s="29"/>
      <c r="B204" s="11" t="str">
        <f>CONCATENATE("          ", "6008", " - ", "STUDENT HOURLY-FICA EXEMPT")</f>
        <v xml:space="preserve">          6008 - STUDENT HOURLY-FICA EXEMPT</v>
      </c>
      <c r="C204" s="11"/>
      <c r="D204" s="7">
        <v>1049.3599999999999</v>
      </c>
      <c r="E204" s="2"/>
      <c r="F204" s="6">
        <f t="shared" si="44"/>
        <v>4.7461043791537474E-4</v>
      </c>
      <c r="G204" s="2"/>
      <c r="H204" s="7">
        <v>17044.37</v>
      </c>
      <c r="I204" s="2"/>
      <c r="J204" s="6">
        <f t="shared" si="45"/>
        <v>4.0405822204658028E-3</v>
      </c>
      <c r="K204" s="2"/>
      <c r="L204" s="7">
        <f t="shared" si="46"/>
        <v>-15995.009999999998</v>
      </c>
      <c r="M204" s="2"/>
      <c r="N204" s="6">
        <f t="shared" si="47"/>
        <v>-0.93843362940372688</v>
      </c>
      <c r="O204" s="11"/>
      <c r="P204" s="7">
        <v>1049.3599999999999</v>
      </c>
      <c r="Q204" s="2"/>
      <c r="R204" s="6">
        <f t="shared" si="48"/>
        <v>3.9040137052697338E-4</v>
      </c>
      <c r="S204" s="2"/>
      <c r="T204" s="7">
        <v>29636.700000000004</v>
      </c>
      <c r="U204" s="2"/>
      <c r="V204" s="6">
        <f t="shared" si="49"/>
        <v>5.1765290516756941E-3</v>
      </c>
      <c r="W204" s="2"/>
      <c r="X204" s="7">
        <f t="shared" si="50"/>
        <v>-28587.340000000004</v>
      </c>
      <c r="Y204" s="2"/>
      <c r="Z204" s="6">
        <f t="shared" si="51"/>
        <v>-0.96459254910297032</v>
      </c>
    </row>
    <row r="205" spans="1:26" s="28" customFormat="1" outlineLevel="1" collapsed="1" x14ac:dyDescent="0.25">
      <c r="A205" s="27"/>
      <c r="B205" s="14" t="str">
        <f>CONCATENATE("     ","Advertising/Promo                                 ")</f>
        <v xml:space="preserve">     Advertising/Promo                                 </v>
      </c>
      <c r="C205" s="14"/>
      <c r="D205" s="1">
        <f>SUM(OSRRefD22_2x_0)</f>
        <v>10215.11</v>
      </c>
      <c r="E205" s="1"/>
      <c r="F205" s="5">
        <f t="shared" ref="F205:F214" si="52">IF(D$12=0,0,D205/D$12)</f>
        <v>4.620147356916334E-3</v>
      </c>
      <c r="G205" s="1"/>
      <c r="H205" s="1">
        <f>SUM(OSRRefH22_2x_0)</f>
        <v>15283.52</v>
      </c>
      <c r="I205" s="1"/>
      <c r="J205" s="5">
        <f t="shared" ref="J205:J214" si="53">IF(H$12=0,0,H205/H$12)</f>
        <v>3.62315058744521E-3</v>
      </c>
      <c r="K205" s="1"/>
      <c r="L205" s="1">
        <f t="shared" ref="L205:L214" si="54">+D205-H205</f>
        <v>-5068.41</v>
      </c>
      <c r="M205" s="1"/>
      <c r="N205" s="5">
        <f t="shared" ref="N205:N214" si="55">IF(H205=0,0,L205/H205)</f>
        <v>-0.33162582965180792</v>
      </c>
      <c r="O205" s="14"/>
      <c r="P205" s="1">
        <f>SUM(OSRRefP22_2x_0)</f>
        <v>13726.05</v>
      </c>
      <c r="Q205" s="1"/>
      <c r="R205" s="5">
        <f t="shared" ref="R205:R214" si="56">IF(P$12=0,0,P205/P$12)</f>
        <v>5.1066066287277605E-3</v>
      </c>
      <c r="S205" s="1"/>
      <c r="T205" s="1">
        <f>SUM(OSRRefT22_2x_0)</f>
        <v>20491.41</v>
      </c>
      <c r="U205" s="1"/>
      <c r="V205" s="5">
        <f t="shared" ref="V205:V214" si="57">IF(T$12=0,0,T205/T$12)</f>
        <v>3.579156220996191E-3</v>
      </c>
      <c r="W205" s="1"/>
      <c r="X205" s="1">
        <f t="shared" ref="X205:X214" si="58">+P205-T205</f>
        <v>-6765.3600000000006</v>
      </c>
      <c r="Y205" s="1"/>
      <c r="Z205" s="5">
        <f t="shared" ref="Z205:Z214" si="59">IF(T205=0,0,X205/T205)</f>
        <v>-0.33015590435211634</v>
      </c>
    </row>
    <row r="206" spans="1:26" s="24" customFormat="1" hidden="1" outlineLevel="2" x14ac:dyDescent="0.25">
      <c r="A206" s="29"/>
      <c r="B206" s="11" t="str">
        <f>CONCATENATE("          ", "6362", " - ", "ADVERTISING EXPENSE")</f>
        <v xml:space="preserve">          6362 - ADVERTISING EXPENSE</v>
      </c>
      <c r="C206" s="11"/>
      <c r="D206" s="7">
        <v>10215.11</v>
      </c>
      <c r="E206" s="2"/>
      <c r="F206" s="6">
        <f t="shared" si="52"/>
        <v>4.620147356916334E-3</v>
      </c>
      <c r="G206" s="2"/>
      <c r="H206" s="7">
        <v>15283.52</v>
      </c>
      <c r="I206" s="2"/>
      <c r="J206" s="6">
        <f t="shared" si="53"/>
        <v>3.62315058744521E-3</v>
      </c>
      <c r="K206" s="2"/>
      <c r="L206" s="7">
        <f t="shared" si="54"/>
        <v>-5068.41</v>
      </c>
      <c r="M206" s="2"/>
      <c r="N206" s="6">
        <f t="shared" si="55"/>
        <v>-0.33162582965180792</v>
      </c>
      <c r="O206" s="11"/>
      <c r="P206" s="7">
        <v>13726.05</v>
      </c>
      <c r="Q206" s="2"/>
      <c r="R206" s="6">
        <f t="shared" si="56"/>
        <v>5.1066066287277605E-3</v>
      </c>
      <c r="S206" s="2"/>
      <c r="T206" s="7">
        <v>20491.41</v>
      </c>
      <c r="U206" s="2"/>
      <c r="V206" s="6">
        <f t="shared" si="57"/>
        <v>3.579156220996191E-3</v>
      </c>
      <c r="W206" s="2"/>
      <c r="X206" s="7">
        <f t="shared" si="58"/>
        <v>-6765.3600000000006</v>
      </c>
      <c r="Y206" s="2"/>
      <c r="Z206" s="6">
        <f t="shared" si="59"/>
        <v>-0.33015590435211634</v>
      </c>
    </row>
    <row r="207" spans="1:26" s="28" customFormat="1" outlineLevel="1" collapsed="1" x14ac:dyDescent="0.25">
      <c r="A207" s="27"/>
      <c r="B207" s="14" t="str">
        <f>CONCATENATE("     ","Bad Debts/Over/Short                              ")</f>
        <v xml:space="preserve">     Bad Debts/Over/Short                              </v>
      </c>
      <c r="C207" s="14"/>
      <c r="D207" s="1">
        <f>SUM(OSRRefD22_3x_0)</f>
        <v>102.42</v>
      </c>
      <c r="E207" s="1"/>
      <c r="F207" s="5">
        <f t="shared" si="52"/>
        <v>4.632309317230758E-5</v>
      </c>
      <c r="G207" s="1"/>
      <c r="H207" s="1">
        <f>SUM(OSRRefH22_3x_0)</f>
        <v>-63.42</v>
      </c>
      <c r="I207" s="1"/>
      <c r="J207" s="5">
        <f t="shared" si="53"/>
        <v>-1.5034508428410157E-5</v>
      </c>
      <c r="K207" s="1"/>
      <c r="L207" s="1">
        <f t="shared" si="54"/>
        <v>165.84</v>
      </c>
      <c r="M207" s="1"/>
      <c r="N207" s="5">
        <f t="shared" si="55"/>
        <v>-2.6149479659413433</v>
      </c>
      <c r="O207" s="14"/>
      <c r="P207" s="1">
        <f>SUM(OSRRefP22_3x_0)</f>
        <v>107.4</v>
      </c>
      <c r="Q207" s="1"/>
      <c r="R207" s="5">
        <f t="shared" si="56"/>
        <v>3.995683768639642E-5</v>
      </c>
      <c r="S207" s="1"/>
      <c r="T207" s="1">
        <f>SUM(OSRRefT22_3x_0)</f>
        <v>-104.98</v>
      </c>
      <c r="U207" s="1"/>
      <c r="V207" s="5">
        <f t="shared" si="57"/>
        <v>-1.8336455133159708E-5</v>
      </c>
      <c r="W207" s="1"/>
      <c r="X207" s="1">
        <f t="shared" si="58"/>
        <v>212.38</v>
      </c>
      <c r="Y207" s="1"/>
      <c r="Z207" s="5">
        <f t="shared" si="59"/>
        <v>-2.0230520099066487</v>
      </c>
    </row>
    <row r="208" spans="1:26" s="24" customFormat="1" hidden="1" outlineLevel="2" x14ac:dyDescent="0.25">
      <c r="A208" s="29"/>
      <c r="B208" s="11" t="str">
        <f>CONCATENATE("          ", "6272", " - ", "CASH (OVER/SHORT)")</f>
        <v xml:space="preserve">          6272 - CASH (OVER/SHORT)</v>
      </c>
      <c r="C208" s="11"/>
      <c r="D208" s="7">
        <v>102.42</v>
      </c>
      <c r="E208" s="2"/>
      <c r="F208" s="6">
        <f t="shared" si="52"/>
        <v>4.632309317230758E-5</v>
      </c>
      <c r="G208" s="2"/>
      <c r="H208" s="7">
        <v>-63.42</v>
      </c>
      <c r="I208" s="2"/>
      <c r="J208" s="6">
        <f t="shared" si="53"/>
        <v>-1.5034508428410157E-5</v>
      </c>
      <c r="K208" s="2"/>
      <c r="L208" s="7">
        <f t="shared" si="54"/>
        <v>165.84</v>
      </c>
      <c r="M208" s="2"/>
      <c r="N208" s="6">
        <f t="shared" si="55"/>
        <v>-2.6149479659413433</v>
      </c>
      <c r="O208" s="11"/>
      <c r="P208" s="7">
        <v>107.4</v>
      </c>
      <c r="Q208" s="2"/>
      <c r="R208" s="6">
        <f t="shared" si="56"/>
        <v>3.995683768639642E-5</v>
      </c>
      <c r="S208" s="2"/>
      <c r="T208" s="7">
        <v>-104.98</v>
      </c>
      <c r="U208" s="2"/>
      <c r="V208" s="6">
        <f t="shared" si="57"/>
        <v>-1.8336455133159708E-5</v>
      </c>
      <c r="W208" s="2"/>
      <c r="X208" s="7">
        <f t="shared" si="58"/>
        <v>212.38</v>
      </c>
      <c r="Y208" s="2"/>
      <c r="Z208" s="6">
        <f t="shared" si="59"/>
        <v>-2.0230520099066487</v>
      </c>
    </row>
    <row r="209" spans="1:26" s="28" customFormat="1" outlineLevel="1" collapsed="1" x14ac:dyDescent="0.25">
      <c r="A209" s="27"/>
      <c r="B209" s="14" t="str">
        <f>CONCATENATE("     ","Bank/card Fees                                    ")</f>
        <v xml:space="preserve">     Bank/card Fees                                    </v>
      </c>
      <c r="C209" s="14"/>
      <c r="D209" s="1">
        <f>SUM(OSRRefD22_4x_0)</f>
        <v>22597.510000000002</v>
      </c>
      <c r="E209" s="1"/>
      <c r="F209" s="5">
        <f t="shared" si="52"/>
        <v>1.0220528814608011E-2</v>
      </c>
      <c r="G209" s="1"/>
      <c r="H209" s="1">
        <f>SUM(OSRRefH22_4x_0)</f>
        <v>49286.15</v>
      </c>
      <c r="I209" s="1"/>
      <c r="J209" s="5">
        <f t="shared" si="53"/>
        <v>1.1683901570149594E-2</v>
      </c>
      <c r="K209" s="1"/>
      <c r="L209" s="1">
        <f t="shared" si="54"/>
        <v>-26688.639999999999</v>
      </c>
      <c r="M209" s="1"/>
      <c r="N209" s="5">
        <f t="shared" si="55"/>
        <v>-0.54150385047320593</v>
      </c>
      <c r="O209" s="14"/>
      <c r="P209" s="1">
        <f>SUM(OSRRefP22_4x_0)</f>
        <v>26303.870000000003</v>
      </c>
      <c r="Q209" s="1"/>
      <c r="R209" s="5">
        <f t="shared" si="56"/>
        <v>9.786028529926185E-3</v>
      </c>
      <c r="S209" s="1"/>
      <c r="T209" s="1">
        <f>SUM(OSRRefT22_4x_0)</f>
        <v>61483.839999999997</v>
      </c>
      <c r="U209" s="1"/>
      <c r="V209" s="5">
        <f t="shared" si="57"/>
        <v>1.0739147204937797E-2</v>
      </c>
      <c r="W209" s="1"/>
      <c r="X209" s="1">
        <f t="shared" si="58"/>
        <v>-35179.969999999994</v>
      </c>
      <c r="Y209" s="1"/>
      <c r="Z209" s="5">
        <f t="shared" si="59"/>
        <v>-0.57218238158189205</v>
      </c>
    </row>
    <row r="210" spans="1:26" s="24" customFormat="1" hidden="1" outlineLevel="2" x14ac:dyDescent="0.25">
      <c r="A210" s="29"/>
      <c r="B210" s="11" t="str">
        <f>CONCATENATE("          ", "6381", " - ", "BANK/CREDIT CARD FEES")</f>
        <v xml:space="preserve">          6381 - BANK/CREDIT CARD FEES</v>
      </c>
      <c r="C210" s="11"/>
      <c r="D210" s="7">
        <v>22597.510000000002</v>
      </c>
      <c r="E210" s="2"/>
      <c r="F210" s="6">
        <f t="shared" si="52"/>
        <v>1.0220528814608011E-2</v>
      </c>
      <c r="G210" s="2"/>
      <c r="H210" s="7">
        <v>49286.15</v>
      </c>
      <c r="I210" s="2"/>
      <c r="J210" s="6">
        <f t="shared" si="53"/>
        <v>1.1683901570149594E-2</v>
      </c>
      <c r="K210" s="2"/>
      <c r="L210" s="7">
        <f t="shared" si="54"/>
        <v>-26688.639999999999</v>
      </c>
      <c r="M210" s="2"/>
      <c r="N210" s="6">
        <f t="shared" si="55"/>
        <v>-0.54150385047320593</v>
      </c>
      <c r="O210" s="11"/>
      <c r="P210" s="7">
        <v>26303.870000000003</v>
      </c>
      <c r="Q210" s="2"/>
      <c r="R210" s="6">
        <f t="shared" si="56"/>
        <v>9.786028529926185E-3</v>
      </c>
      <c r="S210" s="2"/>
      <c r="T210" s="7">
        <v>61483.839999999997</v>
      </c>
      <c r="U210" s="2"/>
      <c r="V210" s="6">
        <f t="shared" si="57"/>
        <v>1.0739147204937797E-2</v>
      </c>
      <c r="W210" s="2"/>
      <c r="X210" s="7">
        <f t="shared" si="58"/>
        <v>-35179.969999999994</v>
      </c>
      <c r="Y210" s="2"/>
      <c r="Z210" s="6">
        <f t="shared" si="59"/>
        <v>-0.57218238158189205</v>
      </c>
    </row>
    <row r="211" spans="1:26" s="28" customFormat="1" outlineLevel="1" collapsed="1" x14ac:dyDescent="0.25">
      <c r="A211" s="27"/>
      <c r="B211" s="14" t="str">
        <f>CONCATENATE("     ","Depreciation                                      ")</f>
        <v xml:space="preserve">     Depreciation                                      </v>
      </c>
      <c r="C211" s="14"/>
      <c r="D211" s="1">
        <f>SUM(OSRRefD22_5x_0)</f>
        <v>79107.78</v>
      </c>
      <c r="E211" s="1"/>
      <c r="F211" s="5">
        <f t="shared" si="52"/>
        <v>3.5779311302425405E-2</v>
      </c>
      <c r="G211" s="1"/>
      <c r="H211" s="1">
        <f>SUM(OSRRefH22_5x_0)</f>
        <v>77862.400000000009</v>
      </c>
      <c r="I211" s="1"/>
      <c r="J211" s="5">
        <f t="shared" si="53"/>
        <v>1.8458260943807051E-2</v>
      </c>
      <c r="K211" s="1"/>
      <c r="L211" s="1">
        <f t="shared" si="54"/>
        <v>1245.3799999999901</v>
      </c>
      <c r="M211" s="1"/>
      <c r="N211" s="5">
        <f t="shared" si="55"/>
        <v>1.5994626417885783E-2</v>
      </c>
      <c r="O211" s="14"/>
      <c r="P211" s="1">
        <f>SUM(OSRRefP22_5x_0)</f>
        <v>156494.84</v>
      </c>
      <c r="Q211" s="1"/>
      <c r="R211" s="5">
        <f t="shared" si="56"/>
        <v>5.8221963879316364E-2</v>
      </c>
      <c r="S211" s="1"/>
      <c r="T211" s="1">
        <f>SUM(OSRRefT22_5x_0)</f>
        <v>155724.80000000002</v>
      </c>
      <c r="U211" s="1"/>
      <c r="V211" s="5">
        <f t="shared" si="57"/>
        <v>2.7199855289772042E-2</v>
      </c>
      <c r="W211" s="1"/>
      <c r="X211" s="1">
        <f t="shared" si="58"/>
        <v>770.03999999997905</v>
      </c>
      <c r="Y211" s="1"/>
      <c r="Z211" s="5">
        <f t="shared" si="59"/>
        <v>4.9448771165541963E-3</v>
      </c>
    </row>
    <row r="212" spans="1:26" s="24" customFormat="1" hidden="1" outlineLevel="2" x14ac:dyDescent="0.25">
      <c r="A212" s="29"/>
      <c r="B212" s="11" t="str">
        <f>CONCATENATE("          ", "6321", " - ", "BUILDING DEPRECIATION")</f>
        <v xml:space="preserve">          6321 - BUILDING DEPRECIATION</v>
      </c>
      <c r="C212" s="11"/>
      <c r="D212" s="7">
        <v>45321.919999999998</v>
      </c>
      <c r="E212" s="2"/>
      <c r="F212" s="6">
        <f t="shared" si="52"/>
        <v>2.0498452674359211E-2</v>
      </c>
      <c r="G212" s="2"/>
      <c r="H212" s="7">
        <v>45519.990000000005</v>
      </c>
      <c r="I212" s="2"/>
      <c r="J212" s="6">
        <f t="shared" si="53"/>
        <v>1.0791085987324915E-2</v>
      </c>
      <c r="K212" s="2"/>
      <c r="L212" s="7">
        <f t="shared" si="54"/>
        <v>-198.07000000000698</v>
      </c>
      <c r="M212" s="2"/>
      <c r="N212" s="6">
        <f t="shared" si="55"/>
        <v>-4.3512751211062864E-3</v>
      </c>
      <c r="O212" s="11"/>
      <c r="P212" s="7">
        <v>90643.839999999997</v>
      </c>
      <c r="Q212" s="2"/>
      <c r="R212" s="6">
        <f t="shared" si="56"/>
        <v>3.3722916221151644E-2</v>
      </c>
      <c r="S212" s="2"/>
      <c r="T212" s="7">
        <v>91039.98000000001</v>
      </c>
      <c r="U212" s="2"/>
      <c r="V212" s="6">
        <f t="shared" si="57"/>
        <v>1.5901605149492831E-2</v>
      </c>
      <c r="W212" s="2"/>
      <c r="X212" s="7">
        <f t="shared" si="58"/>
        <v>-396.14000000001397</v>
      </c>
      <c r="Y212" s="2"/>
      <c r="Z212" s="6">
        <f t="shared" si="59"/>
        <v>-4.3512751211062864E-3</v>
      </c>
    </row>
    <row r="213" spans="1:26" s="24" customFormat="1" hidden="1" outlineLevel="2" x14ac:dyDescent="0.25">
      <c r="A213" s="29"/>
      <c r="B213" s="11" t="str">
        <f>CONCATENATE("          ", "6322", " - ", "EQUIPMENT DEPRECIATION EXPENSE")</f>
        <v xml:space="preserve">          6322 - EQUIPMENT DEPRECIATION EXPENSE</v>
      </c>
      <c r="C213" s="11"/>
      <c r="D213" s="7">
        <v>33785.859999999993</v>
      </c>
      <c r="E213" s="2"/>
      <c r="F213" s="6">
        <f t="shared" si="52"/>
        <v>1.5280858628066194E-2</v>
      </c>
      <c r="G213" s="2"/>
      <c r="H213" s="7">
        <v>31918.16</v>
      </c>
      <c r="I213" s="2"/>
      <c r="J213" s="6">
        <f t="shared" si="53"/>
        <v>7.5666011595607683E-3</v>
      </c>
      <c r="K213" s="2"/>
      <c r="L213" s="7">
        <f t="shared" si="54"/>
        <v>1867.6999999999935</v>
      </c>
      <c r="M213" s="2"/>
      <c r="N213" s="6">
        <f t="shared" si="55"/>
        <v>5.8515277823032202E-2</v>
      </c>
      <c r="O213" s="11"/>
      <c r="P213" s="7">
        <v>65851</v>
      </c>
      <c r="Q213" s="2"/>
      <c r="R213" s="6">
        <f t="shared" si="56"/>
        <v>2.4499047658164717E-2</v>
      </c>
      <c r="S213" s="2"/>
      <c r="T213" s="7">
        <v>63836.32</v>
      </c>
      <c r="U213" s="2"/>
      <c r="V213" s="6">
        <f t="shared" si="57"/>
        <v>1.1150045890131698E-2</v>
      </c>
      <c r="W213" s="2"/>
      <c r="X213" s="7">
        <f t="shared" si="58"/>
        <v>2014.6800000000003</v>
      </c>
      <c r="Y213" s="2"/>
      <c r="Z213" s="6">
        <f t="shared" si="59"/>
        <v>3.1560089929995969E-2</v>
      </c>
    </row>
    <row r="214" spans="1:26" s="24" customFormat="1" hidden="1" outlineLevel="2" x14ac:dyDescent="0.25">
      <c r="A214" s="29"/>
      <c r="B214" s="11" t="str">
        <f>CONCATENATE("          ", "6326", " - ", "VEHICLES DEPRECIATION EXPENSE")</f>
        <v xml:space="preserve">          6326 - VEHICLES DEPRECIATION EXPENSE</v>
      </c>
      <c r="C214" s="11"/>
      <c r="D214" s="7"/>
      <c r="E214" s="2"/>
      <c r="F214" s="6">
        <f t="shared" si="52"/>
        <v>0</v>
      </c>
      <c r="G214" s="2"/>
      <c r="H214" s="7">
        <v>424.25</v>
      </c>
      <c r="I214" s="2"/>
      <c r="J214" s="6">
        <f t="shared" si="53"/>
        <v>1.0057379692136565E-4</v>
      </c>
      <c r="K214" s="2"/>
      <c r="L214" s="7">
        <f t="shared" si="54"/>
        <v>-424.25</v>
      </c>
      <c r="M214" s="2"/>
      <c r="N214" s="6">
        <f t="shared" si="55"/>
        <v>-1</v>
      </c>
      <c r="O214" s="11"/>
      <c r="P214" s="7"/>
      <c r="Q214" s="2"/>
      <c r="R214" s="6">
        <f t="shared" si="56"/>
        <v>0</v>
      </c>
      <c r="S214" s="2"/>
      <c r="T214" s="7">
        <v>848.5</v>
      </c>
      <c r="U214" s="2"/>
      <c r="V214" s="6">
        <f t="shared" si="57"/>
        <v>1.482042501475139E-4</v>
      </c>
      <c r="W214" s="2"/>
      <c r="X214" s="7">
        <f t="shared" si="58"/>
        <v>-848.5</v>
      </c>
      <c r="Y214" s="2"/>
      <c r="Z214" s="6">
        <f t="shared" si="59"/>
        <v>-1</v>
      </c>
    </row>
    <row r="215" spans="1:26" s="28" customFormat="1" outlineLevel="1" collapsed="1" x14ac:dyDescent="0.25">
      <c r="A215" s="27"/>
      <c r="B215" s="14" t="str">
        <f>CONCATENATE("     ","Discounts and Markdowns                           ")</f>
        <v xml:space="preserve">     Discounts and Markdowns                           </v>
      </c>
      <c r="C215" s="14"/>
      <c r="D215" s="1">
        <f>SUM(OSRRefD22_6x_0)</f>
        <v>0</v>
      </c>
      <c r="E215" s="1"/>
      <c r="F215" s="5">
        <f t="shared" ref="F215:F217" si="60">IF(D$12=0,0,D215/D$12)</f>
        <v>0</v>
      </c>
      <c r="G215" s="1"/>
      <c r="H215" s="1">
        <f>SUM(OSRRefH22_6x_0)</f>
        <v>91714.9</v>
      </c>
      <c r="I215" s="1"/>
      <c r="J215" s="5">
        <f t="shared" ref="J215:J217" si="61">IF(H$12=0,0,H215/H$12)</f>
        <v>2.1742170246937791E-2</v>
      </c>
      <c r="K215" s="1"/>
      <c r="L215" s="1">
        <f t="shared" ref="L215:L217" si="62">+D215-H215</f>
        <v>-91714.9</v>
      </c>
      <c r="M215" s="1"/>
      <c r="N215" s="5">
        <f t="shared" ref="N215:N217" si="63">IF(H215=0,0,L215/H215)</f>
        <v>-1</v>
      </c>
      <c r="O215" s="14"/>
      <c r="P215" s="1">
        <f>SUM(OSRRefP22_6x_0)</f>
        <v>0</v>
      </c>
      <c r="Q215" s="1"/>
      <c r="R215" s="5">
        <f t="shared" ref="R215:R217" si="64">IF(P$12=0,0,P215/P$12)</f>
        <v>0</v>
      </c>
      <c r="S215" s="1"/>
      <c r="T215" s="1">
        <f>SUM(OSRRefT22_6x_0)</f>
        <v>129122.67</v>
      </c>
      <c r="U215" s="1"/>
      <c r="V215" s="5">
        <f t="shared" ref="V215:V217" si="65">IF(T$12=0,0,T215/T$12)</f>
        <v>2.2553362975126563E-2</v>
      </c>
      <c r="W215" s="1"/>
      <c r="X215" s="1">
        <f t="shared" ref="X215:X217" si="66">+P215-T215</f>
        <v>-129122.67</v>
      </c>
      <c r="Y215" s="1"/>
      <c r="Z215" s="5">
        <f t="shared" ref="Z215:Z217" si="67">IF(T215=0,0,X215/T215)</f>
        <v>-1</v>
      </c>
    </row>
    <row r="216" spans="1:26" s="24" customFormat="1" hidden="1" outlineLevel="2" x14ac:dyDescent="0.25">
      <c r="A216" s="29"/>
      <c r="B216" s="11" t="str">
        <f>CONCATENATE("          ", "6382", " - ", "DISCOUNTS/MARK DOWNS")</f>
        <v xml:space="preserve">          6382 - DISCOUNTS/MARK DOWNS</v>
      </c>
      <c r="C216" s="11"/>
      <c r="D216" s="7"/>
      <c r="E216" s="2"/>
      <c r="F216" s="6">
        <f t="shared" si="60"/>
        <v>0</v>
      </c>
      <c r="G216" s="2"/>
      <c r="H216" s="7">
        <v>92520.75</v>
      </c>
      <c r="I216" s="2"/>
      <c r="J216" s="6">
        <f t="shared" si="61"/>
        <v>2.1933207122009288E-2</v>
      </c>
      <c r="K216" s="2"/>
      <c r="L216" s="7">
        <f t="shared" si="62"/>
        <v>-92520.75</v>
      </c>
      <c r="M216" s="2"/>
      <c r="N216" s="6">
        <f t="shared" si="63"/>
        <v>-1</v>
      </c>
      <c r="O216" s="11"/>
      <c r="P216" s="7"/>
      <c r="Q216" s="2"/>
      <c r="R216" s="6">
        <f t="shared" si="64"/>
        <v>0</v>
      </c>
      <c r="S216" s="2"/>
      <c r="T216" s="7">
        <v>130372.23</v>
      </c>
      <c r="U216" s="2"/>
      <c r="V216" s="6">
        <f t="shared" si="65"/>
        <v>2.2771618841731546E-2</v>
      </c>
      <c r="W216" s="2"/>
      <c r="X216" s="7">
        <f t="shared" si="66"/>
        <v>-130372.23</v>
      </c>
      <c r="Y216" s="2"/>
      <c r="Z216" s="6">
        <f t="shared" si="67"/>
        <v>-1</v>
      </c>
    </row>
    <row r="217" spans="1:26" s="24" customFormat="1" hidden="1" outlineLevel="2" x14ac:dyDescent="0.25">
      <c r="A217" s="29"/>
      <c r="B217" s="11" t="str">
        <f>CONCATENATE("          ", "9175", " - ", "EARNED DISCOUNTS")</f>
        <v xml:space="preserve">          9175 - EARNED DISCOUNTS</v>
      </c>
      <c r="C217" s="11"/>
      <c r="D217" s="7"/>
      <c r="E217" s="2"/>
      <c r="F217" s="6">
        <f t="shared" si="60"/>
        <v>0</v>
      </c>
      <c r="G217" s="2"/>
      <c r="H217" s="7">
        <v>-805.85</v>
      </c>
      <c r="I217" s="2"/>
      <c r="J217" s="6">
        <f t="shared" si="61"/>
        <v>-1.9103687507149677E-4</v>
      </c>
      <c r="K217" s="2"/>
      <c r="L217" s="7">
        <f t="shared" si="62"/>
        <v>805.85</v>
      </c>
      <c r="M217" s="2"/>
      <c r="N217" s="6">
        <f t="shared" si="63"/>
        <v>-1</v>
      </c>
      <c r="O217" s="11"/>
      <c r="P217" s="7"/>
      <c r="Q217" s="2"/>
      <c r="R217" s="6">
        <f t="shared" si="64"/>
        <v>0</v>
      </c>
      <c r="S217" s="2"/>
      <c r="T217" s="7">
        <v>-1249.56</v>
      </c>
      <c r="U217" s="2"/>
      <c r="V217" s="6">
        <f t="shared" si="65"/>
        <v>-2.1825586660498229E-4</v>
      </c>
      <c r="W217" s="2"/>
      <c r="X217" s="7">
        <f t="shared" si="66"/>
        <v>1249.56</v>
      </c>
      <c r="Y217" s="2"/>
      <c r="Z217" s="6">
        <f t="shared" si="67"/>
        <v>-1</v>
      </c>
    </row>
    <row r="218" spans="1:26" s="28" customFormat="1" outlineLevel="1" collapsed="1" x14ac:dyDescent="0.25">
      <c r="A218" s="27"/>
      <c r="B218" s="14" t="str">
        <f>CONCATENATE("     ","Donations                                         ")</f>
        <v xml:space="preserve">     Donations                                         </v>
      </c>
      <c r="C218" s="14"/>
      <c r="D218" s="1">
        <f>SUM(OSRRefD22_7x_0)</f>
        <v>2222.02</v>
      </c>
      <c r="E218" s="1"/>
      <c r="F218" s="5">
        <f t="shared" ref="F218:F226" si="68">IF(D$12=0,0,D218/D$12)</f>
        <v>1.00498769274293E-3</v>
      </c>
      <c r="G218" s="1"/>
      <c r="H218" s="1">
        <f>SUM(OSRRefH22_7x_0)</f>
        <v>10472.31</v>
      </c>
      <c r="I218" s="1"/>
      <c r="J218" s="5">
        <f t="shared" ref="J218:J226" si="69">IF(H$12=0,0,H218/H$12)</f>
        <v>2.4825927619035629E-3</v>
      </c>
      <c r="K218" s="1"/>
      <c r="L218" s="1">
        <f t="shared" ref="L218:L226" si="70">+D218-H218</f>
        <v>-8250.2899999999991</v>
      </c>
      <c r="M218" s="1"/>
      <c r="N218" s="5">
        <f t="shared" ref="N218:N226" si="71">IF(H218=0,0,L218/H218)</f>
        <v>-0.78781949732198531</v>
      </c>
      <c r="O218" s="14"/>
      <c r="P218" s="1">
        <f>SUM(OSRRefP22_7x_0)</f>
        <v>2222.02</v>
      </c>
      <c r="Q218" s="1"/>
      <c r="R218" s="5">
        <f t="shared" ref="R218:R226" si="72">IF(P$12=0,0,P218/P$12)</f>
        <v>8.266749764983852E-4</v>
      </c>
      <c r="S218" s="1"/>
      <c r="T218" s="1">
        <f>SUM(OSRRefT22_7x_0)</f>
        <v>11397.73</v>
      </c>
      <c r="U218" s="1"/>
      <c r="V218" s="5">
        <f t="shared" ref="V218:V226" si="73">IF(T$12=0,0,T218/T$12)</f>
        <v>1.9907979116485842E-3</v>
      </c>
      <c r="W218" s="1"/>
      <c r="X218" s="1">
        <f t="shared" ref="X218:X226" si="74">+P218-T218</f>
        <v>-9175.7099999999991</v>
      </c>
      <c r="Y218" s="1"/>
      <c r="Z218" s="5">
        <f t="shared" ref="Z218:Z226" si="75">IF(T218=0,0,X218/T218)</f>
        <v>-0.80504714535262722</v>
      </c>
    </row>
    <row r="219" spans="1:26" s="24" customFormat="1" hidden="1" outlineLevel="2" x14ac:dyDescent="0.25">
      <c r="A219" s="29"/>
      <c r="B219" s="11" t="str">
        <f>CONCATENATE("          ", "6399", " - ", "DONATION-ON CAMPUS")</f>
        <v xml:space="preserve">          6399 - DONATION-ON CAMPUS</v>
      </c>
      <c r="C219" s="11"/>
      <c r="D219" s="7">
        <v>2222.02</v>
      </c>
      <c r="E219" s="2"/>
      <c r="F219" s="6">
        <f t="shared" si="68"/>
        <v>1.00498769274293E-3</v>
      </c>
      <c r="G219" s="2"/>
      <c r="H219" s="7">
        <v>10472.31</v>
      </c>
      <c r="I219" s="2"/>
      <c r="J219" s="6">
        <f t="shared" si="69"/>
        <v>2.4825927619035629E-3</v>
      </c>
      <c r="K219" s="2"/>
      <c r="L219" s="7">
        <f t="shared" si="70"/>
        <v>-8250.2899999999991</v>
      </c>
      <c r="M219" s="2"/>
      <c r="N219" s="6">
        <f t="shared" si="71"/>
        <v>-0.78781949732198531</v>
      </c>
      <c r="O219" s="11"/>
      <c r="P219" s="7">
        <v>2222.02</v>
      </c>
      <c r="Q219" s="2"/>
      <c r="R219" s="6">
        <f t="shared" si="72"/>
        <v>8.266749764983852E-4</v>
      </c>
      <c r="S219" s="2"/>
      <c r="T219" s="7">
        <v>11397.73</v>
      </c>
      <c r="U219" s="2"/>
      <c r="V219" s="6">
        <f t="shared" si="73"/>
        <v>1.9907979116485842E-3</v>
      </c>
      <c r="W219" s="2"/>
      <c r="X219" s="7">
        <f t="shared" si="74"/>
        <v>-9175.7099999999991</v>
      </c>
      <c r="Y219" s="2"/>
      <c r="Z219" s="6">
        <f t="shared" si="75"/>
        <v>-0.80504714535262722</v>
      </c>
    </row>
    <row r="220" spans="1:26" s="28" customFormat="1" outlineLevel="1" collapsed="1" x14ac:dyDescent="0.25">
      <c r="A220" s="27"/>
      <c r="B220" s="14" t="str">
        <f>CONCATENATE("     ","Employees' Appreciation                           ")</f>
        <v xml:space="preserve">     Employees' Appreciation                           </v>
      </c>
      <c r="C220" s="14"/>
      <c r="D220" s="1">
        <f>SUM(OSRRefD22_8x_0)</f>
        <v>0</v>
      </c>
      <c r="E220" s="1"/>
      <c r="F220" s="5">
        <f t="shared" si="68"/>
        <v>0</v>
      </c>
      <c r="G220" s="1"/>
      <c r="H220" s="1">
        <f>SUM(OSRRefH22_8x_0)</f>
        <v>460.35</v>
      </c>
      <c r="I220" s="1"/>
      <c r="J220" s="5">
        <f t="shared" si="69"/>
        <v>1.0913175583441526E-4</v>
      </c>
      <c r="K220" s="1"/>
      <c r="L220" s="1">
        <f t="shared" si="70"/>
        <v>-460.35</v>
      </c>
      <c r="M220" s="1"/>
      <c r="N220" s="5">
        <f t="shared" si="71"/>
        <v>-1</v>
      </c>
      <c r="O220" s="14"/>
      <c r="P220" s="1">
        <f>SUM(OSRRefP22_8x_0)</f>
        <v>107.7</v>
      </c>
      <c r="Q220" s="1"/>
      <c r="R220" s="5">
        <f t="shared" si="72"/>
        <v>4.0068448964850042E-5</v>
      </c>
      <c r="S220" s="1"/>
      <c r="T220" s="1">
        <f>SUM(OSRRefT22_8x_0)</f>
        <v>963.65</v>
      </c>
      <c r="U220" s="1"/>
      <c r="V220" s="5">
        <f t="shared" si="73"/>
        <v>1.6831706028833446E-4</v>
      </c>
      <c r="W220" s="1"/>
      <c r="X220" s="1">
        <f t="shared" si="74"/>
        <v>-855.94999999999993</v>
      </c>
      <c r="Y220" s="1"/>
      <c r="Z220" s="5">
        <f t="shared" si="75"/>
        <v>-0.88823743060239713</v>
      </c>
    </row>
    <row r="221" spans="1:26" s="24" customFormat="1" hidden="1" outlineLevel="2" x14ac:dyDescent="0.25">
      <c r="A221" s="29"/>
      <c r="B221" s="11" t="str">
        <f>CONCATENATE("          ", "6277", " - ", "EMPLOYEE APPRECIATION")</f>
        <v xml:space="preserve">          6277 - EMPLOYEE APPRECIATION</v>
      </c>
      <c r="C221" s="11"/>
      <c r="D221" s="7"/>
      <c r="E221" s="2"/>
      <c r="F221" s="6">
        <f t="shared" si="68"/>
        <v>0</v>
      </c>
      <c r="G221" s="2"/>
      <c r="H221" s="7">
        <v>460.35</v>
      </c>
      <c r="I221" s="2"/>
      <c r="J221" s="6">
        <f t="shared" si="69"/>
        <v>1.0913175583441526E-4</v>
      </c>
      <c r="K221" s="2"/>
      <c r="L221" s="7">
        <f t="shared" si="70"/>
        <v>-460.35</v>
      </c>
      <c r="M221" s="2"/>
      <c r="N221" s="6">
        <f t="shared" si="71"/>
        <v>-1</v>
      </c>
      <c r="O221" s="11"/>
      <c r="P221" s="7">
        <v>107.7</v>
      </c>
      <c r="Q221" s="2"/>
      <c r="R221" s="6">
        <f t="shared" si="72"/>
        <v>4.0068448964850042E-5</v>
      </c>
      <c r="S221" s="2"/>
      <c r="T221" s="7">
        <v>963.65</v>
      </c>
      <c r="U221" s="2"/>
      <c r="V221" s="6">
        <f t="shared" si="73"/>
        <v>1.6831706028833446E-4</v>
      </c>
      <c r="W221" s="2"/>
      <c r="X221" s="7">
        <f t="shared" si="74"/>
        <v>-855.94999999999993</v>
      </c>
      <c r="Y221" s="2"/>
      <c r="Z221" s="6">
        <f t="shared" si="75"/>
        <v>-0.88823743060239713</v>
      </c>
    </row>
    <row r="222" spans="1:26" s="28" customFormat="1" outlineLevel="1" collapsed="1" x14ac:dyDescent="0.25">
      <c r="A222" s="27"/>
      <c r="B222" s="14" t="str">
        <f>CONCATENATE("     ","Equipment Rental                                  ")</f>
        <v xml:space="preserve">     Equipment Rental                                  </v>
      </c>
      <c r="C222" s="14"/>
      <c r="D222" s="1">
        <f>SUM(OSRRefD22_9x_0)</f>
        <v>2227.17</v>
      </c>
      <c r="E222" s="1"/>
      <c r="F222" s="5">
        <f t="shared" si="68"/>
        <v>1.0073169636845175E-3</v>
      </c>
      <c r="G222" s="1"/>
      <c r="H222" s="1">
        <f>SUM(OSRRefH22_9x_0)</f>
        <v>6519.98</v>
      </c>
      <c r="I222" s="1"/>
      <c r="J222" s="5">
        <f t="shared" si="69"/>
        <v>1.5456432397203666E-3</v>
      </c>
      <c r="K222" s="1"/>
      <c r="L222" s="1">
        <f t="shared" si="70"/>
        <v>-4292.8099999999995</v>
      </c>
      <c r="M222" s="1"/>
      <c r="N222" s="5">
        <f t="shared" si="71"/>
        <v>-0.65840846137564835</v>
      </c>
      <c r="O222" s="14"/>
      <c r="P222" s="1">
        <f>SUM(OSRRefP22_9x_0)</f>
        <v>4865.83</v>
      </c>
      <c r="Q222" s="1"/>
      <c r="R222" s="5">
        <f t="shared" si="72"/>
        <v>1.8102716901266134E-3</v>
      </c>
      <c r="S222" s="1"/>
      <c r="T222" s="1">
        <f>SUM(OSRRefT22_9x_0)</f>
        <v>9752.99</v>
      </c>
      <c r="U222" s="1"/>
      <c r="V222" s="5">
        <f t="shared" si="73"/>
        <v>1.7035174656997074E-3</v>
      </c>
      <c r="W222" s="1"/>
      <c r="X222" s="1">
        <f t="shared" si="74"/>
        <v>-4887.16</v>
      </c>
      <c r="Y222" s="1"/>
      <c r="Z222" s="5">
        <f t="shared" si="75"/>
        <v>-0.50109351081053088</v>
      </c>
    </row>
    <row r="223" spans="1:26" s="24" customFormat="1" hidden="1" outlineLevel="2" x14ac:dyDescent="0.25">
      <c r="A223" s="29"/>
      <c r="B223" s="11" t="str">
        <f>CONCATENATE("          ", "6351", " - ", "EQUIPMENT RENTAL")</f>
        <v xml:space="preserve">          6351 - EQUIPMENT RENTAL</v>
      </c>
      <c r="C223" s="11"/>
      <c r="D223" s="7">
        <v>2227.17</v>
      </c>
      <c r="E223" s="2"/>
      <c r="F223" s="6">
        <f t="shared" si="68"/>
        <v>1.0073169636845175E-3</v>
      </c>
      <c r="G223" s="2"/>
      <c r="H223" s="7">
        <v>6519.98</v>
      </c>
      <c r="I223" s="2"/>
      <c r="J223" s="6">
        <f t="shared" si="69"/>
        <v>1.5456432397203666E-3</v>
      </c>
      <c r="K223" s="2"/>
      <c r="L223" s="7">
        <f t="shared" si="70"/>
        <v>-4292.8099999999995</v>
      </c>
      <c r="M223" s="2"/>
      <c r="N223" s="6">
        <f t="shared" si="71"/>
        <v>-0.65840846137564835</v>
      </c>
      <c r="O223" s="11"/>
      <c r="P223" s="7">
        <v>4865.83</v>
      </c>
      <c r="Q223" s="2"/>
      <c r="R223" s="6">
        <f t="shared" si="72"/>
        <v>1.8102716901266134E-3</v>
      </c>
      <c r="S223" s="2"/>
      <c r="T223" s="7">
        <v>9752.99</v>
      </c>
      <c r="U223" s="2"/>
      <c r="V223" s="6">
        <f t="shared" si="73"/>
        <v>1.7035174656997074E-3</v>
      </c>
      <c r="W223" s="2"/>
      <c r="X223" s="7">
        <f t="shared" si="74"/>
        <v>-4887.16</v>
      </c>
      <c r="Y223" s="2"/>
      <c r="Z223" s="6">
        <f t="shared" si="75"/>
        <v>-0.50109351081053088</v>
      </c>
    </row>
    <row r="224" spans="1:26" s="28" customFormat="1" outlineLevel="1" collapsed="1" x14ac:dyDescent="0.25">
      <c r="A224" s="27"/>
      <c r="B224" s="14" t="str">
        <f>CONCATENATE("     ","Freight out/Postage                               ")</f>
        <v xml:space="preserve">     Freight out/Postage                               </v>
      </c>
      <c r="C224" s="14"/>
      <c r="D224" s="1">
        <f>SUM(OSRRefD22_10x_0)</f>
        <v>-83557.150000000009</v>
      </c>
      <c r="E224" s="1"/>
      <c r="F224" s="5">
        <f t="shared" si="68"/>
        <v>-3.7791697370264409E-2</v>
      </c>
      <c r="G224" s="1"/>
      <c r="H224" s="1">
        <f>SUM(OSRRefH22_10x_0)</f>
        <v>-12859.049999999997</v>
      </c>
      <c r="I224" s="1"/>
      <c r="J224" s="5">
        <f t="shared" si="69"/>
        <v>-3.0483994892202397E-3</v>
      </c>
      <c r="K224" s="1"/>
      <c r="L224" s="1">
        <f t="shared" si="70"/>
        <v>-70698.100000000006</v>
      </c>
      <c r="M224" s="1"/>
      <c r="N224" s="5">
        <f t="shared" si="71"/>
        <v>5.4979255854825997</v>
      </c>
      <c r="O224" s="14"/>
      <c r="P224" s="1">
        <f>SUM(OSRRefP22_10x_0)</f>
        <v>-74617.889999999985</v>
      </c>
      <c r="Q224" s="1"/>
      <c r="R224" s="5">
        <f t="shared" si="72"/>
        <v>-2.7760660328038936E-2</v>
      </c>
      <c r="S224" s="1"/>
      <c r="T224" s="1">
        <f>SUM(OSRRefT22_10x_0)</f>
        <v>-15019.189999999999</v>
      </c>
      <c r="U224" s="1"/>
      <c r="V224" s="5">
        <f t="shared" si="73"/>
        <v>-2.6233444805810716E-3</v>
      </c>
      <c r="W224" s="1"/>
      <c r="X224" s="1">
        <f t="shared" si="74"/>
        <v>-59598.699999999983</v>
      </c>
      <c r="Y224" s="1"/>
      <c r="Z224" s="5">
        <f t="shared" si="75"/>
        <v>3.9681700544436809</v>
      </c>
    </row>
    <row r="225" spans="1:26" s="24" customFormat="1" hidden="1" outlineLevel="2" x14ac:dyDescent="0.25">
      <c r="A225" s="29"/>
      <c r="B225" s="11" t="str">
        <f>CONCATENATE("          ", "6305", " - ", "FREIGHT OUT")</f>
        <v xml:space="preserve">          6305 - FREIGHT OUT</v>
      </c>
      <c r="C225" s="11"/>
      <c r="D225" s="7">
        <v>8420.09</v>
      </c>
      <c r="E225" s="2"/>
      <c r="F225" s="6">
        <f t="shared" si="68"/>
        <v>3.8082856237962835E-3</v>
      </c>
      <c r="G225" s="2"/>
      <c r="H225" s="7">
        <v>2905</v>
      </c>
      <c r="I225" s="2"/>
      <c r="J225" s="6">
        <f t="shared" si="69"/>
        <v>6.8866677679803702E-4</v>
      </c>
      <c r="K225" s="2"/>
      <c r="L225" s="7">
        <f t="shared" si="70"/>
        <v>5515.09</v>
      </c>
      <c r="M225" s="2"/>
      <c r="N225" s="6">
        <f t="shared" si="71"/>
        <v>1.8984819277108433</v>
      </c>
      <c r="O225" s="11"/>
      <c r="P225" s="7">
        <v>20514.79</v>
      </c>
      <c r="Q225" s="2"/>
      <c r="R225" s="6">
        <f t="shared" si="72"/>
        <v>7.6322731303585514E-3</v>
      </c>
      <c r="S225" s="2"/>
      <c r="T225" s="7">
        <v>4394.41</v>
      </c>
      <c r="U225" s="2"/>
      <c r="V225" s="6">
        <f t="shared" si="73"/>
        <v>7.675547894999842E-4</v>
      </c>
      <c r="W225" s="2"/>
      <c r="X225" s="7">
        <f t="shared" si="74"/>
        <v>16120.380000000001</v>
      </c>
      <c r="Y225" s="2"/>
      <c r="Z225" s="6">
        <f t="shared" si="75"/>
        <v>3.6683832414362798</v>
      </c>
    </row>
    <row r="226" spans="1:26" s="24" customFormat="1" hidden="1" outlineLevel="2" x14ac:dyDescent="0.25">
      <c r="A226" s="29"/>
      <c r="B226" s="11" t="str">
        <f>CONCATENATE("          ", "6307", " - ", "POSTAGE")</f>
        <v xml:space="preserve">          6307 - POSTAGE</v>
      </c>
      <c r="C226" s="11"/>
      <c r="D226" s="7">
        <v>-91977.24</v>
      </c>
      <c r="E226" s="2"/>
      <c r="F226" s="6">
        <f t="shared" si="68"/>
        <v>-4.1599982994060689E-2</v>
      </c>
      <c r="G226" s="2"/>
      <c r="H226" s="7">
        <v>-15764.049999999997</v>
      </c>
      <c r="I226" s="2"/>
      <c r="J226" s="6">
        <f t="shared" si="69"/>
        <v>-3.7370662660182767E-3</v>
      </c>
      <c r="K226" s="2"/>
      <c r="L226" s="7">
        <f t="shared" si="70"/>
        <v>-76213.19</v>
      </c>
      <c r="M226" s="2"/>
      <c r="N226" s="6">
        <f t="shared" si="71"/>
        <v>4.8346199104925454</v>
      </c>
      <c r="O226" s="11"/>
      <c r="P226" s="7">
        <v>-95132.68</v>
      </c>
      <c r="Q226" s="2"/>
      <c r="R226" s="6">
        <f t="shared" si="72"/>
        <v>-3.5392933458397488E-2</v>
      </c>
      <c r="S226" s="2"/>
      <c r="T226" s="7">
        <v>-19413.599999999999</v>
      </c>
      <c r="U226" s="2"/>
      <c r="V226" s="6">
        <f t="shared" si="73"/>
        <v>-3.3908992700810558E-3</v>
      </c>
      <c r="W226" s="2"/>
      <c r="X226" s="7">
        <f t="shared" si="74"/>
        <v>-75719.079999999987</v>
      </c>
      <c r="Y226" s="2"/>
      <c r="Z226" s="6">
        <f t="shared" si="75"/>
        <v>3.9003111220999709</v>
      </c>
    </row>
    <row r="227" spans="1:26" s="28" customFormat="1" outlineLevel="1" collapsed="1" x14ac:dyDescent="0.25">
      <c r="A227" s="27"/>
      <c r="B227" s="14" t="str">
        <f>CONCATENATE("     ","General                                           ")</f>
        <v xml:space="preserve">     General                                           </v>
      </c>
      <c r="C227" s="14"/>
      <c r="D227" s="1">
        <f>SUM(OSRRefD22_11x_0)</f>
        <v>-913.36</v>
      </c>
      <c r="E227" s="1"/>
      <c r="F227" s="5">
        <f t="shared" ref="F227:F229" si="76">IF(D$12=0,0,D227/D$12)</f>
        <v>-4.1309959363267773E-4</v>
      </c>
      <c r="G227" s="1"/>
      <c r="H227" s="1">
        <f>SUM(OSRRefH22_11x_0)</f>
        <v>-10049.09</v>
      </c>
      <c r="I227" s="1"/>
      <c r="J227" s="5">
        <f t="shared" ref="J227:J229" si="77">IF(H$12=0,0,H227/H$12)</f>
        <v>-2.3822631394331793E-3</v>
      </c>
      <c r="K227" s="1"/>
      <c r="L227" s="1">
        <f t="shared" ref="L227:L229" si="78">+D227-H227</f>
        <v>9135.73</v>
      </c>
      <c r="M227" s="1"/>
      <c r="N227" s="5">
        <f t="shared" ref="N227:N229" si="79">IF(H227=0,0,L227/H227)</f>
        <v>-0.90911017813553263</v>
      </c>
      <c r="O227" s="14"/>
      <c r="P227" s="1">
        <f>SUM(OSRRefP22_11x_0)</f>
        <v>7867.35</v>
      </c>
      <c r="Q227" s="1"/>
      <c r="R227" s="5">
        <f t="shared" ref="R227:R229" si="80">IF(P$12=0,0,P227/P$12)</f>
        <v>2.9269499718069911E-3</v>
      </c>
      <c r="S227" s="1"/>
      <c r="T227" s="1">
        <f>SUM(OSRRefT22_11x_0)</f>
        <v>18394.8</v>
      </c>
      <c r="U227" s="1"/>
      <c r="V227" s="5">
        <f t="shared" ref="V227:V229" si="81">IF(T$12=0,0,T227/T$12)</f>
        <v>3.2129493701985724E-3</v>
      </c>
      <c r="W227" s="1"/>
      <c r="X227" s="1">
        <f t="shared" ref="X227:X229" si="82">+P227-T227</f>
        <v>-10527.449999999999</v>
      </c>
      <c r="Y227" s="1"/>
      <c r="Z227" s="5">
        <f t="shared" ref="Z227:Z229" si="83">IF(T227=0,0,X227/T227)</f>
        <v>-0.57230576032356972</v>
      </c>
    </row>
    <row r="228" spans="1:26" s="24" customFormat="1" hidden="1" outlineLevel="2" x14ac:dyDescent="0.25">
      <c r="A228" s="29"/>
      <c r="B228" s="11" t="str">
        <f>CONCATENATE("          ", "6269", " - ", "ENTERTAINMENT")</f>
        <v xml:space="preserve">          6269 - ENTERTAINMENT</v>
      </c>
      <c r="C228" s="11"/>
      <c r="D228" s="7"/>
      <c r="E228" s="2"/>
      <c r="F228" s="6">
        <f t="shared" si="76"/>
        <v>0</v>
      </c>
      <c r="G228" s="2"/>
      <c r="H228" s="7">
        <v>2600</v>
      </c>
      <c r="I228" s="2"/>
      <c r="J228" s="6">
        <f t="shared" si="77"/>
        <v>6.1636269179858735E-4</v>
      </c>
      <c r="K228" s="2"/>
      <c r="L228" s="7">
        <f t="shared" si="78"/>
        <v>-2600</v>
      </c>
      <c r="M228" s="2"/>
      <c r="N228" s="6">
        <f t="shared" si="79"/>
        <v>-1</v>
      </c>
      <c r="O228" s="11"/>
      <c r="P228" s="7"/>
      <c r="Q228" s="2"/>
      <c r="R228" s="6">
        <f t="shared" si="80"/>
        <v>0</v>
      </c>
      <c r="S228" s="2"/>
      <c r="T228" s="7">
        <v>2600</v>
      </c>
      <c r="U228" s="2"/>
      <c r="V228" s="6">
        <f t="shared" si="81"/>
        <v>4.5413205702243511E-4</v>
      </c>
      <c r="W228" s="2"/>
      <c r="X228" s="7">
        <f t="shared" si="82"/>
        <v>-2600</v>
      </c>
      <c r="Y228" s="2"/>
      <c r="Z228" s="6">
        <f t="shared" si="83"/>
        <v>-1</v>
      </c>
    </row>
    <row r="229" spans="1:26" s="24" customFormat="1" hidden="1" outlineLevel="2" x14ac:dyDescent="0.25">
      <c r="A229" s="29"/>
      <c r="B229" s="11" t="str">
        <f>CONCATENATE("          ", "6279", " - ", "GENERAL EXPENSE")</f>
        <v xml:space="preserve">          6279 - GENERAL EXPENSE</v>
      </c>
      <c r="C229" s="11"/>
      <c r="D229" s="7">
        <v>-913.36</v>
      </c>
      <c r="E229" s="2"/>
      <c r="F229" s="6">
        <f t="shared" si="76"/>
        <v>-4.1309959363267773E-4</v>
      </c>
      <c r="G229" s="2"/>
      <c r="H229" s="7">
        <v>-12649.09</v>
      </c>
      <c r="I229" s="2"/>
      <c r="J229" s="6">
        <f t="shared" si="77"/>
        <v>-2.9986258312317666E-3</v>
      </c>
      <c r="K229" s="2"/>
      <c r="L229" s="7">
        <f t="shared" si="78"/>
        <v>11735.73</v>
      </c>
      <c r="M229" s="2"/>
      <c r="N229" s="6">
        <f t="shared" si="79"/>
        <v>-0.92779243408023815</v>
      </c>
      <c r="O229" s="11"/>
      <c r="P229" s="7">
        <v>7867.35</v>
      </c>
      <c r="Q229" s="2"/>
      <c r="R229" s="6">
        <f t="shared" si="80"/>
        <v>2.9269499718069911E-3</v>
      </c>
      <c r="S229" s="2"/>
      <c r="T229" s="7">
        <v>15794.8</v>
      </c>
      <c r="U229" s="2"/>
      <c r="V229" s="6">
        <f t="shared" si="81"/>
        <v>2.7588173131761376E-3</v>
      </c>
      <c r="W229" s="2"/>
      <c r="X229" s="7">
        <f t="shared" si="82"/>
        <v>-7927.4499999999989</v>
      </c>
      <c r="Y229" s="2"/>
      <c r="Z229" s="6">
        <f t="shared" si="83"/>
        <v>-0.50190252488160658</v>
      </c>
    </row>
    <row r="230" spans="1:26" s="28" customFormat="1" outlineLevel="1" collapsed="1" x14ac:dyDescent="0.25">
      <c r="A230" s="27"/>
      <c r="B230" s="14" t="str">
        <f>CONCATENATE("     ","Insurance                                         ")</f>
        <v xml:space="preserve">     Insurance                                         </v>
      </c>
      <c r="C230" s="14"/>
      <c r="D230" s="1">
        <f>SUM(OSRRefD22_12x_0)</f>
        <v>8563.32</v>
      </c>
      <c r="E230" s="1"/>
      <c r="F230" s="5">
        <f t="shared" ref="F230:F246" si="84">IF(D$12=0,0,D230/D$12)</f>
        <v>3.8730664931095971E-3</v>
      </c>
      <c r="G230" s="1"/>
      <c r="H230" s="1">
        <f>SUM(OSRRefH22_12x_0)</f>
        <v>8563.32</v>
      </c>
      <c r="I230" s="1"/>
      <c r="J230" s="5">
        <f t="shared" ref="J230:J246" si="85">IF(H$12=0,0,H230/H$12)</f>
        <v>2.0300426792048765E-3</v>
      </c>
      <c r="K230" s="1"/>
      <c r="L230" s="1">
        <f t="shared" ref="L230:L246" si="86">+D230-H230</f>
        <v>0</v>
      </c>
      <c r="M230" s="1"/>
      <c r="N230" s="5">
        <f t="shared" ref="N230:N246" si="87">IF(H230=0,0,L230/H230)</f>
        <v>0</v>
      </c>
      <c r="O230" s="14"/>
      <c r="P230" s="1">
        <f>SUM(OSRRefP22_12x_0)</f>
        <v>17126.64</v>
      </c>
      <c r="Q230" s="1"/>
      <c r="R230" s="5">
        <f t="shared" ref="R230:R246" si="88">IF(P$12=0,0,P230/P$12)</f>
        <v>6.3717539533830938E-3</v>
      </c>
      <c r="S230" s="1"/>
      <c r="T230" s="1">
        <f>SUM(OSRRefT22_12x_0)</f>
        <v>17126.64</v>
      </c>
      <c r="U230" s="1"/>
      <c r="V230" s="5">
        <f t="shared" ref="V230:V246" si="89">IF(T$12=0,0,T230/T$12)</f>
        <v>2.9914447127241221E-3</v>
      </c>
      <c r="W230" s="1"/>
      <c r="X230" s="1">
        <f t="shared" ref="X230:X246" si="90">+P230-T230</f>
        <v>0</v>
      </c>
      <c r="Y230" s="1"/>
      <c r="Z230" s="5">
        <f t="shared" ref="Z230:Z246" si="91">IF(T230=0,0,X230/T230)</f>
        <v>0</v>
      </c>
    </row>
    <row r="231" spans="1:26" s="24" customFormat="1" hidden="1" outlineLevel="2" x14ac:dyDescent="0.25">
      <c r="A231" s="29"/>
      <c r="B231" s="11" t="str">
        <f>CONCATENATE("          ", "6314", " - ", "LIABILITY INSURANCE")</f>
        <v xml:space="preserve">          6314 - LIABILITY INSURANCE</v>
      </c>
      <c r="C231" s="11"/>
      <c r="D231" s="7">
        <v>8563.32</v>
      </c>
      <c r="E231" s="2"/>
      <c r="F231" s="6">
        <f t="shared" si="84"/>
        <v>3.8730664931095971E-3</v>
      </c>
      <c r="G231" s="2"/>
      <c r="H231" s="7">
        <v>8563.32</v>
      </c>
      <c r="I231" s="2"/>
      <c r="J231" s="6">
        <f t="shared" si="85"/>
        <v>2.0300426792048765E-3</v>
      </c>
      <c r="K231" s="2"/>
      <c r="L231" s="7">
        <f t="shared" si="86"/>
        <v>0</v>
      </c>
      <c r="M231" s="2"/>
      <c r="N231" s="6">
        <f t="shared" si="87"/>
        <v>0</v>
      </c>
      <c r="O231" s="11"/>
      <c r="P231" s="7">
        <v>17126.64</v>
      </c>
      <c r="Q231" s="2"/>
      <c r="R231" s="6">
        <f t="shared" si="88"/>
        <v>6.3717539533830938E-3</v>
      </c>
      <c r="S231" s="2"/>
      <c r="T231" s="7">
        <v>17126.64</v>
      </c>
      <c r="U231" s="2"/>
      <c r="V231" s="6">
        <f t="shared" si="89"/>
        <v>2.9914447127241221E-3</v>
      </c>
      <c r="W231" s="2"/>
      <c r="X231" s="7">
        <f t="shared" si="90"/>
        <v>0</v>
      </c>
      <c r="Y231" s="2"/>
      <c r="Z231" s="6">
        <f t="shared" si="91"/>
        <v>0</v>
      </c>
    </row>
    <row r="232" spans="1:26" s="28" customFormat="1" outlineLevel="1" collapsed="1" x14ac:dyDescent="0.25">
      <c r="A232" s="27"/>
      <c r="B232" s="14" t="str">
        <f>CONCATENATE("     ","Interest                                          ")</f>
        <v xml:space="preserve">     Interest                                          </v>
      </c>
      <c r="C232" s="14"/>
      <c r="D232" s="1">
        <f>SUM(OSRRefD22_13x_0)</f>
        <v>11554</v>
      </c>
      <c r="E232" s="1"/>
      <c r="F232" s="5">
        <f t="shared" si="84"/>
        <v>5.2257080503108943E-3</v>
      </c>
      <c r="G232" s="1"/>
      <c r="H232" s="1">
        <f>SUM(OSRRefH22_13x_0)</f>
        <v>11740</v>
      </c>
      <c r="I232" s="1"/>
      <c r="J232" s="5">
        <f t="shared" si="85"/>
        <v>2.7831146160443906E-3</v>
      </c>
      <c r="K232" s="1"/>
      <c r="L232" s="1">
        <f t="shared" si="86"/>
        <v>-186</v>
      </c>
      <c r="M232" s="1"/>
      <c r="N232" s="5">
        <f t="shared" si="87"/>
        <v>-1.5843270868824533E-2</v>
      </c>
      <c r="O232" s="14"/>
      <c r="P232" s="1">
        <f>SUM(OSRRefP22_13x_0)</f>
        <v>23108</v>
      </c>
      <c r="Q232" s="1"/>
      <c r="R232" s="5">
        <f t="shared" si="88"/>
        <v>8.5970447416876018E-3</v>
      </c>
      <c r="S232" s="1"/>
      <c r="T232" s="1">
        <f>SUM(OSRRefT22_13x_0)</f>
        <v>23480</v>
      </c>
      <c r="U232" s="1"/>
      <c r="V232" s="5">
        <f t="shared" si="89"/>
        <v>4.1011618072641443E-3</v>
      </c>
      <c r="W232" s="1"/>
      <c r="X232" s="1">
        <f t="shared" si="90"/>
        <v>-372</v>
      </c>
      <c r="Y232" s="1"/>
      <c r="Z232" s="5">
        <f t="shared" si="91"/>
        <v>-1.5843270868824533E-2</v>
      </c>
    </row>
    <row r="233" spans="1:26" s="24" customFormat="1" hidden="1" outlineLevel="2" x14ac:dyDescent="0.25">
      <c r="A233" s="29"/>
      <c r="B233" s="11" t="str">
        <f>CONCATENATE("          ", "6401", " - ", "INTEREST EXPENSE")</f>
        <v xml:space="preserve">          6401 - INTEREST EXPENSE</v>
      </c>
      <c r="C233" s="11"/>
      <c r="D233" s="7">
        <v>11554</v>
      </c>
      <c r="E233" s="2"/>
      <c r="F233" s="6">
        <f t="shared" si="84"/>
        <v>5.2257080503108943E-3</v>
      </c>
      <c r="G233" s="2"/>
      <c r="H233" s="7">
        <v>11740</v>
      </c>
      <c r="I233" s="2"/>
      <c r="J233" s="6">
        <f t="shared" si="85"/>
        <v>2.7831146160443906E-3</v>
      </c>
      <c r="K233" s="2"/>
      <c r="L233" s="7">
        <f t="shared" si="86"/>
        <v>-186</v>
      </c>
      <c r="M233" s="2"/>
      <c r="N233" s="6">
        <f t="shared" si="87"/>
        <v>-1.5843270868824533E-2</v>
      </c>
      <c r="O233" s="11"/>
      <c r="P233" s="7">
        <v>23108</v>
      </c>
      <c r="Q233" s="2"/>
      <c r="R233" s="6">
        <f t="shared" si="88"/>
        <v>8.5970447416876018E-3</v>
      </c>
      <c r="S233" s="2"/>
      <c r="T233" s="7">
        <v>23480</v>
      </c>
      <c r="U233" s="2"/>
      <c r="V233" s="6">
        <f t="shared" si="89"/>
        <v>4.1011618072641443E-3</v>
      </c>
      <c r="W233" s="2"/>
      <c r="X233" s="7">
        <f t="shared" si="90"/>
        <v>-372</v>
      </c>
      <c r="Y233" s="2"/>
      <c r="Z233" s="6">
        <f t="shared" si="91"/>
        <v>-1.5843270868824533E-2</v>
      </c>
    </row>
    <row r="234" spans="1:26" s="28" customFormat="1" outlineLevel="1" collapsed="1" x14ac:dyDescent="0.25">
      <c r="A234" s="27"/>
      <c r="B234" s="14" t="str">
        <f>CONCATENATE("     ","Inventory Adjustment                              ")</f>
        <v xml:space="preserve">     Inventory Adjustment                              </v>
      </c>
      <c r="C234" s="14"/>
      <c r="D234" s="1">
        <f>SUM(OSRRefD22_14x_0)</f>
        <v>3350</v>
      </c>
      <c r="E234" s="1"/>
      <c r="F234" s="5">
        <f t="shared" si="84"/>
        <v>1.5151568260811405E-3</v>
      </c>
      <c r="G234" s="1"/>
      <c r="H234" s="1">
        <f>SUM(OSRRefH22_14x_0)</f>
        <v>4250</v>
      </c>
      <c r="I234" s="1"/>
      <c r="J234" s="5">
        <f t="shared" si="85"/>
        <v>1.0075159385169216E-3</v>
      </c>
      <c r="K234" s="1"/>
      <c r="L234" s="1">
        <f t="shared" si="86"/>
        <v>-900</v>
      </c>
      <c r="M234" s="1"/>
      <c r="N234" s="5">
        <f t="shared" si="87"/>
        <v>-0.21176470588235294</v>
      </c>
      <c r="O234" s="14"/>
      <c r="P234" s="1">
        <f>SUM(OSRRefP22_14x_0)</f>
        <v>6700</v>
      </c>
      <c r="Q234" s="1"/>
      <c r="R234" s="5">
        <f t="shared" si="88"/>
        <v>2.4926518854642087E-3</v>
      </c>
      <c r="S234" s="1"/>
      <c r="T234" s="1">
        <f>SUM(OSRRefT22_14x_0)</f>
        <v>8400</v>
      </c>
      <c r="U234" s="1"/>
      <c r="V234" s="5">
        <f t="shared" si="89"/>
        <v>1.4671958765340211E-3</v>
      </c>
      <c r="W234" s="1"/>
      <c r="X234" s="1">
        <f t="shared" si="90"/>
        <v>-1700</v>
      </c>
      <c r="Y234" s="1"/>
      <c r="Z234" s="5">
        <f t="shared" si="91"/>
        <v>-0.20238095238095238</v>
      </c>
    </row>
    <row r="235" spans="1:26" s="24" customFormat="1" hidden="1" outlineLevel="2" x14ac:dyDescent="0.25">
      <c r="A235" s="29"/>
      <c r="B235" s="11" t="str">
        <f>CONCATENATE("          ", "6408", " - ", "INVENTORY ADJUSTMENT")</f>
        <v xml:space="preserve">          6408 - INVENTORY ADJUSTMENT</v>
      </c>
      <c r="C235" s="11"/>
      <c r="D235" s="7">
        <v>3350</v>
      </c>
      <c r="E235" s="2"/>
      <c r="F235" s="6">
        <f t="shared" si="84"/>
        <v>1.5151568260811405E-3</v>
      </c>
      <c r="G235" s="2"/>
      <c r="H235" s="7">
        <v>4250</v>
      </c>
      <c r="I235" s="2"/>
      <c r="J235" s="6">
        <f t="shared" si="85"/>
        <v>1.0075159385169216E-3</v>
      </c>
      <c r="K235" s="2"/>
      <c r="L235" s="7">
        <f t="shared" si="86"/>
        <v>-900</v>
      </c>
      <c r="M235" s="2"/>
      <c r="N235" s="6">
        <f t="shared" si="87"/>
        <v>-0.21176470588235294</v>
      </c>
      <c r="O235" s="11"/>
      <c r="P235" s="7">
        <v>6700</v>
      </c>
      <c r="Q235" s="2"/>
      <c r="R235" s="6">
        <f t="shared" si="88"/>
        <v>2.4926518854642087E-3</v>
      </c>
      <c r="S235" s="2"/>
      <c r="T235" s="7">
        <v>8400</v>
      </c>
      <c r="U235" s="2"/>
      <c r="V235" s="6">
        <f t="shared" si="89"/>
        <v>1.4671958765340211E-3</v>
      </c>
      <c r="W235" s="2"/>
      <c r="X235" s="7">
        <f t="shared" si="90"/>
        <v>-1700</v>
      </c>
      <c r="Y235" s="2"/>
      <c r="Z235" s="6">
        <f t="shared" si="91"/>
        <v>-0.20238095238095238</v>
      </c>
    </row>
    <row r="236" spans="1:26" s="28" customFormat="1" outlineLevel="1" collapsed="1" x14ac:dyDescent="0.25">
      <c r="A236" s="27"/>
      <c r="B236" s="14" t="str">
        <f>CONCATENATE("     ","Professional Services                             ")</f>
        <v xml:space="preserve">     Professional Services                             </v>
      </c>
      <c r="C236" s="14"/>
      <c r="D236" s="1">
        <f>SUM(OSRRefD22_15x_0)</f>
        <v>0</v>
      </c>
      <c r="E236" s="1"/>
      <c r="F236" s="5">
        <f t="shared" si="84"/>
        <v>0</v>
      </c>
      <c r="G236" s="1"/>
      <c r="H236" s="1">
        <f>SUM(OSRRefH22_15x_0)</f>
        <v>125</v>
      </c>
      <c r="I236" s="1"/>
      <c r="J236" s="5">
        <f t="shared" si="85"/>
        <v>2.963282172108593E-5</v>
      </c>
      <c r="K236" s="1"/>
      <c r="L236" s="1">
        <f t="shared" si="86"/>
        <v>-125</v>
      </c>
      <c r="M236" s="1"/>
      <c r="N236" s="5">
        <f t="shared" si="87"/>
        <v>-1</v>
      </c>
      <c r="O236" s="14"/>
      <c r="P236" s="1">
        <f>SUM(OSRRefP22_15x_0)</f>
        <v>0</v>
      </c>
      <c r="Q236" s="1"/>
      <c r="R236" s="5">
        <f t="shared" si="88"/>
        <v>0</v>
      </c>
      <c r="S236" s="1"/>
      <c r="T236" s="1">
        <f>SUM(OSRRefT22_15x_0)</f>
        <v>6283.41</v>
      </c>
      <c r="U236" s="1"/>
      <c r="V236" s="5">
        <f t="shared" si="89"/>
        <v>1.0974991955443611E-3</v>
      </c>
      <c r="W236" s="1"/>
      <c r="X236" s="1">
        <f t="shared" si="90"/>
        <v>-6283.41</v>
      </c>
      <c r="Y236" s="1"/>
      <c r="Z236" s="5">
        <f t="shared" si="91"/>
        <v>-1</v>
      </c>
    </row>
    <row r="237" spans="1:26" s="24" customFormat="1" hidden="1" outlineLevel="2" x14ac:dyDescent="0.25">
      <c r="A237" s="29"/>
      <c r="B237" s="11" t="str">
        <f>CONCATENATE("          ", "6336", " - ", "PROFESSIONAL SERVICES")</f>
        <v xml:space="preserve">          6336 - PROFESSIONAL SERVICES</v>
      </c>
      <c r="C237" s="11"/>
      <c r="D237" s="7"/>
      <c r="E237" s="2"/>
      <c r="F237" s="6">
        <f t="shared" si="84"/>
        <v>0</v>
      </c>
      <c r="G237" s="2"/>
      <c r="H237" s="7">
        <v>125</v>
      </c>
      <c r="I237" s="2"/>
      <c r="J237" s="6">
        <f t="shared" si="85"/>
        <v>2.963282172108593E-5</v>
      </c>
      <c r="K237" s="2"/>
      <c r="L237" s="7">
        <f t="shared" si="86"/>
        <v>-125</v>
      </c>
      <c r="M237" s="2"/>
      <c r="N237" s="6">
        <f t="shared" si="87"/>
        <v>-1</v>
      </c>
      <c r="O237" s="11"/>
      <c r="P237" s="7"/>
      <c r="Q237" s="2"/>
      <c r="R237" s="6">
        <f t="shared" si="88"/>
        <v>0</v>
      </c>
      <c r="S237" s="2"/>
      <c r="T237" s="7">
        <v>6283.41</v>
      </c>
      <c r="U237" s="2"/>
      <c r="V237" s="6">
        <f t="shared" si="89"/>
        <v>1.0974991955443611E-3</v>
      </c>
      <c r="W237" s="2"/>
      <c r="X237" s="7">
        <f t="shared" si="90"/>
        <v>-6283.41</v>
      </c>
      <c r="Y237" s="2"/>
      <c r="Z237" s="6">
        <f t="shared" si="91"/>
        <v>-1</v>
      </c>
    </row>
    <row r="238" spans="1:26" s="28" customFormat="1" outlineLevel="1" collapsed="1" x14ac:dyDescent="0.25">
      <c r="A238" s="27"/>
      <c r="B238" s="14" t="str">
        <f>CONCATENATE("     ","R/H Commissions                                   ")</f>
        <v xml:space="preserve">     R/H Commissions                                   </v>
      </c>
      <c r="C238" s="14"/>
      <c r="D238" s="1">
        <f>SUM(OSRRefD22_16x_0)</f>
        <v>3533.81</v>
      </c>
      <c r="E238" s="1"/>
      <c r="F238" s="5">
        <f t="shared" si="84"/>
        <v>1.5982914458429237E-3</v>
      </c>
      <c r="G238" s="1"/>
      <c r="H238" s="1">
        <f>SUM(OSRRefH22_16x_0)</f>
        <v>32320.179999999997</v>
      </c>
      <c r="I238" s="1"/>
      <c r="J238" s="5">
        <f t="shared" si="85"/>
        <v>7.661905055467255E-3</v>
      </c>
      <c r="K238" s="1"/>
      <c r="L238" s="1">
        <f t="shared" si="86"/>
        <v>-28786.369999999995</v>
      </c>
      <c r="M238" s="1"/>
      <c r="N238" s="5">
        <f t="shared" si="87"/>
        <v>-0.89066242824142683</v>
      </c>
      <c r="O238" s="14"/>
      <c r="P238" s="1">
        <f>SUM(OSRRefP22_16x_0)</f>
        <v>4685.49</v>
      </c>
      <c r="Q238" s="1"/>
      <c r="R238" s="5">
        <f t="shared" si="88"/>
        <v>1.7431784302721931E-3</v>
      </c>
      <c r="S238" s="1"/>
      <c r="T238" s="1">
        <f>SUM(OSRRefT22_16x_0)</f>
        <v>72032.83</v>
      </c>
      <c r="U238" s="1"/>
      <c r="V238" s="5">
        <f t="shared" si="89"/>
        <v>1.2581698946556683E-2</v>
      </c>
      <c r="W238" s="1"/>
      <c r="X238" s="1">
        <f t="shared" si="90"/>
        <v>-67347.34</v>
      </c>
      <c r="Y238" s="1"/>
      <c r="Z238" s="5">
        <f t="shared" si="91"/>
        <v>-0.93495340943844629</v>
      </c>
    </row>
    <row r="239" spans="1:26" s="24" customFormat="1" hidden="1" outlineLevel="2" x14ac:dyDescent="0.25">
      <c r="A239" s="29"/>
      <c r="B239" s="11" t="str">
        <f>CONCATENATE("          ", "6387", " - ", "COMMISSION DUE HOUSING")</f>
        <v xml:space="preserve">          6387 - COMMISSION DUE HOUSING</v>
      </c>
      <c r="C239" s="11"/>
      <c r="D239" s="7">
        <v>3533.81</v>
      </c>
      <c r="E239" s="2"/>
      <c r="F239" s="6">
        <f t="shared" si="84"/>
        <v>1.5982914458429237E-3</v>
      </c>
      <c r="G239" s="2"/>
      <c r="H239" s="7">
        <v>32320.179999999997</v>
      </c>
      <c r="I239" s="2"/>
      <c r="J239" s="6">
        <f t="shared" si="85"/>
        <v>7.661905055467255E-3</v>
      </c>
      <c r="K239" s="2"/>
      <c r="L239" s="7">
        <f t="shared" si="86"/>
        <v>-28786.369999999995</v>
      </c>
      <c r="M239" s="2"/>
      <c r="N239" s="6">
        <f t="shared" si="87"/>
        <v>-0.89066242824142683</v>
      </c>
      <c r="O239" s="11"/>
      <c r="P239" s="7">
        <v>4685.49</v>
      </c>
      <c r="Q239" s="2"/>
      <c r="R239" s="6">
        <f t="shared" si="88"/>
        <v>1.7431784302721931E-3</v>
      </c>
      <c r="S239" s="2"/>
      <c r="T239" s="7">
        <v>72032.83</v>
      </c>
      <c r="U239" s="2"/>
      <c r="V239" s="6">
        <f t="shared" si="89"/>
        <v>1.2581698946556683E-2</v>
      </c>
      <c r="W239" s="2"/>
      <c r="X239" s="7">
        <f t="shared" si="90"/>
        <v>-67347.34</v>
      </c>
      <c r="Y239" s="2"/>
      <c r="Z239" s="6">
        <f t="shared" si="91"/>
        <v>-0.93495340943844629</v>
      </c>
    </row>
    <row r="240" spans="1:26" s="28" customFormat="1" outlineLevel="1" collapsed="1" x14ac:dyDescent="0.25">
      <c r="A240" s="27"/>
      <c r="B240" s="14" t="str">
        <f>CONCATENATE("     ","Rent                                              ")</f>
        <v xml:space="preserve">     Rent                                              </v>
      </c>
      <c r="C240" s="14"/>
      <c r="D240" s="1">
        <f>SUM(OSRRefD22_17x_0)</f>
        <v>6900</v>
      </c>
      <c r="E240" s="1"/>
      <c r="F240" s="5">
        <f t="shared" si="84"/>
        <v>3.1207707761074237E-3</v>
      </c>
      <c r="G240" s="1"/>
      <c r="H240" s="1">
        <f>SUM(OSRRefH22_17x_0)</f>
        <v>9900</v>
      </c>
      <c r="I240" s="1"/>
      <c r="J240" s="5">
        <f t="shared" si="85"/>
        <v>2.3469194803100056E-3</v>
      </c>
      <c r="K240" s="1"/>
      <c r="L240" s="1">
        <f t="shared" si="86"/>
        <v>-3000</v>
      </c>
      <c r="M240" s="1"/>
      <c r="N240" s="5">
        <f t="shared" si="87"/>
        <v>-0.30303030303030304</v>
      </c>
      <c r="O240" s="14"/>
      <c r="P240" s="1">
        <f>SUM(OSRRefP22_17x_0)</f>
        <v>13800</v>
      </c>
      <c r="Q240" s="1"/>
      <c r="R240" s="5">
        <f t="shared" si="88"/>
        <v>5.1341188088665788E-3</v>
      </c>
      <c r="S240" s="1"/>
      <c r="T240" s="1">
        <f>SUM(OSRRefT22_17x_0)</f>
        <v>19800</v>
      </c>
      <c r="U240" s="1"/>
      <c r="V240" s="5">
        <f t="shared" si="89"/>
        <v>3.4583902804016212E-3</v>
      </c>
      <c r="W240" s="1"/>
      <c r="X240" s="1">
        <f t="shared" si="90"/>
        <v>-6000</v>
      </c>
      <c r="Y240" s="1"/>
      <c r="Z240" s="5">
        <f t="shared" si="91"/>
        <v>-0.30303030303030304</v>
      </c>
    </row>
    <row r="241" spans="1:26" s="24" customFormat="1" hidden="1" outlineLevel="2" x14ac:dyDescent="0.25">
      <c r="A241" s="29"/>
      <c r="B241" s="11" t="str">
        <f>CONCATENATE("          ", "6273", " - ", "RENT")</f>
        <v xml:space="preserve">          6273 - RENT</v>
      </c>
      <c r="C241" s="11"/>
      <c r="D241" s="7">
        <v>6900</v>
      </c>
      <c r="E241" s="2"/>
      <c r="F241" s="6">
        <f t="shared" si="84"/>
        <v>3.1207707761074237E-3</v>
      </c>
      <c r="G241" s="2"/>
      <c r="H241" s="7">
        <v>9900</v>
      </c>
      <c r="I241" s="2"/>
      <c r="J241" s="6">
        <f t="shared" si="85"/>
        <v>2.3469194803100056E-3</v>
      </c>
      <c r="K241" s="2"/>
      <c r="L241" s="7">
        <f t="shared" si="86"/>
        <v>-3000</v>
      </c>
      <c r="M241" s="2"/>
      <c r="N241" s="6">
        <f t="shared" si="87"/>
        <v>-0.30303030303030304</v>
      </c>
      <c r="O241" s="11"/>
      <c r="P241" s="7">
        <v>13800</v>
      </c>
      <c r="Q241" s="2"/>
      <c r="R241" s="6">
        <f t="shared" si="88"/>
        <v>5.1341188088665788E-3</v>
      </c>
      <c r="S241" s="2"/>
      <c r="T241" s="7">
        <v>19800</v>
      </c>
      <c r="U241" s="2"/>
      <c r="V241" s="6">
        <f t="shared" si="89"/>
        <v>3.4583902804016212E-3</v>
      </c>
      <c r="W241" s="2"/>
      <c r="X241" s="7">
        <f t="shared" si="90"/>
        <v>-6000</v>
      </c>
      <c r="Y241" s="2"/>
      <c r="Z241" s="6">
        <f t="shared" si="91"/>
        <v>-0.30303030303030304</v>
      </c>
    </row>
    <row r="242" spans="1:26" s="28" customFormat="1" outlineLevel="1" collapsed="1" x14ac:dyDescent="0.25">
      <c r="A242" s="27"/>
      <c r="B242" s="14" t="str">
        <f>CONCATENATE("     ","Repair and Maintenance                            ")</f>
        <v xml:space="preserve">     Repair and Maintenance                            </v>
      </c>
      <c r="C242" s="14"/>
      <c r="D242" s="1">
        <f>SUM(OSRRefD22_18x_0)</f>
        <v>13911.13</v>
      </c>
      <c r="E242" s="1"/>
      <c r="F242" s="5">
        <f t="shared" si="84"/>
        <v>6.291804053134965E-3</v>
      </c>
      <c r="G242" s="1"/>
      <c r="H242" s="1">
        <f>SUM(OSRRefH22_18x_0)</f>
        <v>38125.15</v>
      </c>
      <c r="I242" s="1"/>
      <c r="J242" s="5">
        <f t="shared" si="85"/>
        <v>9.0380461843172742E-3</v>
      </c>
      <c r="K242" s="1"/>
      <c r="L242" s="1">
        <f t="shared" si="86"/>
        <v>-24214.020000000004</v>
      </c>
      <c r="M242" s="1"/>
      <c r="N242" s="5">
        <f t="shared" si="87"/>
        <v>-0.6351193372353946</v>
      </c>
      <c r="O242" s="14"/>
      <c r="P242" s="1">
        <f>SUM(OSRRefP22_18x_0)</f>
        <v>84484.96</v>
      </c>
      <c r="Q242" s="1"/>
      <c r="R242" s="5">
        <f t="shared" si="88"/>
        <v>3.1431581319010186E-2</v>
      </c>
      <c r="S242" s="1"/>
      <c r="T242" s="1">
        <f>SUM(OSRRefT22_18x_0)</f>
        <v>88509.62</v>
      </c>
      <c r="U242" s="1"/>
      <c r="V242" s="5">
        <f t="shared" si="89"/>
        <v>1.5459636844951561E-2</v>
      </c>
      <c r="W242" s="1"/>
      <c r="X242" s="1">
        <f t="shared" si="90"/>
        <v>-4024.6599999999889</v>
      </c>
      <c r="Y242" s="1"/>
      <c r="Z242" s="5">
        <f t="shared" si="91"/>
        <v>-4.5471441409419555E-2</v>
      </c>
    </row>
    <row r="243" spans="1:26" s="24" customFormat="1" hidden="1" outlineLevel="2" x14ac:dyDescent="0.25">
      <c r="A243" s="29"/>
      <c r="B243" s="11" t="str">
        <f>CONCATENATE("          ", "6371", " - ", "COMPUTER SOFTWARE MAINTENANCE")</f>
        <v xml:space="preserve">          6371 - COMPUTER SOFTWARE MAINTENANCE</v>
      </c>
      <c r="C243" s="11"/>
      <c r="D243" s="7"/>
      <c r="E243" s="2"/>
      <c r="F243" s="6">
        <f t="shared" si="84"/>
        <v>0</v>
      </c>
      <c r="G243" s="2"/>
      <c r="H243" s="7">
        <v>7887.25</v>
      </c>
      <c r="I243" s="2"/>
      <c r="J243" s="6">
        <f t="shared" si="85"/>
        <v>1.8697717849570799E-3</v>
      </c>
      <c r="K243" s="2"/>
      <c r="L243" s="7">
        <f t="shared" si="86"/>
        <v>-7887.25</v>
      </c>
      <c r="M243" s="2"/>
      <c r="N243" s="6">
        <f t="shared" si="87"/>
        <v>-1</v>
      </c>
      <c r="O243" s="11"/>
      <c r="P243" s="7">
        <v>58428.780000000006</v>
      </c>
      <c r="Q243" s="2"/>
      <c r="R243" s="6">
        <f t="shared" si="88"/>
        <v>2.1737702780951263E-2</v>
      </c>
      <c r="S243" s="2"/>
      <c r="T243" s="7">
        <v>8488.25</v>
      </c>
      <c r="U243" s="2"/>
      <c r="V243" s="6">
        <f t="shared" si="89"/>
        <v>1.4826101665464172E-3</v>
      </c>
      <c r="W243" s="2"/>
      <c r="X243" s="7">
        <f t="shared" si="90"/>
        <v>49940.530000000006</v>
      </c>
      <c r="Y243" s="2"/>
      <c r="Z243" s="6">
        <f t="shared" si="91"/>
        <v>5.8834895296439207</v>
      </c>
    </row>
    <row r="244" spans="1:26" s="24" customFormat="1" hidden="1" outlineLevel="2" x14ac:dyDescent="0.25">
      <c r="A244" s="29"/>
      <c r="B244" s="11" t="str">
        <f>CONCATENATE("          ", "6372", " - ", "COMPUTER HARDWARE MAINTENANCE")</f>
        <v xml:space="preserve">          6372 - COMPUTER HARDWARE MAINTENANCE</v>
      </c>
      <c r="C244" s="11"/>
      <c r="D244" s="7">
        <v>0.98</v>
      </c>
      <c r="E244" s="2"/>
      <c r="F244" s="6">
        <f t="shared" si="84"/>
        <v>4.4323990733119928E-7</v>
      </c>
      <c r="G244" s="2"/>
      <c r="H244" s="7"/>
      <c r="I244" s="2"/>
      <c r="J244" s="6">
        <f t="shared" si="85"/>
        <v>0</v>
      </c>
      <c r="K244" s="2"/>
      <c r="L244" s="7">
        <f t="shared" si="86"/>
        <v>0.98</v>
      </c>
      <c r="M244" s="2"/>
      <c r="N244" s="6">
        <f t="shared" si="87"/>
        <v>0</v>
      </c>
      <c r="O244" s="11"/>
      <c r="P244" s="7">
        <v>0.98</v>
      </c>
      <c r="Q244" s="2"/>
      <c r="R244" s="6">
        <f t="shared" si="88"/>
        <v>3.6459684294849617E-7</v>
      </c>
      <c r="S244" s="2"/>
      <c r="T244" s="7"/>
      <c r="U244" s="2"/>
      <c r="V244" s="6">
        <f t="shared" si="89"/>
        <v>0</v>
      </c>
      <c r="W244" s="2"/>
      <c r="X244" s="7">
        <f t="shared" si="90"/>
        <v>0.98</v>
      </c>
      <c r="Y244" s="2"/>
      <c r="Z244" s="6">
        <f t="shared" si="91"/>
        <v>0</v>
      </c>
    </row>
    <row r="245" spans="1:26" s="24" customFormat="1" hidden="1" outlineLevel="2" x14ac:dyDescent="0.25">
      <c r="A245" s="29"/>
      <c r="B245" s="11" t="str">
        <f>CONCATENATE("          ", "6373", " - ", "MAINTENANCE CONTRACTS")</f>
        <v xml:space="preserve">          6373 - MAINTENANCE CONTRACTS</v>
      </c>
      <c r="C245" s="11"/>
      <c r="D245" s="7">
        <v>10884.93</v>
      </c>
      <c r="E245" s="2"/>
      <c r="F245" s="6">
        <f t="shared" si="84"/>
        <v>4.923097310721011E-3</v>
      </c>
      <c r="G245" s="2"/>
      <c r="H245" s="7">
        <v>15979.289999999999</v>
      </c>
      <c r="I245" s="2"/>
      <c r="J245" s="6">
        <f t="shared" si="85"/>
        <v>3.7880916143962491E-3</v>
      </c>
      <c r="K245" s="2"/>
      <c r="L245" s="7">
        <f t="shared" si="86"/>
        <v>-5094.3599999999988</v>
      </c>
      <c r="M245" s="2"/>
      <c r="N245" s="6">
        <f t="shared" si="87"/>
        <v>-0.31881015990072142</v>
      </c>
      <c r="O245" s="11"/>
      <c r="P245" s="7">
        <v>19656.18</v>
      </c>
      <c r="Q245" s="2"/>
      <c r="R245" s="6">
        <f t="shared" si="88"/>
        <v>7.3128379310483382E-3</v>
      </c>
      <c r="S245" s="2"/>
      <c r="T245" s="7">
        <v>28495.85</v>
      </c>
      <c r="U245" s="2"/>
      <c r="V245" s="6">
        <f t="shared" si="89"/>
        <v>4.9772611450395214E-3</v>
      </c>
      <c r="W245" s="2"/>
      <c r="X245" s="7">
        <f t="shared" si="90"/>
        <v>-8839.6699999999983</v>
      </c>
      <c r="Y245" s="2"/>
      <c r="Z245" s="6">
        <f t="shared" si="91"/>
        <v>-0.31020903043776543</v>
      </c>
    </row>
    <row r="246" spans="1:26" s="24" customFormat="1" hidden="1" outlineLevel="2" x14ac:dyDescent="0.25">
      <c r="A246" s="29"/>
      <c r="B246" s="11" t="str">
        <f>CONCATENATE("          ", "6375", " - ", "OUTSIDE REPAIRS &amp; MAINTENANCE")</f>
        <v xml:space="preserve">          6375 - OUTSIDE REPAIRS &amp; MAINTENANCE</v>
      </c>
      <c r="C246" s="11"/>
      <c r="D246" s="7">
        <v>3025.22</v>
      </c>
      <c r="E246" s="2"/>
      <c r="F246" s="6">
        <f t="shared" si="84"/>
        <v>1.3682635025066231E-3</v>
      </c>
      <c r="G246" s="2"/>
      <c r="H246" s="7">
        <v>14258.61</v>
      </c>
      <c r="I246" s="2"/>
      <c r="J246" s="6">
        <f t="shared" si="85"/>
        <v>3.3801827849639443E-3</v>
      </c>
      <c r="K246" s="2"/>
      <c r="L246" s="7">
        <f t="shared" si="86"/>
        <v>-11233.390000000001</v>
      </c>
      <c r="M246" s="2"/>
      <c r="N246" s="6">
        <f t="shared" si="87"/>
        <v>-0.78783205375559051</v>
      </c>
      <c r="O246" s="11"/>
      <c r="P246" s="7">
        <v>6399.02</v>
      </c>
      <c r="Q246" s="2"/>
      <c r="R246" s="6">
        <f t="shared" si="88"/>
        <v>2.3806760101676388E-3</v>
      </c>
      <c r="S246" s="2"/>
      <c r="T246" s="7">
        <v>51525.52</v>
      </c>
      <c r="U246" s="2"/>
      <c r="V246" s="6">
        <f t="shared" si="89"/>
        <v>8.9997655333656223E-3</v>
      </c>
      <c r="W246" s="2"/>
      <c r="X246" s="7">
        <f t="shared" si="90"/>
        <v>-45126.5</v>
      </c>
      <c r="Y246" s="2"/>
      <c r="Z246" s="6">
        <f t="shared" si="91"/>
        <v>-0.87580872546264454</v>
      </c>
    </row>
    <row r="247" spans="1:26" s="28" customFormat="1" outlineLevel="1" collapsed="1" x14ac:dyDescent="0.25">
      <c r="A247" s="27"/>
      <c r="B247" s="14" t="str">
        <f>CONCATENATE("     ","Royalty &amp; Commissions                             ")</f>
        <v xml:space="preserve">     Royalty &amp; Commissions                             </v>
      </c>
      <c r="C247" s="14"/>
      <c r="D247" s="1">
        <f>SUM(OSRRefD22_19x_0)</f>
        <v>2254.65</v>
      </c>
      <c r="E247" s="1"/>
      <c r="F247" s="5">
        <f t="shared" ref="F247:F250" si="92">IF(D$12=0,0,D247/D$12)</f>
        <v>1.0197457725145802E-3</v>
      </c>
      <c r="G247" s="1"/>
      <c r="H247" s="1">
        <f>SUM(OSRRefH22_19x_0)</f>
        <v>20629.509999999998</v>
      </c>
      <c r="I247" s="1"/>
      <c r="J247" s="5">
        <f t="shared" ref="J247:J250" si="93">IF(H$12=0,0,H247/H$12)</f>
        <v>4.890484736186875E-3</v>
      </c>
      <c r="K247" s="1"/>
      <c r="L247" s="1">
        <f t="shared" ref="L247:L250" si="94">+D247-H247</f>
        <v>-18374.859999999997</v>
      </c>
      <c r="M247" s="1"/>
      <c r="N247" s="5">
        <f t="shared" ref="N247:N250" si="95">IF(H247=0,0,L247/H247)</f>
        <v>-0.89070753498265343</v>
      </c>
      <c r="O247" s="14"/>
      <c r="P247" s="1">
        <f>SUM(OSRRefP22_19x_0)</f>
        <v>13244.4</v>
      </c>
      <c r="Q247" s="1"/>
      <c r="R247" s="5">
        <f t="shared" ref="R247:R250" si="96">IF(P$12=0,0,P247/P$12)</f>
        <v>4.9274147211704721E-3</v>
      </c>
      <c r="S247" s="1"/>
      <c r="T247" s="1">
        <f>SUM(OSRRefT22_19x_0)</f>
        <v>42573.659999999996</v>
      </c>
      <c r="U247" s="1"/>
      <c r="V247" s="5">
        <f t="shared" ref="V247:V250" si="97">IF(T$12=0,0,T247/T$12)</f>
        <v>7.4361783810668316E-3</v>
      </c>
      <c r="W247" s="1"/>
      <c r="X247" s="1">
        <f t="shared" ref="X247:X250" si="98">+P247-T247</f>
        <v>-29329.259999999995</v>
      </c>
      <c r="Y247" s="1"/>
      <c r="Z247" s="5">
        <f t="shared" ref="Z247:Z250" si="99">IF(T247=0,0,X247/T247)</f>
        <v>-0.68890623920987759</v>
      </c>
    </row>
    <row r="248" spans="1:26" s="24" customFormat="1" hidden="1" outlineLevel="2" x14ac:dyDescent="0.25">
      <c r="A248" s="29"/>
      <c r="B248" s="11" t="str">
        <f>CONCATENATE("          ", "6253", " - ", "ROYALTY DUE ATHLETICS-LRG")</f>
        <v xml:space="preserve">          6253 - ROYALTY DUE ATHLETICS-LRG</v>
      </c>
      <c r="C248" s="11"/>
      <c r="D248" s="7">
        <v>2250</v>
      </c>
      <c r="E248" s="2"/>
      <c r="F248" s="6">
        <f t="shared" si="92"/>
        <v>1.0176426443828555E-3</v>
      </c>
      <c r="G248" s="2"/>
      <c r="H248" s="7"/>
      <c r="I248" s="2"/>
      <c r="J248" s="6">
        <f t="shared" si="93"/>
        <v>0</v>
      </c>
      <c r="K248" s="2"/>
      <c r="L248" s="7">
        <f t="shared" si="94"/>
        <v>2250</v>
      </c>
      <c r="M248" s="2"/>
      <c r="N248" s="6">
        <f t="shared" si="95"/>
        <v>0</v>
      </c>
      <c r="O248" s="11"/>
      <c r="P248" s="7">
        <v>7922.2</v>
      </c>
      <c r="Q248" s="2"/>
      <c r="R248" s="6">
        <f t="shared" si="96"/>
        <v>2.9473562338842617E-3</v>
      </c>
      <c r="S248" s="2"/>
      <c r="T248" s="7">
        <v>4366.95</v>
      </c>
      <c r="U248" s="2"/>
      <c r="V248" s="6">
        <f t="shared" si="97"/>
        <v>7.6275845631312421E-4</v>
      </c>
      <c r="W248" s="2"/>
      <c r="X248" s="7">
        <f t="shared" si="98"/>
        <v>3555.25</v>
      </c>
      <c r="Y248" s="2"/>
      <c r="Z248" s="6">
        <f t="shared" si="99"/>
        <v>0.81412656430689612</v>
      </c>
    </row>
    <row r="249" spans="1:26" s="24" customFormat="1" hidden="1" outlineLevel="2" x14ac:dyDescent="0.25">
      <c r="A249" s="29"/>
      <c r="B249" s="11" t="str">
        <f>CONCATENATE("          ", "6254", " - ", "ROYALTY &amp; COMMISSIONS")</f>
        <v xml:space="preserve">          6254 - ROYALTY &amp; COMMISSIONS</v>
      </c>
      <c r="C249" s="11"/>
      <c r="D249" s="7"/>
      <c r="E249" s="2"/>
      <c r="F249" s="6">
        <f t="shared" si="92"/>
        <v>0</v>
      </c>
      <c r="G249" s="2"/>
      <c r="H249" s="7">
        <v>11007.38</v>
      </c>
      <c r="I249" s="2"/>
      <c r="J249" s="6">
        <f t="shared" si="93"/>
        <v>2.6094378332499743E-3</v>
      </c>
      <c r="K249" s="2"/>
      <c r="L249" s="7">
        <f t="shared" si="94"/>
        <v>-11007.38</v>
      </c>
      <c r="M249" s="2"/>
      <c r="N249" s="6">
        <f t="shared" si="95"/>
        <v>-1</v>
      </c>
      <c r="O249" s="11"/>
      <c r="P249" s="7"/>
      <c r="Q249" s="2"/>
      <c r="R249" s="6">
        <f t="shared" si="96"/>
        <v>0</v>
      </c>
      <c r="S249" s="2"/>
      <c r="T249" s="7">
        <v>25094.129999999997</v>
      </c>
      <c r="U249" s="2"/>
      <c r="V249" s="6">
        <f t="shared" si="97"/>
        <v>4.3830957215724607E-3</v>
      </c>
      <c r="W249" s="2"/>
      <c r="X249" s="7">
        <f t="shared" si="98"/>
        <v>-25094.129999999997</v>
      </c>
      <c r="Y249" s="2"/>
      <c r="Z249" s="6">
        <f t="shared" si="99"/>
        <v>-1</v>
      </c>
    </row>
    <row r="250" spans="1:26" s="24" customFormat="1" hidden="1" outlineLevel="2" x14ac:dyDescent="0.25">
      <c r="A250" s="29"/>
      <c r="B250" s="11" t="str">
        <f>CONCATENATE("          ", "6259", " - ", "ROYALTY &amp; COMMISSIONS")</f>
        <v xml:space="preserve">          6259 - ROYALTY &amp; COMMISSIONS</v>
      </c>
      <c r="C250" s="11"/>
      <c r="D250" s="7">
        <v>4.6500000000000004</v>
      </c>
      <c r="E250" s="2"/>
      <c r="F250" s="6">
        <f t="shared" si="92"/>
        <v>2.103128131724568E-6</v>
      </c>
      <c r="G250" s="2"/>
      <c r="H250" s="7">
        <v>9622.1299999999992</v>
      </c>
      <c r="I250" s="2"/>
      <c r="J250" s="6">
        <f t="shared" si="93"/>
        <v>2.2810469029369003E-3</v>
      </c>
      <c r="K250" s="2"/>
      <c r="L250" s="7">
        <f t="shared" si="94"/>
        <v>-9617.48</v>
      </c>
      <c r="M250" s="2"/>
      <c r="N250" s="6">
        <f t="shared" si="95"/>
        <v>-0.99951673901724469</v>
      </c>
      <c r="O250" s="11"/>
      <c r="P250" s="7">
        <v>5322.2</v>
      </c>
      <c r="Q250" s="2"/>
      <c r="R250" s="6">
        <f t="shared" si="96"/>
        <v>1.9800584872862103E-3</v>
      </c>
      <c r="S250" s="2"/>
      <c r="T250" s="7">
        <v>13112.58</v>
      </c>
      <c r="U250" s="2"/>
      <c r="V250" s="6">
        <f t="shared" si="97"/>
        <v>2.2903242031812468E-3</v>
      </c>
      <c r="W250" s="2"/>
      <c r="X250" s="7">
        <f t="shared" si="98"/>
        <v>-7790.38</v>
      </c>
      <c r="Y250" s="2"/>
      <c r="Z250" s="6">
        <f t="shared" si="99"/>
        <v>-0.59411496440822475</v>
      </c>
    </row>
    <row r="251" spans="1:26" s="28" customFormat="1" outlineLevel="1" collapsed="1" x14ac:dyDescent="0.25">
      <c r="A251" s="27"/>
      <c r="B251" s="14" t="str">
        <f>CONCATENATE("     ","Services                                          ")</f>
        <v xml:space="preserve">     Services                                          </v>
      </c>
      <c r="C251" s="14"/>
      <c r="D251" s="1">
        <f>SUM(OSRRefD22_20x_0)</f>
        <v>11874.029999999999</v>
      </c>
      <c r="E251" s="1"/>
      <c r="F251" s="5">
        <f t="shared" ref="F251:F256" si="100">IF(D$12=0,0,D251/D$12)</f>
        <v>5.3704530171917141E-3</v>
      </c>
      <c r="G251" s="1"/>
      <c r="H251" s="1">
        <f>SUM(OSRRefH22_20x_0)</f>
        <v>42189.189999999995</v>
      </c>
      <c r="I251" s="1"/>
      <c r="J251" s="5">
        <f t="shared" ref="J251:J256" si="101">IF(H$12=0,0,H251/H$12)</f>
        <v>1.0001477966616169E-2</v>
      </c>
      <c r="K251" s="1"/>
      <c r="L251" s="1">
        <f t="shared" ref="L251:L256" si="102">+D251-H251</f>
        <v>-30315.159999999996</v>
      </c>
      <c r="M251" s="1"/>
      <c r="N251" s="5">
        <f t="shared" ref="N251:N256" si="103">IF(H251=0,0,L251/H251)</f>
        <v>-0.71855278567803738</v>
      </c>
      <c r="O251" s="14"/>
      <c r="P251" s="1">
        <f>SUM(OSRRefP22_20x_0)</f>
        <v>27713.040000000005</v>
      </c>
      <c r="Q251" s="1"/>
      <c r="R251" s="5">
        <f t="shared" ref="R251:R256" si="104">IF(P$12=0,0,P251/P$12)</f>
        <v>1.0310292747454484E-2</v>
      </c>
      <c r="S251" s="1"/>
      <c r="T251" s="1">
        <f>SUM(OSRRefT22_20x_0)</f>
        <v>89507.650000000009</v>
      </c>
      <c r="U251" s="1"/>
      <c r="V251" s="5">
        <f t="shared" ref="V251:V256" si="105">IF(T$12=0,0,T251/T$12)</f>
        <v>1.563395892836314E-2</v>
      </c>
      <c r="W251" s="1"/>
      <c r="X251" s="1">
        <f t="shared" ref="X251:X256" si="106">+P251-T251</f>
        <v>-61794.61</v>
      </c>
      <c r="Y251" s="1"/>
      <c r="Z251" s="5">
        <f t="shared" ref="Z251:Z256" si="107">IF(T251=0,0,X251/T251)</f>
        <v>-0.69038355939408524</v>
      </c>
    </row>
    <row r="252" spans="1:26" s="24" customFormat="1" hidden="1" outlineLevel="2" x14ac:dyDescent="0.25">
      <c r="A252" s="29"/>
      <c r="B252" s="11" t="str">
        <f>CONCATENATE("          ", "6282", " - ", "JANITORIAL/EXTERMINATOR EXPENS")</f>
        <v xml:space="preserve">          6282 - JANITORIAL/EXTERMINATOR EXPENS</v>
      </c>
      <c r="C252" s="11"/>
      <c r="D252" s="7">
        <v>967.1</v>
      </c>
      <c r="E252" s="2"/>
      <c r="F252" s="6">
        <f t="shared" si="100"/>
        <v>4.3740542283673761E-4</v>
      </c>
      <c r="G252" s="2"/>
      <c r="H252" s="7">
        <v>4249.2</v>
      </c>
      <c r="I252" s="2"/>
      <c r="J252" s="6">
        <f t="shared" si="101"/>
        <v>1.0073262884579067E-3</v>
      </c>
      <c r="K252" s="2"/>
      <c r="L252" s="7">
        <f t="shared" si="102"/>
        <v>-3282.1</v>
      </c>
      <c r="M252" s="2"/>
      <c r="N252" s="6">
        <f t="shared" si="103"/>
        <v>-0.77240421726442621</v>
      </c>
      <c r="O252" s="11"/>
      <c r="P252" s="7">
        <v>2611.9</v>
      </c>
      <c r="Q252" s="2"/>
      <c r="R252" s="6">
        <f t="shared" si="104"/>
        <v>9.7172499397671136E-4</v>
      </c>
      <c r="S252" s="2"/>
      <c r="T252" s="7">
        <v>7903.66</v>
      </c>
      <c r="U252" s="2"/>
      <c r="V252" s="6">
        <f t="shared" si="105"/>
        <v>1.3805020668484383E-3</v>
      </c>
      <c r="W252" s="2"/>
      <c r="X252" s="7">
        <f t="shared" si="106"/>
        <v>-5291.76</v>
      </c>
      <c r="Y252" s="2"/>
      <c r="Z252" s="6">
        <f t="shared" si="107"/>
        <v>-0.66953284933815482</v>
      </c>
    </row>
    <row r="253" spans="1:26" s="24" customFormat="1" hidden="1" outlineLevel="2" x14ac:dyDescent="0.25">
      <c r="A253" s="29"/>
      <c r="B253" s="11" t="str">
        <f>CONCATENATE("          ", "6283", " - ", "PLANT SERVICE")</f>
        <v xml:space="preserve">          6283 - PLANT SERVICE</v>
      </c>
      <c r="C253" s="11"/>
      <c r="D253" s="7"/>
      <c r="E253" s="2"/>
      <c r="F253" s="6">
        <f t="shared" si="100"/>
        <v>0</v>
      </c>
      <c r="G253" s="2"/>
      <c r="H253" s="7">
        <v>380.44</v>
      </c>
      <c r="I253" s="2"/>
      <c r="J253" s="6">
        <f t="shared" si="101"/>
        <v>9.018808556455945E-5</v>
      </c>
      <c r="K253" s="2"/>
      <c r="L253" s="7">
        <f t="shared" si="102"/>
        <v>-380.44</v>
      </c>
      <c r="M253" s="2"/>
      <c r="N253" s="6">
        <f t="shared" si="103"/>
        <v>-1</v>
      </c>
      <c r="O253" s="11"/>
      <c r="P253" s="7">
        <v>130</v>
      </c>
      <c r="Q253" s="2"/>
      <c r="R253" s="6">
        <f t="shared" si="104"/>
        <v>4.8364887329902554E-5</v>
      </c>
      <c r="S253" s="2"/>
      <c r="T253" s="7">
        <v>760.88</v>
      </c>
      <c r="U253" s="2"/>
      <c r="V253" s="6">
        <f t="shared" si="105"/>
        <v>1.3289999982585784E-4</v>
      </c>
      <c r="W253" s="2"/>
      <c r="X253" s="7">
        <f t="shared" si="106"/>
        <v>-630.88</v>
      </c>
      <c r="Y253" s="2"/>
      <c r="Z253" s="6">
        <f t="shared" si="107"/>
        <v>-0.82914520029439598</v>
      </c>
    </row>
    <row r="254" spans="1:26" s="24" customFormat="1" hidden="1" outlineLevel="2" x14ac:dyDescent="0.25">
      <c r="A254" s="29"/>
      <c r="B254" s="11" t="str">
        <f>CONCATENATE("          ", "6284", " - ", "TRASH REMOVAL EXPENSE")</f>
        <v xml:space="preserve">          6284 - TRASH REMOVAL EXPENSE</v>
      </c>
      <c r="C254" s="11"/>
      <c r="D254" s="7">
        <v>1142.57</v>
      </c>
      <c r="E254" s="2"/>
      <c r="F254" s="6">
        <f t="shared" si="100"/>
        <v>5.1676798053000854E-4</v>
      </c>
      <c r="G254" s="2"/>
      <c r="H254" s="7">
        <v>134.82</v>
      </c>
      <c r="I254" s="2"/>
      <c r="J254" s="6">
        <f t="shared" si="101"/>
        <v>3.196077619549444E-5</v>
      </c>
      <c r="K254" s="2"/>
      <c r="L254" s="7">
        <f t="shared" si="102"/>
        <v>1007.75</v>
      </c>
      <c r="M254" s="2"/>
      <c r="N254" s="6">
        <f t="shared" si="103"/>
        <v>7.4747811897344612</v>
      </c>
      <c r="O254" s="11"/>
      <c r="P254" s="7">
        <v>2285.14</v>
      </c>
      <c r="Q254" s="2"/>
      <c r="R254" s="6">
        <f t="shared" si="104"/>
        <v>8.5015798948502705E-4</v>
      </c>
      <c r="S254" s="2"/>
      <c r="T254" s="7">
        <v>4705.6400000000003</v>
      </c>
      <c r="U254" s="2"/>
      <c r="V254" s="6">
        <f t="shared" si="105"/>
        <v>8.2191614338732752E-4</v>
      </c>
      <c r="W254" s="2"/>
      <c r="X254" s="7">
        <f t="shared" si="106"/>
        <v>-2420.5000000000005</v>
      </c>
      <c r="Y254" s="2"/>
      <c r="Z254" s="6">
        <f t="shared" si="107"/>
        <v>-0.51438274071114665</v>
      </c>
    </row>
    <row r="255" spans="1:26" s="24" customFormat="1" hidden="1" outlineLevel="2" x14ac:dyDescent="0.25">
      <c r="A255" s="29"/>
      <c r="B255" s="11" t="str">
        <f>CONCATENATE("          ", "6285", " - ", "JANITORIAL SERVICES")</f>
        <v xml:space="preserve">          6285 - JANITORIAL SERVICES</v>
      </c>
      <c r="C255" s="11"/>
      <c r="D255" s="7">
        <v>7251.9</v>
      </c>
      <c r="E255" s="2"/>
      <c r="F255" s="6">
        <f t="shared" si="100"/>
        <v>3.2799300856889021E-3</v>
      </c>
      <c r="G255" s="2"/>
      <c r="H255" s="7">
        <v>29125.27</v>
      </c>
      <c r="I255" s="2"/>
      <c r="J255" s="6">
        <f t="shared" si="101"/>
        <v>6.9045114679079393E-3</v>
      </c>
      <c r="K255" s="2"/>
      <c r="L255" s="7">
        <f t="shared" si="102"/>
        <v>-21873.370000000003</v>
      </c>
      <c r="M255" s="2"/>
      <c r="N255" s="6">
        <f t="shared" si="103"/>
        <v>-0.7510100335550538</v>
      </c>
      <c r="O255" s="11"/>
      <c r="P255" s="7">
        <v>18236.070000000003</v>
      </c>
      <c r="Q255" s="2"/>
      <c r="R255" s="6">
        <f t="shared" si="104"/>
        <v>6.7845036222324321E-3</v>
      </c>
      <c r="S255" s="2"/>
      <c r="T255" s="7">
        <v>59100.460000000006</v>
      </c>
      <c r="U255" s="2"/>
      <c r="V255" s="6">
        <f t="shared" si="105"/>
        <v>1.0322851334912364E-2</v>
      </c>
      <c r="W255" s="2"/>
      <c r="X255" s="7">
        <f t="shared" si="106"/>
        <v>-40864.39</v>
      </c>
      <c r="Y255" s="2"/>
      <c r="Z255" s="6">
        <f t="shared" si="107"/>
        <v>-0.69143945749322422</v>
      </c>
    </row>
    <row r="256" spans="1:26" s="24" customFormat="1" hidden="1" outlineLevel="2" x14ac:dyDescent="0.25">
      <c r="A256" s="29"/>
      <c r="B256" s="11" t="str">
        <f>CONCATENATE("          ", "6286", " - ", "LAUNDRY EXPENSE")</f>
        <v xml:space="preserve">          6286 - LAUNDRY EXPENSE</v>
      </c>
      <c r="C256" s="11"/>
      <c r="D256" s="7">
        <v>2512.46</v>
      </c>
      <c r="E256" s="2"/>
      <c r="F256" s="6">
        <f t="shared" si="100"/>
        <v>1.1363495281360664E-3</v>
      </c>
      <c r="G256" s="2"/>
      <c r="H256" s="7">
        <v>8299.4599999999991</v>
      </c>
      <c r="I256" s="2"/>
      <c r="J256" s="6">
        <f t="shared" si="101"/>
        <v>1.9674913484902705E-3</v>
      </c>
      <c r="K256" s="2"/>
      <c r="L256" s="7">
        <f t="shared" si="102"/>
        <v>-5786.9999999999991</v>
      </c>
      <c r="M256" s="2"/>
      <c r="N256" s="6">
        <f t="shared" si="103"/>
        <v>-0.69727428049535745</v>
      </c>
      <c r="O256" s="11"/>
      <c r="P256" s="7">
        <v>4449.93</v>
      </c>
      <c r="Q256" s="2"/>
      <c r="R256" s="6">
        <f t="shared" si="104"/>
        <v>1.6555412544304099E-3</v>
      </c>
      <c r="S256" s="2"/>
      <c r="T256" s="7">
        <v>17037.009999999998</v>
      </c>
      <c r="U256" s="2"/>
      <c r="V256" s="6">
        <f t="shared" si="105"/>
        <v>2.9757893833891524E-3</v>
      </c>
      <c r="W256" s="2"/>
      <c r="X256" s="7">
        <f t="shared" si="106"/>
        <v>-12587.079999999998</v>
      </c>
      <c r="Y256" s="2"/>
      <c r="Z256" s="6">
        <f t="shared" si="107"/>
        <v>-0.738808042021458</v>
      </c>
    </row>
    <row r="257" spans="1:26" s="28" customFormat="1" outlineLevel="1" collapsed="1" x14ac:dyDescent="0.25">
      <c r="A257" s="27"/>
      <c r="B257" s="14" t="str">
        <f>CONCATENATE("     ","Subscriptions &amp; Dues                              ")</f>
        <v xml:space="preserve">     Subscriptions &amp; Dues                              </v>
      </c>
      <c r="C257" s="14"/>
      <c r="D257" s="1">
        <f>SUM(OSRRefD22_21x_0)</f>
        <v>270</v>
      </c>
      <c r="E257" s="1"/>
      <c r="F257" s="5">
        <f t="shared" ref="F257:F259" si="108">IF(D$12=0,0,D257/D$12)</f>
        <v>1.2211711732594267E-4</v>
      </c>
      <c r="G257" s="1"/>
      <c r="H257" s="1">
        <f>SUM(OSRRefH22_21x_0)</f>
        <v>-3838.84</v>
      </c>
      <c r="I257" s="1"/>
      <c r="J257" s="5">
        <f t="shared" ref="J257:J259" si="109">IF(H$12=0,0,H257/H$12)</f>
        <v>-9.1004529068618807E-4</v>
      </c>
      <c r="K257" s="1"/>
      <c r="L257" s="1">
        <f t="shared" ref="L257:L259" si="110">+D257-H257</f>
        <v>4108.84</v>
      </c>
      <c r="M257" s="1"/>
      <c r="N257" s="5">
        <f t="shared" ref="N257:N259" si="111">IF(H257=0,0,L257/H257)</f>
        <v>-1.0703337466526346</v>
      </c>
      <c r="O257" s="14"/>
      <c r="P257" s="1">
        <f>SUM(OSRRefP22_21x_0)</f>
        <v>644.31999999999994</v>
      </c>
      <c r="Q257" s="1"/>
      <c r="R257" s="5">
        <f t="shared" ref="R257:R259" si="112">IF(P$12=0,0,P257/P$12)</f>
        <v>2.3971126311079084E-4</v>
      </c>
      <c r="S257" s="1"/>
      <c r="T257" s="1">
        <f>SUM(OSRRefT22_21x_0)</f>
        <v>-2806.7699999999995</v>
      </c>
      <c r="U257" s="1"/>
      <c r="V257" s="5">
        <f t="shared" ref="V257:V259" si="113">IF(T$12=0,0,T257/T$12)</f>
        <v>-4.9024778218802309E-4</v>
      </c>
      <c r="W257" s="1"/>
      <c r="X257" s="1">
        <f t="shared" ref="X257:X259" si="114">+P257-T257</f>
        <v>3451.0899999999992</v>
      </c>
      <c r="Y257" s="1"/>
      <c r="Z257" s="5">
        <f t="shared" ref="Z257:Z259" si="115">IF(T257=0,0,X257/T257)</f>
        <v>-1.2295592442558527</v>
      </c>
    </row>
    <row r="258" spans="1:26" s="24" customFormat="1" hidden="1" outlineLevel="2" x14ac:dyDescent="0.25">
      <c r="A258" s="29"/>
      <c r="B258" s="11" t="str">
        <f>CONCATENATE("          ", "6258", " - ", "MEMBERSHIP DUES")</f>
        <v xml:space="preserve">          6258 - MEMBERSHIP DUES</v>
      </c>
      <c r="C258" s="11"/>
      <c r="D258" s="7">
        <v>270</v>
      </c>
      <c r="E258" s="2"/>
      <c r="F258" s="6">
        <f t="shared" si="108"/>
        <v>1.2211711732594267E-4</v>
      </c>
      <c r="G258" s="2"/>
      <c r="H258" s="7">
        <v>-4630</v>
      </c>
      <c r="I258" s="2"/>
      <c r="J258" s="6">
        <f t="shared" si="109"/>
        <v>-1.0975997165490229E-3</v>
      </c>
      <c r="K258" s="2"/>
      <c r="L258" s="7">
        <f t="shared" si="110"/>
        <v>4900</v>
      </c>
      <c r="M258" s="2"/>
      <c r="N258" s="6">
        <f t="shared" si="111"/>
        <v>-1.0583153347732182</v>
      </c>
      <c r="O258" s="11"/>
      <c r="P258" s="7">
        <v>560</v>
      </c>
      <c r="Q258" s="2"/>
      <c r="R258" s="6">
        <f t="shared" si="112"/>
        <v>2.0834105311342638E-4</v>
      </c>
      <c r="S258" s="2"/>
      <c r="T258" s="7">
        <v>-4341.1499999999996</v>
      </c>
      <c r="U258" s="2"/>
      <c r="V258" s="6">
        <f t="shared" si="113"/>
        <v>-7.5825206897805531E-4</v>
      </c>
      <c r="W258" s="2"/>
      <c r="X258" s="7">
        <f t="shared" si="114"/>
        <v>4901.1499999999996</v>
      </c>
      <c r="Y258" s="2"/>
      <c r="Z258" s="6">
        <f t="shared" si="115"/>
        <v>-1.1289980765465373</v>
      </c>
    </row>
    <row r="259" spans="1:26" s="24" customFormat="1" hidden="1" outlineLevel="2" x14ac:dyDescent="0.25">
      <c r="A259" s="29"/>
      <c r="B259" s="11" t="str">
        <f>CONCATENATE("          ", "6275", " - ", "SUBSCRIPTIONS")</f>
        <v xml:space="preserve">          6275 - SUBSCRIPTIONS</v>
      </c>
      <c r="C259" s="11"/>
      <c r="D259" s="7"/>
      <c r="E259" s="2"/>
      <c r="F259" s="6">
        <f t="shared" si="108"/>
        <v>0</v>
      </c>
      <c r="G259" s="2"/>
      <c r="H259" s="7">
        <v>791.16</v>
      </c>
      <c r="I259" s="2"/>
      <c r="J259" s="6">
        <f t="shared" si="109"/>
        <v>1.8755442586283473E-4</v>
      </c>
      <c r="K259" s="2"/>
      <c r="L259" s="7">
        <f t="shared" si="110"/>
        <v>-791.16</v>
      </c>
      <c r="M259" s="2"/>
      <c r="N259" s="6">
        <f t="shared" si="111"/>
        <v>-1</v>
      </c>
      <c r="O259" s="11"/>
      <c r="P259" s="7">
        <v>84.32</v>
      </c>
      <c r="Q259" s="2"/>
      <c r="R259" s="6">
        <f t="shared" si="112"/>
        <v>3.1370209997364481E-5</v>
      </c>
      <c r="S259" s="2"/>
      <c r="T259" s="7">
        <v>1534.38</v>
      </c>
      <c r="U259" s="2"/>
      <c r="V259" s="6">
        <f t="shared" si="113"/>
        <v>2.6800428679003233E-4</v>
      </c>
      <c r="W259" s="2"/>
      <c r="X259" s="7">
        <f t="shared" si="114"/>
        <v>-1450.0600000000002</v>
      </c>
      <c r="Y259" s="2"/>
      <c r="Z259" s="6">
        <f t="shared" si="115"/>
        <v>-0.94504620758873292</v>
      </c>
    </row>
    <row r="260" spans="1:26" s="28" customFormat="1" outlineLevel="1" collapsed="1" x14ac:dyDescent="0.25">
      <c r="A260" s="27"/>
      <c r="B260" s="14" t="str">
        <f>CONCATENATE("     ","Supplies                                          ")</f>
        <v xml:space="preserve">     Supplies                                          </v>
      </c>
      <c r="C260" s="14"/>
      <c r="D260" s="1">
        <f>SUM(OSRRefD22_22x_0)</f>
        <v>34496.480000000003</v>
      </c>
      <c r="E260" s="1"/>
      <c r="F260" s="5">
        <f t="shared" ref="F260:F269" si="116">IF(D$12=0,0,D260/D$12)</f>
        <v>1.5602261835155685E-2</v>
      </c>
      <c r="G260" s="1"/>
      <c r="H260" s="1">
        <f>SUM(OSRRefH22_22x_0)</f>
        <v>57214.96</v>
      </c>
      <c r="I260" s="1"/>
      <c r="J260" s="5">
        <f t="shared" ref="J260:J269" si="117">IF(H$12=0,0,H260/H$12)</f>
        <v>1.35635256756725E-2</v>
      </c>
      <c r="K260" s="1"/>
      <c r="L260" s="1">
        <f t="shared" ref="L260:L269" si="118">+D260-H260</f>
        <v>-22718.479999999996</v>
      </c>
      <c r="M260" s="1"/>
      <c r="N260" s="5">
        <f t="shared" ref="N260:N269" si="119">IF(H260=0,0,L260/H260)</f>
        <v>-0.3970723740783878</v>
      </c>
      <c r="O260" s="14"/>
      <c r="P260" s="1">
        <f>SUM(OSRRefP22_22x_0)</f>
        <v>54339.040000000001</v>
      </c>
      <c r="Q260" s="1"/>
      <c r="R260" s="5">
        <f t="shared" ref="R260:R269" si="120">IF(P$12=0,0,P260/P$12)</f>
        <v>2.0216165747808216E-2</v>
      </c>
      <c r="S260" s="1"/>
      <c r="T260" s="1">
        <f>SUM(OSRRefT22_22x_0)</f>
        <v>131577.19</v>
      </c>
      <c r="U260" s="1"/>
      <c r="V260" s="5">
        <f t="shared" ref="V260:V269" si="121">IF(T$12=0,0,T260/T$12)</f>
        <v>2.2982084596896837E-2</v>
      </c>
      <c r="W260" s="1"/>
      <c r="X260" s="1">
        <f t="shared" ref="X260:X269" si="122">+P260-T260</f>
        <v>-77238.149999999994</v>
      </c>
      <c r="Y260" s="1"/>
      <c r="Z260" s="5">
        <f t="shared" ref="Z260:Z269" si="123">IF(T260=0,0,X260/T260)</f>
        <v>-0.58701778020947237</v>
      </c>
    </row>
    <row r="261" spans="1:26" s="24" customFormat="1" hidden="1" outlineLevel="2" x14ac:dyDescent="0.25">
      <c r="A261" s="29"/>
      <c r="B261" s="11" t="str">
        <f>CONCATENATE("          ", "6234", " - ", "EXPENDABLE SUPPLIES &amp; EQUIPMEN")</f>
        <v xml:space="preserve">          6234 - EXPENDABLE SUPPLIES &amp; EQUIPMEN</v>
      </c>
      <c r="C261" s="11"/>
      <c r="D261" s="7">
        <v>255.78</v>
      </c>
      <c r="E261" s="2"/>
      <c r="F261" s="6">
        <f t="shared" si="116"/>
        <v>1.1568561581344302E-4</v>
      </c>
      <c r="G261" s="2"/>
      <c r="H261" s="7">
        <v>2491.5300000000002</v>
      </c>
      <c r="I261" s="2"/>
      <c r="J261" s="6">
        <f t="shared" si="117"/>
        <v>5.9064851442189781E-4</v>
      </c>
      <c r="K261" s="2"/>
      <c r="L261" s="7">
        <f t="shared" si="118"/>
        <v>-2235.75</v>
      </c>
      <c r="M261" s="2"/>
      <c r="N261" s="6">
        <f t="shared" si="119"/>
        <v>-0.89734018855883724</v>
      </c>
      <c r="O261" s="11"/>
      <c r="P261" s="7">
        <v>255.78</v>
      </c>
      <c r="Q261" s="2"/>
      <c r="R261" s="6">
        <f t="shared" si="120"/>
        <v>9.5159776009557504E-5</v>
      </c>
      <c r="S261" s="2"/>
      <c r="T261" s="7">
        <v>3193.61</v>
      </c>
      <c r="U261" s="2"/>
      <c r="V261" s="6">
        <f t="shared" si="121"/>
        <v>5.5781564562593035E-4</v>
      </c>
      <c r="W261" s="2"/>
      <c r="X261" s="7">
        <f t="shared" si="122"/>
        <v>-2937.83</v>
      </c>
      <c r="Y261" s="2"/>
      <c r="Z261" s="6">
        <f t="shared" si="123"/>
        <v>-0.91990881792078549</v>
      </c>
    </row>
    <row r="262" spans="1:26" s="24" customFormat="1" hidden="1" outlineLevel="2" x14ac:dyDescent="0.25">
      <c r="A262" s="29"/>
      <c r="B262" s="11" t="str">
        <f>CONCATENATE("          ", "6235", " - ", "COVID-19 EXPENSES")</f>
        <v xml:space="preserve">          6235 - COVID-19 EXPENSES</v>
      </c>
      <c r="C262" s="11"/>
      <c r="D262" s="7">
        <v>9615.5400000000009</v>
      </c>
      <c r="E262" s="2"/>
      <c r="F262" s="6">
        <f t="shared" si="116"/>
        <v>4.3489704678973881E-3</v>
      </c>
      <c r="G262" s="2"/>
      <c r="H262" s="7"/>
      <c r="I262" s="2"/>
      <c r="J262" s="6">
        <f t="shared" si="117"/>
        <v>0</v>
      </c>
      <c r="K262" s="2"/>
      <c r="L262" s="7">
        <f t="shared" si="118"/>
        <v>9615.5400000000009</v>
      </c>
      <c r="M262" s="2"/>
      <c r="N262" s="6">
        <f t="shared" si="119"/>
        <v>0</v>
      </c>
      <c r="O262" s="11"/>
      <c r="P262" s="7">
        <v>22004.98</v>
      </c>
      <c r="Q262" s="2"/>
      <c r="R262" s="6">
        <f t="shared" si="120"/>
        <v>8.1866798338212244E-3</v>
      </c>
      <c r="S262" s="2"/>
      <c r="T262" s="7"/>
      <c r="U262" s="2"/>
      <c r="V262" s="6">
        <f t="shared" si="121"/>
        <v>0</v>
      </c>
      <c r="W262" s="2"/>
      <c r="X262" s="7">
        <f t="shared" si="122"/>
        <v>22004.98</v>
      </c>
      <c r="Y262" s="2"/>
      <c r="Z262" s="6">
        <f t="shared" si="123"/>
        <v>0</v>
      </c>
    </row>
    <row r="263" spans="1:26" s="24" customFormat="1" hidden="1" outlineLevel="2" x14ac:dyDescent="0.25">
      <c r="A263" s="29"/>
      <c r="B263" s="11" t="str">
        <f>CONCATENATE("          ", "6237", " - ", "JANITORIAL SUPPLIES")</f>
        <v xml:space="preserve">          6237 - JANITORIAL SUPPLIES</v>
      </c>
      <c r="C263" s="11"/>
      <c r="D263" s="7">
        <v>1416.91</v>
      </c>
      <c r="E263" s="2"/>
      <c r="F263" s="6">
        <f t="shared" si="116"/>
        <v>6.408480174455608E-4</v>
      </c>
      <c r="G263" s="2"/>
      <c r="H263" s="7">
        <v>13111.33</v>
      </c>
      <c r="I263" s="2"/>
      <c r="J263" s="6">
        <f t="shared" si="117"/>
        <v>3.1082056353306047E-3</v>
      </c>
      <c r="K263" s="2"/>
      <c r="L263" s="7">
        <f t="shared" si="118"/>
        <v>-11694.42</v>
      </c>
      <c r="M263" s="2"/>
      <c r="N263" s="6">
        <f t="shared" si="119"/>
        <v>-0.89193239739980612</v>
      </c>
      <c r="O263" s="11"/>
      <c r="P263" s="7">
        <v>2744.26</v>
      </c>
      <c r="Q263" s="2"/>
      <c r="R263" s="6">
        <f t="shared" si="120"/>
        <v>1.0209678900304491E-3</v>
      </c>
      <c r="S263" s="2"/>
      <c r="T263" s="7">
        <v>25063.25</v>
      </c>
      <c r="U263" s="2"/>
      <c r="V263" s="6">
        <f t="shared" si="121"/>
        <v>4.3777020300644412E-3</v>
      </c>
      <c r="W263" s="2"/>
      <c r="X263" s="7">
        <f t="shared" si="122"/>
        <v>-22318.989999999998</v>
      </c>
      <c r="Y263" s="2"/>
      <c r="Z263" s="6">
        <f t="shared" si="123"/>
        <v>-0.89050661825581268</v>
      </c>
    </row>
    <row r="264" spans="1:26" s="24" customFormat="1" hidden="1" outlineLevel="2" x14ac:dyDescent="0.25">
      <c r="A264" s="29"/>
      <c r="B264" s="11" t="str">
        <f>CONCATENATE("          ", "6239", " - ", "KITCHEN SUPPLIES")</f>
        <v xml:space="preserve">          6239 - KITCHEN SUPPLIES</v>
      </c>
      <c r="C264" s="11"/>
      <c r="D264" s="7">
        <v>2324.31</v>
      </c>
      <c r="E264" s="2"/>
      <c r="F264" s="6">
        <f t="shared" si="116"/>
        <v>1.0512519887846733E-3</v>
      </c>
      <c r="G264" s="2"/>
      <c r="H264" s="7">
        <v>8964.77</v>
      </c>
      <c r="I264" s="2"/>
      <c r="J264" s="6">
        <f t="shared" si="117"/>
        <v>2.1252114494443161E-3</v>
      </c>
      <c r="K264" s="2"/>
      <c r="L264" s="7">
        <f t="shared" si="118"/>
        <v>-6640.4600000000009</v>
      </c>
      <c r="M264" s="2"/>
      <c r="N264" s="6">
        <f t="shared" si="119"/>
        <v>-0.7407284291733085</v>
      </c>
      <c r="O264" s="11"/>
      <c r="P264" s="7">
        <v>2374.31</v>
      </c>
      <c r="Q264" s="2"/>
      <c r="R264" s="6">
        <f t="shared" si="120"/>
        <v>8.8333258181739181E-4</v>
      </c>
      <c r="S264" s="2"/>
      <c r="T264" s="7">
        <v>16217.270000000002</v>
      </c>
      <c r="U264" s="2"/>
      <c r="V264" s="6">
        <f t="shared" si="121"/>
        <v>2.8326085324570103E-3</v>
      </c>
      <c r="W264" s="2"/>
      <c r="X264" s="7">
        <f t="shared" si="122"/>
        <v>-13842.960000000003</v>
      </c>
      <c r="Y264" s="2"/>
      <c r="Z264" s="6">
        <f t="shared" si="123"/>
        <v>-0.85359373063407107</v>
      </c>
    </row>
    <row r="265" spans="1:26" s="24" customFormat="1" hidden="1" outlineLevel="2" x14ac:dyDescent="0.25">
      <c r="A265" s="29"/>
      <c r="B265" s="11" t="str">
        <f>CONCATENATE("          ", "6241", " - ", "OFFICE EXPENSE")</f>
        <v xml:space="preserve">          6241 - OFFICE EXPENSE</v>
      </c>
      <c r="C265" s="11"/>
      <c r="D265" s="7">
        <v>9177.66</v>
      </c>
      <c r="E265" s="2"/>
      <c r="F265" s="6">
        <f t="shared" si="116"/>
        <v>4.150923640731892E-3</v>
      </c>
      <c r="G265" s="2"/>
      <c r="H265" s="7">
        <v>10387.459999999999</v>
      </c>
      <c r="I265" s="2"/>
      <c r="J265" s="6">
        <f t="shared" si="117"/>
        <v>2.4624780025192896E-3</v>
      </c>
      <c r="K265" s="2"/>
      <c r="L265" s="7">
        <f t="shared" si="118"/>
        <v>-1209.7999999999993</v>
      </c>
      <c r="M265" s="2"/>
      <c r="N265" s="6">
        <f t="shared" si="119"/>
        <v>-0.11646735583097305</v>
      </c>
      <c r="O265" s="11"/>
      <c r="P265" s="7">
        <v>9667.4599999999991</v>
      </c>
      <c r="Q265" s="2"/>
      <c r="R265" s="6">
        <f t="shared" si="120"/>
        <v>3.5966585666641513E-3</v>
      </c>
      <c r="S265" s="2"/>
      <c r="T265" s="7">
        <v>51162.780000000006</v>
      </c>
      <c r="U265" s="2"/>
      <c r="V265" s="6">
        <f t="shared" si="121"/>
        <v>8.9364071247639634E-3</v>
      </c>
      <c r="W265" s="2"/>
      <c r="X265" s="7">
        <f t="shared" si="122"/>
        <v>-41495.320000000007</v>
      </c>
      <c r="Y265" s="2"/>
      <c r="Z265" s="6">
        <f t="shared" si="123"/>
        <v>-0.81104506049123992</v>
      </c>
    </row>
    <row r="266" spans="1:26" s="24" customFormat="1" hidden="1" outlineLevel="2" x14ac:dyDescent="0.25">
      <c r="A266" s="29"/>
      <c r="B266" s="11" t="str">
        <f>CONCATENATE("          ", "6243", " - ", "PAPER SUPPLIES")</f>
        <v xml:space="preserve">          6243 - PAPER SUPPLIES</v>
      </c>
      <c r="C266" s="11"/>
      <c r="D266" s="7">
        <v>5056.9799999999996</v>
      </c>
      <c r="E266" s="2"/>
      <c r="F266" s="6">
        <f t="shared" si="116"/>
        <v>2.2871993332405386E-3</v>
      </c>
      <c r="G266" s="2"/>
      <c r="H266" s="7">
        <v>11136.84</v>
      </c>
      <c r="I266" s="2"/>
      <c r="J266" s="6">
        <f t="shared" si="117"/>
        <v>2.6401279540500689E-3</v>
      </c>
      <c r="K266" s="2"/>
      <c r="L266" s="7">
        <f t="shared" si="118"/>
        <v>-6079.8600000000006</v>
      </c>
      <c r="M266" s="2"/>
      <c r="N266" s="6">
        <f t="shared" si="119"/>
        <v>-0.54592326009891501</v>
      </c>
      <c r="O266" s="11"/>
      <c r="P266" s="7">
        <v>6784.86</v>
      </c>
      <c r="Q266" s="2"/>
      <c r="R266" s="6">
        <f t="shared" si="120"/>
        <v>2.5242229957627895E-3</v>
      </c>
      <c r="S266" s="2"/>
      <c r="T266" s="7">
        <v>19733.62</v>
      </c>
      <c r="U266" s="2"/>
      <c r="V266" s="6">
        <f t="shared" si="121"/>
        <v>3.4467959396534864E-3</v>
      </c>
      <c r="W266" s="2"/>
      <c r="X266" s="7">
        <f t="shared" si="122"/>
        <v>-12948.759999999998</v>
      </c>
      <c r="Y266" s="2"/>
      <c r="Z266" s="6">
        <f t="shared" si="123"/>
        <v>-0.65617762985199868</v>
      </c>
    </row>
    <row r="267" spans="1:26" s="24" customFormat="1" hidden="1" outlineLevel="2" x14ac:dyDescent="0.25">
      <c r="A267" s="29"/>
      <c r="B267" s="11" t="str">
        <f>CONCATENATE("          ", "6245", " - ", "PRINTING")</f>
        <v xml:space="preserve">          6245 - PRINTING</v>
      </c>
      <c r="C267" s="11"/>
      <c r="D267" s="7">
        <v>1248</v>
      </c>
      <c r="E267" s="2"/>
      <c r="F267" s="6">
        <f t="shared" si="116"/>
        <v>5.6445245341769056E-4</v>
      </c>
      <c r="G267" s="2"/>
      <c r="H267" s="7">
        <v>6341.27</v>
      </c>
      <c r="I267" s="2"/>
      <c r="J267" s="6">
        <f t="shared" si="117"/>
        <v>1.5032777871621646E-3</v>
      </c>
      <c r="K267" s="2"/>
      <c r="L267" s="7">
        <f t="shared" si="118"/>
        <v>-5093.2700000000004</v>
      </c>
      <c r="M267" s="2"/>
      <c r="N267" s="6">
        <f t="shared" si="119"/>
        <v>-0.80319399741692121</v>
      </c>
      <c r="O267" s="11"/>
      <c r="P267" s="7">
        <v>-295.5</v>
      </c>
      <c r="Q267" s="2"/>
      <c r="R267" s="6">
        <f t="shared" si="120"/>
        <v>-1.0993710927681695E-4</v>
      </c>
      <c r="S267" s="2"/>
      <c r="T267" s="7">
        <v>6479.03</v>
      </c>
      <c r="U267" s="2"/>
      <c r="V267" s="6">
        <f t="shared" si="121"/>
        <v>1.131667392850026E-3</v>
      </c>
      <c r="W267" s="2"/>
      <c r="X267" s="7">
        <f t="shared" si="122"/>
        <v>-6774.53</v>
      </c>
      <c r="Y267" s="2"/>
      <c r="Z267" s="6">
        <f t="shared" si="123"/>
        <v>-1.0456086790769605</v>
      </c>
    </row>
    <row r="268" spans="1:26" s="24" customFormat="1" hidden="1" outlineLevel="2" x14ac:dyDescent="0.25">
      <c r="A268" s="29"/>
      <c r="B268" s="11" t="str">
        <f>CONCATENATE("          ", "6247", " - ", "STORE SUPPLIES")</f>
        <v xml:space="preserve">          6247 - STORE SUPPLIES</v>
      </c>
      <c r="C268" s="11"/>
      <c r="D268" s="7">
        <v>1890.32</v>
      </c>
      <c r="E268" s="2"/>
      <c r="F268" s="6">
        <f t="shared" si="116"/>
        <v>8.5496455267991078E-4</v>
      </c>
      <c r="G268" s="2"/>
      <c r="H268" s="7">
        <v>1573.12</v>
      </c>
      <c r="I268" s="2"/>
      <c r="J268" s="6">
        <f t="shared" si="117"/>
        <v>3.7292787604699753E-4</v>
      </c>
      <c r="K268" s="2"/>
      <c r="L268" s="7">
        <f t="shared" si="118"/>
        <v>317.20000000000005</v>
      </c>
      <c r="M268" s="2"/>
      <c r="N268" s="6">
        <f t="shared" si="119"/>
        <v>0.20163751017087067</v>
      </c>
      <c r="O268" s="11"/>
      <c r="P268" s="7">
        <v>7291.91</v>
      </c>
      <c r="Q268" s="2"/>
      <c r="R268" s="6">
        <f t="shared" si="120"/>
        <v>2.7128646582291519E-3</v>
      </c>
      <c r="S268" s="2"/>
      <c r="T268" s="7">
        <v>11508.9</v>
      </c>
      <c r="U268" s="2"/>
      <c r="V268" s="6">
        <f t="shared" si="121"/>
        <v>2.010215550409809E-3</v>
      </c>
      <c r="W268" s="2"/>
      <c r="X268" s="7">
        <f t="shared" si="122"/>
        <v>-4216.99</v>
      </c>
      <c r="Y268" s="2"/>
      <c r="Z268" s="6">
        <f t="shared" si="123"/>
        <v>-0.36641121219230333</v>
      </c>
    </row>
    <row r="269" spans="1:26" s="24" customFormat="1" hidden="1" outlineLevel="2" x14ac:dyDescent="0.25">
      <c r="A269" s="29"/>
      <c r="B269" s="11" t="str">
        <f>CONCATENATE("          ", "6248", " - ", "UNIFORMS")</f>
        <v xml:space="preserve">          6248 - UNIFORMS</v>
      </c>
      <c r="C269" s="11"/>
      <c r="D269" s="7">
        <v>3510.98</v>
      </c>
      <c r="E269" s="2"/>
      <c r="F269" s="6">
        <f t="shared" si="116"/>
        <v>1.5879657651445857E-3</v>
      </c>
      <c r="G269" s="2"/>
      <c r="H269" s="7">
        <v>3208.64</v>
      </c>
      <c r="I269" s="2"/>
      <c r="J269" s="6">
        <f t="shared" si="117"/>
        <v>7.6064845669716126E-4</v>
      </c>
      <c r="K269" s="2"/>
      <c r="L269" s="7">
        <f t="shared" si="118"/>
        <v>302.34000000000015</v>
      </c>
      <c r="M269" s="2"/>
      <c r="N269" s="6">
        <f t="shared" si="119"/>
        <v>9.4226837538645705E-2</v>
      </c>
      <c r="O269" s="11"/>
      <c r="P269" s="7">
        <v>3510.98</v>
      </c>
      <c r="Q269" s="2"/>
      <c r="R269" s="6">
        <f t="shared" si="120"/>
        <v>1.3062165547503175E-3</v>
      </c>
      <c r="S269" s="2"/>
      <c r="T269" s="7">
        <v>-1781.27</v>
      </c>
      <c r="U269" s="2"/>
      <c r="V269" s="6">
        <f t="shared" si="121"/>
        <v>-3.1112761892782806E-4</v>
      </c>
      <c r="W269" s="2"/>
      <c r="X269" s="7">
        <f t="shared" si="122"/>
        <v>5292.25</v>
      </c>
      <c r="Y269" s="2"/>
      <c r="Z269" s="6">
        <f t="shared" si="123"/>
        <v>-2.9710543600913955</v>
      </c>
    </row>
    <row r="270" spans="1:26" s="28" customFormat="1" outlineLevel="1" collapsed="1" x14ac:dyDescent="0.25">
      <c r="A270" s="27"/>
      <c r="B270" s="14" t="str">
        <f>CONCATENATE("     ","Telephone/Data Lines                              ")</f>
        <v xml:space="preserve">     Telephone/Data Lines                              </v>
      </c>
      <c r="C270" s="14"/>
      <c r="D270" s="1">
        <f>SUM(OSRRefD22_23x_0)</f>
        <v>4790.92</v>
      </c>
      <c r="E270" s="1"/>
      <c r="F270" s="5">
        <f t="shared" ref="F270:F272" si="124">IF(D$12=0,0,D270/D$12)</f>
        <v>2.1668642212563155E-3</v>
      </c>
      <c r="G270" s="1"/>
      <c r="H270" s="1">
        <f>SUM(OSRRefH22_23x_0)</f>
        <v>5533.95</v>
      </c>
      <c r="I270" s="1"/>
      <c r="J270" s="5">
        <f t="shared" ref="J270:J272" si="125">IF(H$12=0,0,H270/H$12)</f>
        <v>1.3118924301072279E-3</v>
      </c>
      <c r="K270" s="1"/>
      <c r="L270" s="1">
        <f t="shared" ref="L270:L272" si="126">+D270-H270</f>
        <v>-743.02999999999975</v>
      </c>
      <c r="M270" s="1"/>
      <c r="N270" s="5">
        <f t="shared" ref="N270:N272" si="127">IF(H270=0,0,L270/H270)</f>
        <v>-0.13426756656637659</v>
      </c>
      <c r="O270" s="14"/>
      <c r="P270" s="1">
        <f>SUM(OSRRefP22_23x_0)</f>
        <v>9849.0300000000007</v>
      </c>
      <c r="Q270" s="1"/>
      <c r="R270" s="5">
        <f t="shared" ref="R270:R272" si="128">IF(P$12=0,0,P270/P$12)</f>
        <v>3.664209432760232E-3</v>
      </c>
      <c r="S270" s="1"/>
      <c r="T270" s="1">
        <f>SUM(OSRRefT22_23x_0)</f>
        <v>8227.7200000000012</v>
      </c>
      <c r="U270" s="1"/>
      <c r="V270" s="5">
        <f t="shared" ref="V270:V272" si="129">IF(T$12=0,0,T270/T$12)</f>
        <v>1.4371043877710115E-3</v>
      </c>
      <c r="W270" s="1"/>
      <c r="X270" s="1">
        <f t="shared" ref="X270:X272" si="130">+P270-T270</f>
        <v>1621.3099999999995</v>
      </c>
      <c r="Y270" s="1"/>
      <c r="Z270" s="5">
        <f t="shared" ref="Z270:Z272" si="131">IF(T270=0,0,X270/T270)</f>
        <v>0.19705459106532541</v>
      </c>
    </row>
    <row r="271" spans="1:26" s="24" customFormat="1" hidden="1" outlineLevel="2" x14ac:dyDescent="0.25">
      <c r="A271" s="29"/>
      <c r="B271" s="11" t="str">
        <f>CONCATENATE("          ", "6303", " - ", "DATA PHONE LINES")</f>
        <v xml:space="preserve">          6303 - DATA PHONE LINES</v>
      </c>
      <c r="C271" s="11"/>
      <c r="D271" s="7"/>
      <c r="E271" s="2"/>
      <c r="F271" s="6">
        <f t="shared" si="124"/>
        <v>0</v>
      </c>
      <c r="G271" s="2"/>
      <c r="H271" s="7">
        <v>295</v>
      </c>
      <c r="I271" s="2"/>
      <c r="J271" s="6">
        <f t="shared" si="125"/>
        <v>6.9933459261762798E-5</v>
      </c>
      <c r="K271" s="2"/>
      <c r="L271" s="7">
        <f t="shared" si="126"/>
        <v>-295</v>
      </c>
      <c r="M271" s="2"/>
      <c r="N271" s="6">
        <f t="shared" si="127"/>
        <v>-1</v>
      </c>
      <c r="O271" s="11"/>
      <c r="P271" s="7">
        <v>295</v>
      </c>
      <c r="Q271" s="2"/>
      <c r="R271" s="6">
        <f t="shared" si="128"/>
        <v>1.0975109047939425E-4</v>
      </c>
      <c r="S271" s="2"/>
      <c r="T271" s="7">
        <v>590</v>
      </c>
      <c r="U271" s="2"/>
      <c r="V271" s="6">
        <f t="shared" si="129"/>
        <v>1.0305304370893719E-4</v>
      </c>
      <c r="W271" s="2"/>
      <c r="X271" s="7">
        <f t="shared" si="130"/>
        <v>-295</v>
      </c>
      <c r="Y271" s="2"/>
      <c r="Z271" s="6">
        <f t="shared" si="131"/>
        <v>-0.5</v>
      </c>
    </row>
    <row r="272" spans="1:26" s="24" customFormat="1" hidden="1" outlineLevel="2" x14ac:dyDescent="0.25">
      <c r="A272" s="29"/>
      <c r="B272" s="11" t="str">
        <f>CONCATENATE("          ", "6309", " - ", "TELEPHONE")</f>
        <v xml:space="preserve">          6309 - TELEPHONE</v>
      </c>
      <c r="C272" s="11"/>
      <c r="D272" s="7">
        <v>4790.92</v>
      </c>
      <c r="E272" s="2"/>
      <c r="F272" s="6">
        <f t="shared" si="124"/>
        <v>2.1668642212563155E-3</v>
      </c>
      <c r="G272" s="2"/>
      <c r="H272" s="7">
        <v>5238.95</v>
      </c>
      <c r="I272" s="2"/>
      <c r="J272" s="6">
        <f t="shared" si="125"/>
        <v>1.241958970845465E-3</v>
      </c>
      <c r="K272" s="2"/>
      <c r="L272" s="7">
        <f t="shared" si="126"/>
        <v>-448.02999999999975</v>
      </c>
      <c r="M272" s="2"/>
      <c r="N272" s="6">
        <f t="shared" si="127"/>
        <v>-8.5519044846772682E-2</v>
      </c>
      <c r="O272" s="11"/>
      <c r="P272" s="7">
        <v>9554.0300000000007</v>
      </c>
      <c r="Q272" s="2"/>
      <c r="R272" s="6">
        <f t="shared" si="128"/>
        <v>3.5544583422808377E-3</v>
      </c>
      <c r="S272" s="2"/>
      <c r="T272" s="7">
        <v>7637.72</v>
      </c>
      <c r="U272" s="2"/>
      <c r="V272" s="6">
        <f t="shared" si="129"/>
        <v>1.3340513440620743E-3</v>
      </c>
      <c r="W272" s="2"/>
      <c r="X272" s="7">
        <f t="shared" si="130"/>
        <v>1916.3100000000004</v>
      </c>
      <c r="Y272" s="2"/>
      <c r="Z272" s="6">
        <f t="shared" si="131"/>
        <v>0.25090079238306723</v>
      </c>
    </row>
    <row r="273" spans="1:26" s="28" customFormat="1" outlineLevel="1" collapsed="1" x14ac:dyDescent="0.25">
      <c r="A273" s="27"/>
      <c r="B273" s="14" t="str">
        <f>CONCATENATE("     ","Training                                          ")</f>
        <v xml:space="preserve">     Training                                          </v>
      </c>
      <c r="C273" s="14"/>
      <c r="D273" s="1">
        <f>SUM(OSRRefD22_24x_0)</f>
        <v>350</v>
      </c>
      <c r="E273" s="1"/>
      <c r="F273" s="5">
        <f t="shared" ref="F273:F278" si="132">IF(D$12=0,0,D273/D$12)</f>
        <v>1.5829996690399975E-4</v>
      </c>
      <c r="G273" s="1"/>
      <c r="H273" s="1">
        <f>SUM(OSRRefH22_24x_0)</f>
        <v>6895.76</v>
      </c>
      <c r="I273" s="1"/>
      <c r="J273" s="5">
        <f t="shared" ref="J273:J278" si="133">IF(H$12=0,0,H273/H$12)</f>
        <v>1.634726613691164E-3</v>
      </c>
      <c r="K273" s="1"/>
      <c r="L273" s="1">
        <f t="shared" ref="L273:L278" si="134">+D273-H273</f>
        <v>-6545.76</v>
      </c>
      <c r="M273" s="1"/>
      <c r="N273" s="5">
        <f t="shared" ref="N273:N278" si="135">IF(H273=0,0,L273/H273)</f>
        <v>-0.9492441732310869</v>
      </c>
      <c r="O273" s="14"/>
      <c r="P273" s="1">
        <f>SUM(OSRRefP22_24x_0)</f>
        <v>481.63</v>
      </c>
      <c r="Q273" s="1"/>
      <c r="R273" s="5">
        <f t="shared" ref="R273:R278" si="136">IF(P$12=0,0,P273/P$12)</f>
        <v>1.7918446680539204E-4</v>
      </c>
      <c r="S273" s="1"/>
      <c r="T273" s="1">
        <f>SUM(OSRRefT22_24x_0)</f>
        <v>11762.65</v>
      </c>
      <c r="U273" s="1"/>
      <c r="V273" s="5">
        <f t="shared" ref="V273:V278" si="137">IF(T$12=0,0,T273/T$12)</f>
        <v>2.0545370925134409E-3</v>
      </c>
      <c r="W273" s="1"/>
      <c r="X273" s="1">
        <f t="shared" ref="X273:X278" si="138">+P273-T273</f>
        <v>-11281.02</v>
      </c>
      <c r="Y273" s="1"/>
      <c r="Z273" s="5">
        <f t="shared" ref="Z273:Z278" si="139">IF(T273=0,0,X273/T273)</f>
        <v>-0.95905429473800552</v>
      </c>
    </row>
    <row r="274" spans="1:26" s="24" customFormat="1" hidden="1" outlineLevel="2" x14ac:dyDescent="0.25">
      <c r="A274" s="29"/>
      <c r="B274" s="11" t="str">
        <f>CONCATENATE("          ", "6376", " - ", "TRAINING")</f>
        <v xml:space="preserve">          6376 - TRAINING</v>
      </c>
      <c r="C274" s="11"/>
      <c r="D274" s="7">
        <v>350</v>
      </c>
      <c r="E274" s="2"/>
      <c r="F274" s="6">
        <f t="shared" si="132"/>
        <v>1.5829996690399975E-4</v>
      </c>
      <c r="G274" s="2"/>
      <c r="H274" s="7">
        <v>6895.76</v>
      </c>
      <c r="I274" s="2"/>
      <c r="J274" s="6">
        <f t="shared" si="133"/>
        <v>1.634726613691164E-3</v>
      </c>
      <c r="K274" s="2"/>
      <c r="L274" s="7">
        <f t="shared" si="134"/>
        <v>-6545.76</v>
      </c>
      <c r="M274" s="2"/>
      <c r="N274" s="6">
        <f t="shared" si="135"/>
        <v>-0.9492441732310869</v>
      </c>
      <c r="O274" s="11"/>
      <c r="P274" s="7">
        <v>481.63</v>
      </c>
      <c r="Q274" s="2"/>
      <c r="R274" s="6">
        <f t="shared" si="136"/>
        <v>1.7918446680539204E-4</v>
      </c>
      <c r="S274" s="2"/>
      <c r="T274" s="7">
        <v>11762.65</v>
      </c>
      <c r="U274" s="2"/>
      <c r="V274" s="6">
        <f t="shared" si="137"/>
        <v>2.0545370925134409E-3</v>
      </c>
      <c r="W274" s="2"/>
      <c r="X274" s="7">
        <f t="shared" si="138"/>
        <v>-11281.02</v>
      </c>
      <c r="Y274" s="2"/>
      <c r="Z274" s="6">
        <f t="shared" si="139"/>
        <v>-0.95905429473800552</v>
      </c>
    </row>
    <row r="275" spans="1:26" s="28" customFormat="1" outlineLevel="1" collapsed="1" x14ac:dyDescent="0.25">
      <c r="A275" s="27"/>
      <c r="B275" s="14" t="str">
        <f>CONCATENATE("     ","Travel                                            ")</f>
        <v xml:space="preserve">     Travel                                            </v>
      </c>
      <c r="C275" s="14"/>
      <c r="D275" s="1">
        <f>SUM(OSRRefD22_25x_0)</f>
        <v>25.76</v>
      </c>
      <c r="E275" s="1"/>
      <c r="F275" s="5">
        <f t="shared" si="132"/>
        <v>1.1650877564134381E-5</v>
      </c>
      <c r="G275" s="1"/>
      <c r="H275" s="1">
        <f>SUM(OSRRefH22_25x_0)</f>
        <v>391.29</v>
      </c>
      <c r="I275" s="1"/>
      <c r="J275" s="5">
        <f t="shared" si="133"/>
        <v>9.2760214489949713E-5</v>
      </c>
      <c r="K275" s="1"/>
      <c r="L275" s="1">
        <f t="shared" si="134"/>
        <v>-365.53000000000003</v>
      </c>
      <c r="M275" s="1"/>
      <c r="N275" s="5">
        <f t="shared" si="135"/>
        <v>-0.93416647499297201</v>
      </c>
      <c r="O275" s="14"/>
      <c r="P275" s="1">
        <f>SUM(OSRRefP22_25x_0)</f>
        <v>480.65999999999997</v>
      </c>
      <c r="Q275" s="1"/>
      <c r="R275" s="5">
        <f t="shared" si="136"/>
        <v>1.7882359033839199E-4</v>
      </c>
      <c r="S275" s="1"/>
      <c r="T275" s="1">
        <f>SUM(OSRRefT22_25x_0)</f>
        <v>2945.7999999999997</v>
      </c>
      <c r="U275" s="1"/>
      <c r="V275" s="5">
        <f t="shared" si="137"/>
        <v>5.1453162060641894E-4</v>
      </c>
      <c r="W275" s="1"/>
      <c r="X275" s="1">
        <f t="shared" si="138"/>
        <v>-2465.14</v>
      </c>
      <c r="Y275" s="1"/>
      <c r="Z275" s="5">
        <f t="shared" si="139"/>
        <v>-0.83683209993889607</v>
      </c>
    </row>
    <row r="276" spans="1:26" s="24" customFormat="1" hidden="1" outlineLevel="2" x14ac:dyDescent="0.25">
      <c r="A276" s="29"/>
      <c r="B276" s="11" t="str">
        <f>CONCATENATE("          ", "6292", " - ", "TRAVEL/CONFERENCE")</f>
        <v xml:space="preserve">          6292 - TRAVEL/CONFERENCE</v>
      </c>
      <c r="C276" s="11"/>
      <c r="D276" s="7"/>
      <c r="E276" s="2"/>
      <c r="F276" s="6">
        <f t="shared" si="132"/>
        <v>0</v>
      </c>
      <c r="G276" s="2"/>
      <c r="H276" s="7">
        <v>260.52</v>
      </c>
      <c r="I276" s="2"/>
      <c r="J276" s="6">
        <f t="shared" si="133"/>
        <v>6.1759541718218449E-5</v>
      </c>
      <c r="K276" s="2"/>
      <c r="L276" s="7">
        <f t="shared" si="134"/>
        <v>-260.52</v>
      </c>
      <c r="M276" s="2"/>
      <c r="N276" s="6">
        <f t="shared" si="135"/>
        <v>-1</v>
      </c>
      <c r="O276" s="11"/>
      <c r="P276" s="7">
        <v>0.16</v>
      </c>
      <c r="Q276" s="2"/>
      <c r="R276" s="6">
        <f t="shared" si="136"/>
        <v>5.9526015175264684E-8</v>
      </c>
      <c r="S276" s="2"/>
      <c r="T276" s="7">
        <v>2484.7399999999998</v>
      </c>
      <c r="U276" s="2"/>
      <c r="V276" s="6">
        <f t="shared" si="137"/>
        <v>4.3400003360227898E-4</v>
      </c>
      <c r="W276" s="2"/>
      <c r="X276" s="7">
        <f t="shared" si="138"/>
        <v>-2484.58</v>
      </c>
      <c r="Y276" s="2"/>
      <c r="Z276" s="6">
        <f t="shared" si="139"/>
        <v>-0.99993560694479111</v>
      </c>
    </row>
    <row r="277" spans="1:26" s="24" customFormat="1" hidden="1" outlineLevel="2" x14ac:dyDescent="0.25">
      <c r="A277" s="29"/>
      <c r="B277" s="11" t="str">
        <f>CONCATENATE("          ", "6294", " - ", "TRAVEL OPERATIONAL")</f>
        <v xml:space="preserve">          6294 - TRAVEL OPERATIONAL</v>
      </c>
      <c r="C277" s="11"/>
      <c r="D277" s="7">
        <v>25.76</v>
      </c>
      <c r="E277" s="2"/>
      <c r="F277" s="6">
        <f t="shared" si="132"/>
        <v>1.1650877564134381E-5</v>
      </c>
      <c r="G277" s="2"/>
      <c r="H277" s="7">
        <v>68.67</v>
      </c>
      <c r="I277" s="2"/>
      <c r="J277" s="6">
        <f t="shared" si="133"/>
        <v>1.6279086940695767E-5</v>
      </c>
      <c r="K277" s="2"/>
      <c r="L277" s="7">
        <f t="shared" si="134"/>
        <v>-42.91</v>
      </c>
      <c r="M277" s="2"/>
      <c r="N277" s="6">
        <f t="shared" si="135"/>
        <v>-0.62487257900101933</v>
      </c>
      <c r="O277" s="11"/>
      <c r="P277" s="7">
        <v>240.92</v>
      </c>
      <c r="Q277" s="2"/>
      <c r="R277" s="6">
        <f t="shared" si="136"/>
        <v>8.9631297350154789E-5</v>
      </c>
      <c r="S277" s="2"/>
      <c r="T277" s="7">
        <v>114.16</v>
      </c>
      <c r="U277" s="2"/>
      <c r="V277" s="6">
        <f t="shared" si="137"/>
        <v>1.9939890626800459E-5</v>
      </c>
      <c r="W277" s="2"/>
      <c r="X277" s="7">
        <f t="shared" si="138"/>
        <v>126.75999999999999</v>
      </c>
      <c r="Y277" s="2"/>
      <c r="Z277" s="6">
        <f t="shared" si="139"/>
        <v>1.1103714085494043</v>
      </c>
    </row>
    <row r="278" spans="1:26" s="24" customFormat="1" hidden="1" outlineLevel="2" x14ac:dyDescent="0.25">
      <c r="A278" s="29"/>
      <c r="B278" s="11" t="str">
        <f>CONCATENATE("          ", "6298", " - ", "VEHICLE MILEAGE")</f>
        <v xml:space="preserve">          6298 - VEHICLE MILEAGE</v>
      </c>
      <c r="C278" s="11"/>
      <c r="D278" s="7"/>
      <c r="E278" s="2"/>
      <c r="F278" s="6">
        <f t="shared" si="132"/>
        <v>0</v>
      </c>
      <c r="G278" s="2"/>
      <c r="H278" s="7">
        <v>62.1</v>
      </c>
      <c r="I278" s="2"/>
      <c r="J278" s="6">
        <f t="shared" si="133"/>
        <v>1.472158583103549E-5</v>
      </c>
      <c r="K278" s="2"/>
      <c r="L278" s="7">
        <f t="shared" si="134"/>
        <v>-62.1</v>
      </c>
      <c r="M278" s="2"/>
      <c r="N278" s="6">
        <f t="shared" si="135"/>
        <v>-1</v>
      </c>
      <c r="O278" s="11"/>
      <c r="P278" s="7">
        <v>239.58</v>
      </c>
      <c r="Q278" s="2"/>
      <c r="R278" s="6">
        <f t="shared" si="136"/>
        <v>8.9132766973061951E-5</v>
      </c>
      <c r="S278" s="2"/>
      <c r="T278" s="7">
        <v>346.9</v>
      </c>
      <c r="U278" s="2"/>
      <c r="V278" s="6">
        <f t="shared" si="137"/>
        <v>6.0591696377339511E-5</v>
      </c>
      <c r="W278" s="2"/>
      <c r="X278" s="7">
        <f t="shared" si="138"/>
        <v>-107.31999999999996</v>
      </c>
      <c r="Y278" s="2"/>
      <c r="Z278" s="6">
        <f t="shared" si="139"/>
        <v>-0.30936869414816942</v>
      </c>
    </row>
    <row r="279" spans="1:26" s="28" customFormat="1" outlineLevel="1" collapsed="1" x14ac:dyDescent="0.25">
      <c r="A279" s="27"/>
      <c r="B279" s="14" t="str">
        <f>CONCATENATE("     ","Utilities                                         ")</f>
        <v xml:space="preserve">     Utilities                                         </v>
      </c>
      <c r="C279" s="14"/>
      <c r="D279" s="1">
        <f>SUM(OSRRefD22_26x_0)</f>
        <v>8509.91</v>
      </c>
      <c r="E279" s="1"/>
      <c r="F279" s="5">
        <f t="shared" ref="F279:F280" si="140">IF(D$12=0,0,D279/D$12)</f>
        <v>3.8489099181600469E-3</v>
      </c>
      <c r="G279" s="1"/>
      <c r="H279" s="1">
        <f>SUM(OSRRefH22_26x_0)</f>
        <v>-849.1</v>
      </c>
      <c r="I279" s="1"/>
      <c r="J279" s="5">
        <f t="shared" ref="J279:J280" si="141">IF(H$12=0,0,H279/H$12)</f>
        <v>-2.0128983138699251E-4</v>
      </c>
      <c r="K279" s="1"/>
      <c r="L279" s="1">
        <f t="shared" ref="L279:L280" si="142">+D279-H279</f>
        <v>9359.01</v>
      </c>
      <c r="M279" s="1"/>
      <c r="N279" s="5">
        <f t="shared" ref="N279:N280" si="143">IF(H279=0,0,L279/H279)</f>
        <v>-11.022270639500647</v>
      </c>
      <c r="O279" s="14"/>
      <c r="P279" s="1">
        <f>SUM(OSRRefP22_26x_0)</f>
        <v>17021.37</v>
      </c>
      <c r="Q279" s="1"/>
      <c r="R279" s="5">
        <f t="shared" ref="R279:R280" si="144">IF(P$12=0,0,P279/P$12)</f>
        <v>6.3325895557737183E-3</v>
      </c>
      <c r="S279" s="1"/>
      <c r="T279" s="1">
        <f>SUM(OSRRefT22_26x_0)</f>
        <v>19436.900000000001</v>
      </c>
      <c r="U279" s="1"/>
      <c r="V279" s="5">
        <f t="shared" ref="V279:V280" si="145">IF(T$12=0,0,T279/T$12)</f>
        <v>3.3949689919766804E-3</v>
      </c>
      <c r="W279" s="1"/>
      <c r="X279" s="1">
        <f t="shared" ref="X279:X280" si="146">+P279-T279</f>
        <v>-2415.5300000000025</v>
      </c>
      <c r="Y279" s="1"/>
      <c r="Z279" s="5">
        <f t="shared" ref="Z279:Z280" si="147">IF(T279=0,0,X279/T279)</f>
        <v>-0.12427547602755595</v>
      </c>
    </row>
    <row r="280" spans="1:26" s="24" customFormat="1" hidden="1" outlineLevel="2" x14ac:dyDescent="0.25">
      <c r="A280" s="29"/>
      <c r="B280" s="11" t="str">
        <f>CONCATENATE("          ", "6274", " - ", "UTILITIES")</f>
        <v xml:space="preserve">          6274 - UTILITIES</v>
      </c>
      <c r="C280" s="11"/>
      <c r="D280" s="7">
        <v>8509.91</v>
      </c>
      <c r="E280" s="2"/>
      <c r="F280" s="6">
        <f t="shared" si="140"/>
        <v>3.8489099181600469E-3</v>
      </c>
      <c r="G280" s="2"/>
      <c r="H280" s="7">
        <v>-849.1</v>
      </c>
      <c r="I280" s="2"/>
      <c r="J280" s="6">
        <f t="shared" si="141"/>
        <v>-2.0128983138699251E-4</v>
      </c>
      <c r="K280" s="2"/>
      <c r="L280" s="7">
        <f t="shared" si="142"/>
        <v>9359.01</v>
      </c>
      <c r="M280" s="2"/>
      <c r="N280" s="6">
        <f t="shared" si="143"/>
        <v>-11.022270639500647</v>
      </c>
      <c r="O280" s="11"/>
      <c r="P280" s="7">
        <v>17021.37</v>
      </c>
      <c r="Q280" s="2"/>
      <c r="R280" s="6">
        <f t="shared" si="144"/>
        <v>6.3325895557737183E-3</v>
      </c>
      <c r="S280" s="2"/>
      <c r="T280" s="7">
        <v>19436.900000000001</v>
      </c>
      <c r="U280" s="2"/>
      <c r="V280" s="6">
        <f t="shared" si="145"/>
        <v>3.3949689919766804E-3</v>
      </c>
      <c r="W280" s="2"/>
      <c r="X280" s="7">
        <f t="shared" si="146"/>
        <v>-2415.5300000000025</v>
      </c>
      <c r="Y280" s="2"/>
      <c r="Z280" s="6">
        <f t="shared" si="147"/>
        <v>-0.12427547602755595</v>
      </c>
    </row>
    <row r="281" spans="1:26" s="52" customFormat="1" x14ac:dyDescent="0.25">
      <c r="A281" s="37"/>
      <c r="B281" s="37"/>
      <c r="C281" s="37"/>
      <c r="D281" s="1"/>
      <c r="E281" s="1"/>
      <c r="F281" s="5"/>
      <c r="G281" s="1"/>
      <c r="H281" s="1"/>
      <c r="I281" s="1"/>
      <c r="J281" s="5"/>
      <c r="K281" s="1"/>
      <c r="L281" s="1"/>
      <c r="M281" s="1"/>
      <c r="N281" s="5"/>
      <c r="O281" s="37"/>
      <c r="P281" s="1"/>
      <c r="Q281" s="1"/>
      <c r="R281" s="5"/>
      <c r="S281" s="1"/>
      <c r="T281" s="1"/>
      <c r="U281" s="1"/>
      <c r="V281" s="5"/>
      <c r="W281" s="1"/>
      <c r="X281" s="1"/>
      <c r="Y281" s="1"/>
      <c r="Z281" s="5"/>
    </row>
    <row r="282" spans="1:26" s="23" customFormat="1" collapsed="1" x14ac:dyDescent="0.25">
      <c r="A282" s="10"/>
      <c r="B282" s="25" t="s">
        <v>0</v>
      </c>
      <c r="C282" s="10"/>
      <c r="D282" s="4">
        <f>SUM(OSRRefD25x_0)</f>
        <v>57792.15</v>
      </c>
      <c r="E282" s="4"/>
      <c r="F282" s="12">
        <f t="shared" ref="F282:F293" si="148">IF(D$12=0,0,D282/D$12)</f>
        <v>2.6138558378031397E-2</v>
      </c>
      <c r="G282" s="4"/>
      <c r="H282" s="4">
        <f>SUM(OSRRefH25x_0)</f>
        <v>65307.56</v>
      </c>
      <c r="I282" s="4"/>
      <c r="J282" s="12">
        <f t="shared" ref="J282:J293" si="149">IF(H$12=0,0,H282/H$12)</f>
        <v>1.5481978260152979E-2</v>
      </c>
      <c r="K282" s="4"/>
      <c r="L282" s="4">
        <f t="shared" ref="L282:L293" si="150">+D282-H282</f>
        <v>-7515.4099999999962</v>
      </c>
      <c r="M282" s="4"/>
      <c r="N282" s="12">
        <f t="shared" ref="N282:N293" si="151">IF(H282=0,0,L282/H282)</f>
        <v>-0.11507718248852042</v>
      </c>
      <c r="O282" s="10"/>
      <c r="P282" s="4">
        <f>SUM(OSRRefP25x_0)</f>
        <v>257530.88</v>
      </c>
      <c r="Q282" s="4"/>
      <c r="R282" s="12">
        <f t="shared" ref="R282:R293" si="152">IF(P$12=0,0,P282/P$12)</f>
        <v>9.5811169193620427E-2</v>
      </c>
      <c r="S282" s="4"/>
      <c r="T282" s="4">
        <f>SUM(OSRRefT25x_0)</f>
        <v>187976.97</v>
      </c>
      <c r="U282" s="4"/>
      <c r="V282" s="12">
        <f t="shared" ref="V282:V293" si="153">IF(T$12=0,0,T282/T$12)</f>
        <v>3.2833218484209448E-2</v>
      </c>
      <c r="W282" s="4"/>
      <c r="X282" s="4">
        <f t="shared" ref="X282:X293" si="154">+P282-T282</f>
        <v>69553.91</v>
      </c>
      <c r="Y282" s="4"/>
      <c r="Z282" s="12">
        <f t="shared" ref="Z282:Z293" si="155">IF(T282=0,0,X282/T282)</f>
        <v>0.37001293296726723</v>
      </c>
    </row>
    <row r="283" spans="1:26" s="24" customFormat="1" hidden="1" outlineLevel="1" x14ac:dyDescent="0.25">
      <c r="A283" s="44"/>
      <c r="B283" s="11" t="str">
        <f>CONCATENATE("          ", "4098", " - ", "TAXABLE SALES-GRAD RENTALS")</f>
        <v xml:space="preserve">          4098 - TAXABLE SALES-GRAD RENTALS</v>
      </c>
      <c r="C283" s="11"/>
      <c r="D283" s="2">
        <f t="shared" ref="D283:D287" si="156">0</f>
        <v>0</v>
      </c>
      <c r="E283" s="2"/>
      <c r="F283" s="19">
        <f t="shared" si="148"/>
        <v>0</v>
      </c>
      <c r="G283" s="2"/>
      <c r="H283" s="2">
        <f>--1552.15</f>
        <v>1552.15</v>
      </c>
      <c r="I283" s="2"/>
      <c r="J283" s="19">
        <f t="shared" si="149"/>
        <v>3.6795667387506823E-4</v>
      </c>
      <c r="K283" s="2"/>
      <c r="L283" s="2">
        <f t="shared" si="150"/>
        <v>-1552.15</v>
      </c>
      <c r="M283" s="2"/>
      <c r="N283" s="19">
        <f t="shared" si="151"/>
        <v>-1</v>
      </c>
      <c r="O283" s="11"/>
      <c r="P283" s="2">
        <f>0</f>
        <v>0</v>
      </c>
      <c r="Q283" s="2"/>
      <c r="R283" s="19">
        <f t="shared" si="152"/>
        <v>0</v>
      </c>
      <c r="S283" s="2"/>
      <c r="T283" s="2">
        <f>--1626.85</f>
        <v>1626.85</v>
      </c>
      <c r="U283" s="2"/>
      <c r="V283" s="19">
        <f t="shared" si="153"/>
        <v>2.8415566806421096E-4</v>
      </c>
      <c r="W283" s="2"/>
      <c r="X283" s="2">
        <f t="shared" si="154"/>
        <v>-1626.85</v>
      </c>
      <c r="Y283" s="2"/>
      <c r="Z283" s="19">
        <f t="shared" si="155"/>
        <v>-1</v>
      </c>
    </row>
    <row r="284" spans="1:26" s="24" customFormat="1" hidden="1" outlineLevel="1" x14ac:dyDescent="0.25">
      <c r="A284" s="44"/>
      <c r="B284" s="11" t="str">
        <f>CONCATENATE("          ", "4187", " - ", "NON-TAXABLE SALES-COMPUTER REP")</f>
        <v xml:space="preserve">          4187 - NON-TAXABLE SALES-COMPUTER REP</v>
      </c>
      <c r="C284" s="11"/>
      <c r="D284" s="2">
        <f t="shared" si="156"/>
        <v>0</v>
      </c>
      <c r="E284" s="2"/>
      <c r="F284" s="19">
        <f t="shared" si="148"/>
        <v>0</v>
      </c>
      <c r="G284" s="2"/>
      <c r="H284" s="2">
        <f>--1700.37</f>
        <v>1700.37</v>
      </c>
      <c r="I284" s="2"/>
      <c r="J284" s="19">
        <f t="shared" si="149"/>
        <v>4.0309408855906302E-4</v>
      </c>
      <c r="K284" s="2"/>
      <c r="L284" s="2">
        <f t="shared" si="150"/>
        <v>-1700.37</v>
      </c>
      <c r="M284" s="2"/>
      <c r="N284" s="19">
        <f t="shared" si="151"/>
        <v>-1</v>
      </c>
      <c r="O284" s="11"/>
      <c r="P284" s="2">
        <f>--19.99</f>
        <v>19.989999999999998</v>
      </c>
      <c r="Q284" s="2"/>
      <c r="R284" s="19">
        <f t="shared" si="152"/>
        <v>7.4370315209596308E-6</v>
      </c>
      <c r="S284" s="2"/>
      <c r="T284" s="2">
        <f>--2482.26</f>
        <v>2482.2600000000002</v>
      </c>
      <c r="U284" s="2"/>
      <c r="V284" s="19">
        <f t="shared" si="153"/>
        <v>4.3356686148634995E-4</v>
      </c>
      <c r="W284" s="2"/>
      <c r="X284" s="2">
        <f t="shared" si="154"/>
        <v>-2462.2700000000004</v>
      </c>
      <c r="Y284" s="2"/>
      <c r="Z284" s="19">
        <f t="shared" si="155"/>
        <v>-0.99194685488224454</v>
      </c>
    </row>
    <row r="285" spans="1:26" s="24" customFormat="1" hidden="1" outlineLevel="1" x14ac:dyDescent="0.25">
      <c r="A285" s="44"/>
      <c r="B285" s="11" t="str">
        <f>CONCATENATE("          ", "4197", " - ", "NON-TAXABLE SALES-RETURNED CHE")</f>
        <v xml:space="preserve">          4197 - NON-TAXABLE SALES-RETURNED CHE</v>
      </c>
      <c r="C285" s="11"/>
      <c r="D285" s="2">
        <f t="shared" si="156"/>
        <v>0</v>
      </c>
      <c r="E285" s="2"/>
      <c r="F285" s="19">
        <f t="shared" si="148"/>
        <v>0</v>
      </c>
      <c r="G285" s="2"/>
      <c r="H285" s="2">
        <f>--30</f>
        <v>30</v>
      </c>
      <c r="I285" s="2"/>
      <c r="J285" s="19">
        <f t="shared" si="149"/>
        <v>7.1118772130606229E-6</v>
      </c>
      <c r="K285" s="2"/>
      <c r="L285" s="2">
        <f t="shared" si="150"/>
        <v>-30</v>
      </c>
      <c r="M285" s="2"/>
      <c r="N285" s="19">
        <f t="shared" si="151"/>
        <v>-1</v>
      </c>
      <c r="O285" s="11"/>
      <c r="P285" s="2">
        <f t="shared" ref="P285:P287" si="157">0</f>
        <v>0</v>
      </c>
      <c r="Q285" s="2"/>
      <c r="R285" s="19">
        <f t="shared" si="152"/>
        <v>0</v>
      </c>
      <c r="S285" s="2"/>
      <c r="T285" s="2">
        <f>--30</f>
        <v>30</v>
      </c>
      <c r="U285" s="2"/>
      <c r="V285" s="19">
        <f t="shared" si="153"/>
        <v>5.2399852733357893E-6</v>
      </c>
      <c r="W285" s="2"/>
      <c r="X285" s="2">
        <f t="shared" si="154"/>
        <v>-30</v>
      </c>
      <c r="Y285" s="2"/>
      <c r="Z285" s="19">
        <f t="shared" si="155"/>
        <v>-1</v>
      </c>
    </row>
    <row r="286" spans="1:26" s="24" customFormat="1" hidden="1" outlineLevel="1" x14ac:dyDescent="0.25">
      <c r="A286" s="44"/>
      <c r="B286" s="11" t="str">
        <f>CONCATENATE("          ", "4198", " - ", "NON-TAXABLE SALES-GRAD RENTALS")</f>
        <v xml:space="preserve">          4198 - NON-TAXABLE SALES-GRAD RENTALS</v>
      </c>
      <c r="C286" s="11"/>
      <c r="D286" s="2">
        <f t="shared" si="156"/>
        <v>0</v>
      </c>
      <c r="E286" s="2"/>
      <c r="F286" s="19">
        <f t="shared" si="148"/>
        <v>0</v>
      </c>
      <c r="G286" s="2"/>
      <c r="H286" s="2">
        <f>--210</f>
        <v>210</v>
      </c>
      <c r="I286" s="2"/>
      <c r="J286" s="19">
        <f t="shared" si="149"/>
        <v>4.9783140491424363E-5</v>
      </c>
      <c r="K286" s="2"/>
      <c r="L286" s="2">
        <f t="shared" si="150"/>
        <v>-210</v>
      </c>
      <c r="M286" s="2"/>
      <c r="N286" s="19">
        <f t="shared" si="151"/>
        <v>-1</v>
      </c>
      <c r="O286" s="11"/>
      <c r="P286" s="2">
        <f t="shared" si="157"/>
        <v>0</v>
      </c>
      <c r="Q286" s="2"/>
      <c r="R286" s="19">
        <f t="shared" si="152"/>
        <v>0</v>
      </c>
      <c r="S286" s="2"/>
      <c r="T286" s="2">
        <f>--465</f>
        <v>465</v>
      </c>
      <c r="U286" s="2"/>
      <c r="V286" s="19">
        <f t="shared" si="153"/>
        <v>8.1219771736704743E-5</v>
      </c>
      <c r="W286" s="2"/>
      <c r="X286" s="2">
        <f t="shared" si="154"/>
        <v>-465</v>
      </c>
      <c r="Y286" s="2"/>
      <c r="Z286" s="19">
        <f t="shared" si="155"/>
        <v>-1</v>
      </c>
    </row>
    <row r="287" spans="1:26" s="24" customFormat="1" hidden="1" outlineLevel="1" x14ac:dyDescent="0.25">
      <c r="A287" s="44"/>
      <c r="B287" s="11" t="str">
        <f>CONCATENATE("          ", "4387", " - ", "SALES RETURN NON TAXABLE-COMPU")</f>
        <v xml:space="preserve">          4387 - SALES RETURN NON TAXABLE-COMPU</v>
      </c>
      <c r="C287" s="11"/>
      <c r="D287" s="2">
        <f t="shared" si="156"/>
        <v>0</v>
      </c>
      <c r="E287" s="2"/>
      <c r="F287" s="19">
        <f t="shared" si="148"/>
        <v>0</v>
      </c>
      <c r="G287" s="2"/>
      <c r="H287" s="2">
        <f>-2820.7</f>
        <v>-2820.7</v>
      </c>
      <c r="I287" s="2"/>
      <c r="J287" s="19">
        <f t="shared" si="149"/>
        <v>-6.686824018293366E-4</v>
      </c>
      <c r="K287" s="2"/>
      <c r="L287" s="2">
        <f t="shared" si="150"/>
        <v>2820.7</v>
      </c>
      <c r="M287" s="2"/>
      <c r="N287" s="19">
        <f t="shared" si="151"/>
        <v>-1</v>
      </c>
      <c r="O287" s="11"/>
      <c r="P287" s="2">
        <f t="shared" si="157"/>
        <v>0</v>
      </c>
      <c r="Q287" s="2"/>
      <c r="R287" s="19">
        <f t="shared" si="152"/>
        <v>0</v>
      </c>
      <c r="S287" s="2"/>
      <c r="T287" s="2">
        <f>-3451.5</f>
        <v>-3451.5</v>
      </c>
      <c r="U287" s="2"/>
      <c r="V287" s="19">
        <f t="shared" si="153"/>
        <v>-6.0286030569728258E-4</v>
      </c>
      <c r="W287" s="2"/>
      <c r="X287" s="2">
        <f t="shared" si="154"/>
        <v>3451.5</v>
      </c>
      <c r="Y287" s="2"/>
      <c r="Z287" s="19">
        <f t="shared" si="155"/>
        <v>-1</v>
      </c>
    </row>
    <row r="288" spans="1:26" s="24" customFormat="1" hidden="1" outlineLevel="1" x14ac:dyDescent="0.25">
      <c r="A288" s="44"/>
      <c r="B288" s="11" t="str">
        <f>CONCATENATE("          ", "9150", " - ", "MISC. INCOME")</f>
        <v xml:space="preserve">          9150 - MISC. INCOME</v>
      </c>
      <c r="C288" s="11"/>
      <c r="D288" s="2">
        <f>--57093.72</f>
        <v>57093.72</v>
      </c>
      <c r="E288" s="2"/>
      <c r="F288" s="19">
        <f t="shared" si="148"/>
        <v>2.5822668532646368E-2</v>
      </c>
      <c r="G288" s="2"/>
      <c r="H288" s="2">
        <f>--35694.77</f>
        <v>35694.769999999997</v>
      </c>
      <c r="I288" s="2"/>
      <c r="J288" s="19">
        <f t="shared" si="149"/>
        <v>8.4618940462813305E-3</v>
      </c>
      <c r="K288" s="2"/>
      <c r="L288" s="2">
        <f t="shared" si="150"/>
        <v>21398.950000000004</v>
      </c>
      <c r="M288" s="2"/>
      <c r="N288" s="19">
        <f t="shared" si="151"/>
        <v>0.59949818979082947</v>
      </c>
      <c r="O288" s="11"/>
      <c r="P288" s="2">
        <f>--93110.04</f>
        <v>93110.04</v>
      </c>
      <c r="Q288" s="2"/>
      <c r="R288" s="19">
        <f t="shared" si="152"/>
        <v>3.464043533755938E-2</v>
      </c>
      <c r="S288" s="2"/>
      <c r="T288" s="2">
        <f>--148304.73</f>
        <v>148304.73000000001</v>
      </c>
      <c r="U288" s="2"/>
      <c r="V288" s="19">
        <f t="shared" si="153"/>
        <v>2.5903820038868017E-2</v>
      </c>
      <c r="W288" s="2"/>
      <c r="X288" s="2">
        <f t="shared" si="154"/>
        <v>-55194.690000000017</v>
      </c>
      <c r="Y288" s="2"/>
      <c r="Z288" s="19">
        <f t="shared" si="155"/>
        <v>-0.37217079994683927</v>
      </c>
    </row>
    <row r="289" spans="1:26" s="24" customFormat="1" hidden="1" outlineLevel="1" x14ac:dyDescent="0.25">
      <c r="A289" s="44"/>
      <c r="B289" s="11" t="str">
        <f>CONCATENATE("          ", "9151", " - ", "MISC. INCOME")</f>
        <v xml:space="preserve">          9151 - MISC. INCOME</v>
      </c>
      <c r="C289" s="11"/>
      <c r="D289" s="2">
        <f>0</f>
        <v>0</v>
      </c>
      <c r="E289" s="2"/>
      <c r="F289" s="19">
        <f t="shared" si="148"/>
        <v>0</v>
      </c>
      <c r="G289" s="2"/>
      <c r="H289" s="2">
        <f>-170.02</f>
        <v>-170.02</v>
      </c>
      <c r="I289" s="2"/>
      <c r="J289" s="19">
        <f t="shared" si="149"/>
        <v>-4.0305378792152241E-5</v>
      </c>
      <c r="K289" s="2"/>
      <c r="L289" s="2">
        <f t="shared" si="150"/>
        <v>170.02</v>
      </c>
      <c r="M289" s="2"/>
      <c r="N289" s="19">
        <f t="shared" si="151"/>
        <v>-1</v>
      </c>
      <c r="O289" s="11"/>
      <c r="P289" s="2">
        <f>0</f>
        <v>0</v>
      </c>
      <c r="Q289" s="2"/>
      <c r="R289" s="19">
        <f t="shared" si="152"/>
        <v>0</v>
      </c>
      <c r="S289" s="2"/>
      <c r="T289" s="2">
        <f>-264.51</f>
        <v>-264.51</v>
      </c>
      <c r="U289" s="2"/>
      <c r="V289" s="19">
        <f t="shared" si="153"/>
        <v>-4.6200950155001653E-5</v>
      </c>
      <c r="W289" s="2"/>
      <c r="X289" s="2">
        <f t="shared" si="154"/>
        <v>264.51</v>
      </c>
      <c r="Y289" s="2"/>
      <c r="Z289" s="19">
        <f t="shared" si="155"/>
        <v>-1</v>
      </c>
    </row>
    <row r="290" spans="1:26" s="24" customFormat="1" hidden="1" outlineLevel="1" x14ac:dyDescent="0.25">
      <c r="A290" s="44"/>
      <c r="B290" s="11" t="str">
        <f>CONCATENATE("          ", "9152", " - ", "MISC. INCOME")</f>
        <v xml:space="preserve">          9152 - MISC. INCOME</v>
      </c>
      <c r="C290" s="11"/>
      <c r="D290" s="2">
        <f>--72</f>
        <v>72</v>
      </c>
      <c r="E290" s="2"/>
      <c r="F290" s="19">
        <f t="shared" si="148"/>
        <v>3.2564564620251373E-5</v>
      </c>
      <c r="G290" s="2"/>
      <c r="H290" s="2">
        <f>--7.43</f>
        <v>7.43</v>
      </c>
      <c r="I290" s="2"/>
      <c r="J290" s="19">
        <f t="shared" si="149"/>
        <v>1.7613749231013475E-6</v>
      </c>
      <c r="K290" s="2"/>
      <c r="L290" s="2">
        <f t="shared" si="150"/>
        <v>64.569999999999993</v>
      </c>
      <c r="M290" s="2"/>
      <c r="N290" s="19">
        <f t="shared" si="151"/>
        <v>8.6904441453566612</v>
      </c>
      <c r="O290" s="11"/>
      <c r="P290" s="2">
        <f>--1546.39</f>
        <v>1546.39</v>
      </c>
      <c r="Q290" s="2"/>
      <c r="R290" s="19">
        <f t="shared" si="152"/>
        <v>5.7531521629298468E-4</v>
      </c>
      <c r="S290" s="2"/>
      <c r="T290" s="2">
        <f>--7.43</f>
        <v>7.43</v>
      </c>
      <c r="U290" s="2"/>
      <c r="V290" s="19">
        <f t="shared" si="153"/>
        <v>1.2977696860294971E-6</v>
      </c>
      <c r="W290" s="2"/>
      <c r="X290" s="2">
        <f t="shared" si="154"/>
        <v>1538.96</v>
      </c>
      <c r="Y290" s="2"/>
      <c r="Z290" s="19">
        <f t="shared" si="155"/>
        <v>207.12786002691792</v>
      </c>
    </row>
    <row r="291" spans="1:26" s="24" customFormat="1" hidden="1" outlineLevel="1" x14ac:dyDescent="0.25">
      <c r="A291" s="44"/>
      <c r="B291" s="11" t="str">
        <f>CONCATENATE("          ", "9160", " - ", "MISC. INCOME")</f>
        <v xml:space="preserve">          9160 - MISC. INCOME</v>
      </c>
      <c r="C291" s="11"/>
      <c r="D291" s="2">
        <f>--626.43</f>
        <v>626.42999999999995</v>
      </c>
      <c r="E291" s="2"/>
      <c r="F291" s="19">
        <f t="shared" si="148"/>
        <v>2.8332528076477874E-4</v>
      </c>
      <c r="G291" s="2"/>
      <c r="H291" s="2">
        <f>--26151.17</f>
        <v>26151.17</v>
      </c>
      <c r="I291" s="2"/>
      <c r="J291" s="19">
        <f t="shared" si="149"/>
        <v>6.1994636672624854E-3</v>
      </c>
      <c r="K291" s="2"/>
      <c r="L291" s="2">
        <f t="shared" si="150"/>
        <v>-25524.739999999998</v>
      </c>
      <c r="M291" s="2"/>
      <c r="N291" s="19">
        <f t="shared" si="151"/>
        <v>-0.97604581362898868</v>
      </c>
      <c r="O291" s="11"/>
      <c r="P291" s="2">
        <f>--1990.06</f>
        <v>1990.06</v>
      </c>
      <c r="Q291" s="2"/>
      <c r="R291" s="19">
        <f t="shared" si="152"/>
        <v>7.4037713599804514E-4</v>
      </c>
      <c r="S291" s="2"/>
      <c r="T291" s="2">
        <f>--32143.27</f>
        <v>32143.27</v>
      </c>
      <c r="U291" s="2"/>
      <c r="V291" s="19">
        <f t="shared" si="153"/>
        <v>5.614342047895203E-3</v>
      </c>
      <c r="W291" s="2"/>
      <c r="X291" s="2">
        <f t="shared" si="154"/>
        <v>-30153.21</v>
      </c>
      <c r="Y291" s="2"/>
      <c r="Z291" s="19">
        <f t="shared" si="155"/>
        <v>-0.9380878174498114</v>
      </c>
    </row>
    <row r="292" spans="1:26" s="24" customFormat="1" hidden="1" outlineLevel="1" x14ac:dyDescent="0.25">
      <c r="A292" s="44"/>
      <c r="B292" s="11" t="str">
        <f>CONCATENATE("          ", "9163", " - ", "MISC. INCOME")</f>
        <v xml:space="preserve">          9163 - MISC. INCOME</v>
      </c>
      <c r="C292" s="11"/>
      <c r="D292" s="2">
        <f t="shared" ref="D292:D293" si="158">0</f>
        <v>0</v>
      </c>
      <c r="E292" s="2"/>
      <c r="F292" s="19">
        <f t="shared" si="148"/>
        <v>0</v>
      </c>
      <c r="G292" s="2"/>
      <c r="H292" s="2">
        <f>0</f>
        <v>0</v>
      </c>
      <c r="I292" s="2"/>
      <c r="J292" s="19">
        <f t="shared" si="149"/>
        <v>0</v>
      </c>
      <c r="K292" s="2"/>
      <c r="L292" s="2">
        <f t="shared" si="150"/>
        <v>0</v>
      </c>
      <c r="M292" s="2"/>
      <c r="N292" s="19">
        <f t="shared" si="151"/>
        <v>0</v>
      </c>
      <c r="O292" s="11"/>
      <c r="P292" s="2">
        <f>--160663.9</f>
        <v>160663.9</v>
      </c>
      <c r="Q292" s="2"/>
      <c r="R292" s="19">
        <f t="shared" si="152"/>
        <v>5.9773010934482541E-2</v>
      </c>
      <c r="S292" s="2"/>
      <c r="T292" s="2">
        <f>0</f>
        <v>0</v>
      </c>
      <c r="U292" s="2"/>
      <c r="V292" s="19">
        <f t="shared" si="153"/>
        <v>0</v>
      </c>
      <c r="W292" s="2"/>
      <c r="X292" s="2">
        <f t="shared" si="154"/>
        <v>160663.9</v>
      </c>
      <c r="Y292" s="2"/>
      <c r="Z292" s="19">
        <f t="shared" si="155"/>
        <v>0</v>
      </c>
    </row>
    <row r="293" spans="1:26" s="24" customFormat="1" hidden="1" outlineLevel="1" x14ac:dyDescent="0.25">
      <c r="A293" s="44"/>
      <c r="B293" s="11" t="str">
        <f>CONCATENATE("          ", "9165", " - ", "OTHER INCOME")</f>
        <v xml:space="preserve">          9165 - OTHER INCOME</v>
      </c>
      <c r="C293" s="11"/>
      <c r="D293" s="2">
        <f t="shared" si="158"/>
        <v>0</v>
      </c>
      <c r="E293" s="2"/>
      <c r="F293" s="19">
        <f t="shared" si="148"/>
        <v>0</v>
      </c>
      <c r="G293" s="2"/>
      <c r="H293" s="2">
        <f>--2952.39</f>
        <v>2952.39</v>
      </c>
      <c r="I293" s="2"/>
      <c r="J293" s="19">
        <f t="shared" si="149"/>
        <v>6.9990117216893509E-4</v>
      </c>
      <c r="K293" s="2"/>
      <c r="L293" s="2">
        <f t="shared" si="150"/>
        <v>-2952.39</v>
      </c>
      <c r="M293" s="2"/>
      <c r="N293" s="19">
        <f t="shared" si="151"/>
        <v>-1</v>
      </c>
      <c r="O293" s="11"/>
      <c r="P293" s="2">
        <f>--200.5</f>
        <v>200.5</v>
      </c>
      <c r="Q293" s="2"/>
      <c r="R293" s="19">
        <f t="shared" si="152"/>
        <v>7.4593537766503551E-5</v>
      </c>
      <c r="S293" s="2"/>
      <c r="T293" s="2">
        <f>--6633.44</f>
        <v>6633.44</v>
      </c>
      <c r="U293" s="2"/>
      <c r="V293" s="19">
        <f t="shared" si="153"/>
        <v>1.1586375970518853E-3</v>
      </c>
      <c r="W293" s="2"/>
      <c r="X293" s="2">
        <f t="shared" si="154"/>
        <v>-6432.94</v>
      </c>
      <c r="Y293" s="2"/>
      <c r="Z293" s="19">
        <f t="shared" si="155"/>
        <v>-0.9697743553872501</v>
      </c>
    </row>
    <row r="294" spans="1:26" x14ac:dyDescent="0.25">
      <c r="A294" s="9"/>
      <c r="B294" s="10"/>
      <c r="C294" s="10"/>
      <c r="D294" s="3"/>
      <c r="E294" s="3"/>
      <c r="F294" s="8"/>
      <c r="G294" s="3"/>
      <c r="H294" s="3"/>
      <c r="I294" s="3"/>
      <c r="J294" s="8"/>
      <c r="K294" s="3"/>
      <c r="L294" s="3"/>
      <c r="M294" s="3"/>
      <c r="N294" s="8"/>
      <c r="O294" s="10"/>
      <c r="P294" s="3"/>
      <c r="Q294" s="3"/>
      <c r="R294" s="8"/>
      <c r="S294" s="3"/>
      <c r="T294" s="3"/>
      <c r="U294" s="3"/>
      <c r="V294" s="8"/>
      <c r="W294" s="3"/>
      <c r="X294" s="3"/>
      <c r="Y294" s="3"/>
      <c r="Z294" s="8"/>
    </row>
    <row r="295" spans="1:26" s="23" customFormat="1" x14ac:dyDescent="0.25">
      <c r="A295" s="10"/>
      <c r="B295" s="26" t="s">
        <v>3</v>
      </c>
      <c r="C295" s="26"/>
      <c r="D295" s="22">
        <f>+D183-D185+D282</f>
        <v>51590.330000000053</v>
      </c>
      <c r="E295" s="13"/>
      <c r="F295" s="21">
        <f>IF(D$12=0,0,D295/D$12)</f>
        <v>2.3333564375904097E-2</v>
      </c>
      <c r="G295" s="13"/>
      <c r="H295" s="22">
        <f>+H183-H185+H282</f>
        <v>389926.99999999575</v>
      </c>
      <c r="I295" s="13"/>
      <c r="J295" s="21">
        <f>IF(H$12=0,0,H295/H$12)</f>
        <v>9.2437098201901977E-2</v>
      </c>
      <c r="K295" s="16"/>
      <c r="L295" s="22">
        <f>+D295-H295</f>
        <v>-338336.66999999568</v>
      </c>
      <c r="M295" s="16"/>
      <c r="N295" s="21">
        <f>IF(H295=0,0,L295/H295)</f>
        <v>-0.86769233728364381</v>
      </c>
      <c r="O295" s="25"/>
      <c r="P295" s="22">
        <f>+P183-P185+P282</f>
        <v>-308463.36000000022</v>
      </c>
      <c r="Q295" s="13"/>
      <c r="R295" s="21">
        <f>IF(P$12=0,0,P295/P$12)</f>
        <v>-0.11475996655233216</v>
      </c>
      <c r="S295" s="13"/>
      <c r="T295" s="22">
        <f>+T183-T185+T282</f>
        <v>-82689.020000001619</v>
      </c>
      <c r="U295" s="13"/>
      <c r="V295" s="21">
        <f>IF(T$12=0,0,T295/T$12)</f>
        <v>-1.4442974902219236E-2</v>
      </c>
      <c r="W295" s="16"/>
      <c r="X295" s="22">
        <f>+P295-T295</f>
        <v>-225774.3399999986</v>
      </c>
      <c r="Y295" s="16"/>
      <c r="Z295" s="21">
        <f>IF(T295=0,0,X295/T295)</f>
        <v>2.7304028999254579</v>
      </c>
    </row>
    <row r="296" spans="1:26" x14ac:dyDescent="0.25">
      <c r="A296" s="9"/>
      <c r="B296" s="10"/>
      <c r="C296" s="9"/>
      <c r="D296" s="3"/>
      <c r="E296" s="3"/>
      <c r="F296" s="8"/>
      <c r="G296" s="3"/>
      <c r="H296" s="3"/>
      <c r="I296" s="3"/>
      <c r="J296" s="8"/>
      <c r="K296" s="3"/>
      <c r="L296" s="3"/>
      <c r="M296" s="3"/>
      <c r="N296" s="8"/>
      <c r="P296" s="3"/>
      <c r="Q296" s="3"/>
      <c r="R296" s="8"/>
      <c r="S296" s="3"/>
      <c r="T296" s="3"/>
      <c r="U296" s="3"/>
      <c r="V296" s="8"/>
      <c r="W296" s="3"/>
      <c r="X296" s="3"/>
      <c r="Y296" s="3"/>
      <c r="Z296" s="8"/>
    </row>
    <row r="297" spans="1:26" s="23" customFormat="1" x14ac:dyDescent="0.25">
      <c r="A297" s="51"/>
      <c r="B297" s="10" t="s">
        <v>13</v>
      </c>
      <c r="C297" s="10"/>
      <c r="D297" s="4">
        <v>219113.02</v>
      </c>
      <c r="E297" s="4"/>
      <c r="F297" s="12">
        <f>IF(D$12=0,0,D297/D$12)</f>
        <v>9.9101668040672664E-2</v>
      </c>
      <c r="G297" s="4"/>
      <c r="H297" s="4">
        <v>400497.59</v>
      </c>
      <c r="I297" s="4"/>
      <c r="J297" s="12">
        <f>IF(H$12=0,0,H297/H$12)</f>
        <v>9.4942989473556547E-2</v>
      </c>
      <c r="K297" s="4"/>
      <c r="L297" s="4">
        <f>+D297-H297</f>
        <v>-181384.57000000004</v>
      </c>
      <c r="M297" s="4"/>
      <c r="N297" s="12">
        <f>IF(H297=0,0,L297/H297)</f>
        <v>-0.45289803117167327</v>
      </c>
      <c r="O297" s="10"/>
      <c r="P297" s="4">
        <v>453816.26</v>
      </c>
      <c r="Q297" s="4"/>
      <c r="R297" s="12">
        <f>IF(P$12=0,0,P297/P$12)</f>
        <v>0.16883670987213664</v>
      </c>
      <c r="S297" s="4"/>
      <c r="T297" s="4">
        <v>713828.86</v>
      </c>
      <c r="U297" s="4"/>
      <c r="V297" s="12">
        <f>IF(T$12=0,0,T297/T$12)</f>
        <v>0.12468175713606916</v>
      </c>
      <c r="W297" s="4"/>
      <c r="X297" s="4">
        <f>+P297-T297</f>
        <v>-260012.59999999998</v>
      </c>
      <c r="Y297" s="4"/>
      <c r="Z297" s="12">
        <f>IF(T297=0,0,X297/T297)</f>
        <v>-0.36425061323522279</v>
      </c>
    </row>
    <row r="298" spans="1:26" x14ac:dyDescent="0.25">
      <c r="A298" s="9"/>
      <c r="B298" s="10"/>
      <c r="C298" s="10"/>
      <c r="D298" s="3"/>
      <c r="E298" s="3"/>
      <c r="F298" s="8"/>
      <c r="G298" s="3"/>
      <c r="H298" s="3"/>
      <c r="I298" s="3"/>
      <c r="J298" s="8"/>
      <c r="K298" s="3"/>
      <c r="L298" s="3"/>
      <c r="M298" s="3"/>
      <c r="N298" s="8"/>
      <c r="O298" s="10"/>
      <c r="P298" s="3"/>
      <c r="Q298" s="3"/>
      <c r="R298" s="8"/>
      <c r="S298" s="3"/>
      <c r="T298" s="3"/>
      <c r="U298" s="3"/>
      <c r="V298" s="8"/>
      <c r="W298" s="3"/>
      <c r="X298" s="3"/>
      <c r="Y298" s="3"/>
      <c r="Z298" s="8"/>
    </row>
    <row r="299" spans="1:26" s="23" customFormat="1" ht="15.75" thickBot="1" x14ac:dyDescent="0.3">
      <c r="A299" s="10"/>
      <c r="B299" s="26" t="s">
        <v>4</v>
      </c>
      <c r="C299" s="26"/>
      <c r="D299" s="36">
        <f>+D295-D297</f>
        <v>-167522.68999999994</v>
      </c>
      <c r="E299" s="13"/>
      <c r="F299" s="34">
        <f>IF(D$12=0,0,D299/D$12)</f>
        <v>-7.5768103664768577E-2</v>
      </c>
      <c r="G299" s="13"/>
      <c r="H299" s="36">
        <f>+H295-H297</f>
        <v>-10570.590000004275</v>
      </c>
      <c r="I299" s="13"/>
      <c r="J299" s="34">
        <f>IF(H$12=0,0,H299/H$12)</f>
        <v>-2.5058912716545631E-3</v>
      </c>
      <c r="K299" s="16"/>
      <c r="L299" s="36">
        <f>D299-H299</f>
        <v>-156952.09999999567</v>
      </c>
      <c r="M299" s="16"/>
      <c r="N299" s="34">
        <f>IF(H299=0,0,L299/H299)</f>
        <v>14.847998077678938</v>
      </c>
      <c r="O299" s="25"/>
      <c r="P299" s="36">
        <f>+P295-P297</f>
        <v>-762279.62000000023</v>
      </c>
      <c r="Q299" s="13"/>
      <c r="R299" s="34">
        <f>IF(P$12=0,0,P299/P$12)</f>
        <v>-0.28359667642446879</v>
      </c>
      <c r="S299" s="13"/>
      <c r="T299" s="36">
        <f>+T295-T297</f>
        <v>-796517.88000000163</v>
      </c>
      <c r="U299" s="13"/>
      <c r="V299" s="34">
        <f>IF(T$12=0,0,T299/T$12)</f>
        <v>-0.1391247320382884</v>
      </c>
      <c r="W299" s="16"/>
      <c r="X299" s="36">
        <f>P299-T299</f>
        <v>34238.260000001406</v>
      </c>
      <c r="Y299" s="16"/>
      <c r="Z299" s="34">
        <f>IF(T299=0,0,X299/T299)</f>
        <v>-4.2984923326518841E-2</v>
      </c>
    </row>
    <row r="300" spans="1:26" ht="15.75" thickTop="1" x14ac:dyDescent="0.25">
      <c r="A300" s="9"/>
      <c r="B300" s="9"/>
      <c r="C300" s="9"/>
      <c r="D300" s="3"/>
      <c r="E300" s="3"/>
      <c r="F300" s="8"/>
      <c r="G300" s="3"/>
      <c r="H300" s="3"/>
      <c r="I300" s="3"/>
      <c r="J300" s="8"/>
      <c r="K300" s="3"/>
      <c r="L300" s="3"/>
      <c r="M300" s="3"/>
      <c r="N300" s="8"/>
      <c r="P300" s="3"/>
      <c r="Q300" s="3"/>
      <c r="R300" s="8"/>
      <c r="S300" s="3"/>
      <c r="T300" s="3"/>
      <c r="U300" s="3"/>
      <c r="V300" s="8"/>
      <c r="W300" s="3"/>
      <c r="X300" s="3"/>
      <c r="Y300" s="3"/>
      <c r="Z300" s="8"/>
    </row>
    <row r="301" spans="1:26" s="23" customFormat="1" x14ac:dyDescent="0.25">
      <c r="A301" s="51"/>
      <c r="B301" s="10" t="s">
        <v>2</v>
      </c>
      <c r="C301" s="10"/>
      <c r="D301" s="4">
        <f>--487459.55</f>
        <v>487459.55</v>
      </c>
      <c r="E301" s="4"/>
      <c r="F301" s="12">
        <f t="shared" ref="F301:F302" si="159">IF(D$12=0,0,D301/D$12)</f>
        <v>0.22047094466296743</v>
      </c>
      <c r="G301" s="4"/>
      <c r="H301" s="4">
        <f>-209613.95</f>
        <v>-209613.95</v>
      </c>
      <c r="I301" s="4"/>
      <c r="J301" s="12">
        <f t="shared" ref="J301:J302" si="160">IF(H$12=0,0,H301/H$12)</f>
        <v>-4.9691622484820959E-2</v>
      </c>
      <c r="K301" s="4"/>
      <c r="L301" s="4">
        <f t="shared" ref="L301:L302" si="161">+D301-H301</f>
        <v>697073.5</v>
      </c>
      <c r="M301" s="4"/>
      <c r="N301" s="12">
        <f t="shared" ref="N301:N302" si="162">IF(H301=0,0,L301/H301)</f>
        <v>-3.3255110168001698</v>
      </c>
      <c r="O301" s="10"/>
      <c r="P301" s="4">
        <f>--951342.71</f>
        <v>951342.71</v>
      </c>
      <c r="Q301" s="4"/>
      <c r="R301" s="12">
        <f t="shared" ref="R301:R302" si="163">IF(P$12=0,0,P301/P$12)</f>
        <v>0.35393525370210888</v>
      </c>
      <c r="S301" s="4"/>
      <c r="T301" s="4">
        <f>-180605.81</f>
        <v>-180605.81</v>
      </c>
      <c r="U301" s="4"/>
      <c r="V301" s="12">
        <f t="shared" ref="V301:V302" si="164">IF(T$12=0,0,T301/T$12)</f>
        <v>-3.1545726155962725E-2</v>
      </c>
      <c r="W301" s="4"/>
      <c r="X301" s="4">
        <f t="shared" ref="X301:X302" si="165">+P301-T301</f>
        <v>1131948.52</v>
      </c>
      <c r="Y301" s="4"/>
      <c r="Z301" s="12">
        <f t="shared" ref="Z301:Z302" si="166">IF(T301=0,0,X301/T301)</f>
        <v>-6.2675088913252575</v>
      </c>
    </row>
    <row r="302" spans="1:26" s="23" customFormat="1" x14ac:dyDescent="0.25">
      <c r="A302" s="51"/>
      <c r="B302" s="10" t="s">
        <v>1</v>
      </c>
      <c r="C302" s="10"/>
      <c r="D302" s="4">
        <f>--25064.99</f>
        <v>25064.99</v>
      </c>
      <c r="E302" s="4"/>
      <c r="F302" s="12">
        <f t="shared" si="159"/>
        <v>1.1336534535568814E-2</v>
      </c>
      <c r="G302" s="4"/>
      <c r="H302" s="4">
        <f>--15286.66</f>
        <v>15286.66</v>
      </c>
      <c r="I302" s="4"/>
      <c r="J302" s="12">
        <f t="shared" si="160"/>
        <v>3.6238949639268432E-3</v>
      </c>
      <c r="K302" s="4"/>
      <c r="L302" s="4">
        <f t="shared" si="161"/>
        <v>9778.3300000000017</v>
      </c>
      <c r="M302" s="4"/>
      <c r="N302" s="12">
        <f t="shared" si="162"/>
        <v>0.63966425628619994</v>
      </c>
      <c r="O302" s="10"/>
      <c r="P302" s="4">
        <f>-56563.28</f>
        <v>-56563.28</v>
      </c>
      <c r="Q302" s="4"/>
      <c r="R302" s="12">
        <f t="shared" si="163"/>
        <v>-2.1043666647767158E-2</v>
      </c>
      <c r="S302" s="4"/>
      <c r="T302" s="4">
        <f>--31820.95</f>
        <v>31820.95</v>
      </c>
      <c r="U302" s="4"/>
      <c r="V302" s="12">
        <f t="shared" si="164"/>
        <v>5.5580436461184829E-3</v>
      </c>
      <c r="W302" s="4"/>
      <c r="X302" s="4">
        <f t="shared" si="165"/>
        <v>-88384.23</v>
      </c>
      <c r="Y302" s="4"/>
      <c r="Z302" s="12">
        <f t="shared" si="166"/>
        <v>-2.7775484390000926</v>
      </c>
    </row>
    <row r="303" spans="1:26" x14ac:dyDescent="0.25">
      <c r="A303" s="9"/>
      <c r="B303" s="9"/>
      <c r="C303" s="9"/>
      <c r="D303" s="3"/>
      <c r="E303" s="3"/>
      <c r="F303" s="8"/>
      <c r="G303" s="3"/>
      <c r="H303" s="3"/>
      <c r="I303" s="3"/>
      <c r="J303" s="8"/>
      <c r="K303" s="3"/>
      <c r="L303" s="3"/>
      <c r="M303" s="3"/>
      <c r="N303" s="8"/>
      <c r="P303" s="3"/>
      <c r="Q303" s="3"/>
      <c r="R303" s="8"/>
      <c r="S303" s="3"/>
      <c r="T303" s="3"/>
      <c r="U303" s="3"/>
      <c r="V303" s="8"/>
      <c r="W303" s="3"/>
      <c r="X303" s="3"/>
      <c r="Y303" s="3"/>
      <c r="Z303" s="8"/>
    </row>
    <row r="304" spans="1:26" s="23" customFormat="1" ht="15.75" thickBot="1" x14ac:dyDescent="0.3">
      <c r="A304" s="10"/>
      <c r="B304" s="26" t="s">
        <v>5</v>
      </c>
      <c r="C304" s="26"/>
      <c r="D304" s="30">
        <f>SUM(D299:D303)</f>
        <v>345001.85000000003</v>
      </c>
      <c r="E304" s="13"/>
      <c r="F304" s="31">
        <f>IF(D$12=0,0,D304/D$12)</f>
        <v>0.15603937553376768</v>
      </c>
      <c r="G304" s="13"/>
      <c r="H304" s="30">
        <f>SUM(H299:H303)</f>
        <v>-204897.88000000428</v>
      </c>
      <c r="I304" s="13"/>
      <c r="J304" s="31">
        <f>IF(H$12=0,0,H304/H$12)</f>
        <v>-4.8573618792548678E-2</v>
      </c>
      <c r="K304" s="16"/>
      <c r="L304" s="30">
        <f>+D304-H304</f>
        <v>549899.73000000429</v>
      </c>
      <c r="M304" s="16"/>
      <c r="N304" s="31">
        <f>IF(H304=0,0,L304/H304)</f>
        <v>-2.6837746198252161</v>
      </c>
      <c r="O304" s="25"/>
      <c r="P304" s="30">
        <f>SUM(P299:P303)</f>
        <v>132499.80999999974</v>
      </c>
      <c r="Q304" s="13"/>
      <c r="R304" s="31">
        <f>IF(P$12=0,0,P304/P$12)</f>
        <v>4.9294910629872943E-2</v>
      </c>
      <c r="S304" s="13"/>
      <c r="T304" s="30">
        <f>SUM(T299:T303)</f>
        <v>-945302.74000000162</v>
      </c>
      <c r="U304" s="13"/>
      <c r="V304" s="31">
        <f>IF(T$12=0,0,T304/T$12)</f>
        <v>-0.16511241454813264</v>
      </c>
      <c r="W304" s="16"/>
      <c r="X304" s="30">
        <f>+P304-T304</f>
        <v>1077802.5500000014</v>
      </c>
      <c r="Y304" s="16"/>
      <c r="Z304" s="31">
        <f>IF(T304=0,0,X304/T304)</f>
        <v>-1.1401665354318127</v>
      </c>
    </row>
    <row r="305" spans="1:24" ht="15.75" thickTop="1" x14ac:dyDescent="0.25">
      <c r="A305" s="9"/>
      <c r="C305" s="9"/>
      <c r="D305" s="18"/>
      <c r="E305" s="18"/>
      <c r="G305" s="18"/>
      <c r="H305" s="18"/>
      <c r="I305" s="18"/>
      <c r="J305" s="43"/>
      <c r="K305" s="18"/>
      <c r="L305" s="18"/>
      <c r="M305" s="18"/>
      <c r="P305" s="18"/>
      <c r="Q305" s="18"/>
      <c r="R305" s="43"/>
      <c r="S305" s="18"/>
      <c r="T305" s="18"/>
      <c r="U305" s="18"/>
      <c r="V305" s="43"/>
      <c r="W305" s="18"/>
      <c r="X305" s="18"/>
    </row>
    <row r="306" spans="1:24" x14ac:dyDescent="0.25">
      <c r="A306" s="9"/>
      <c r="B306" s="61">
        <v>44113.695525266201</v>
      </c>
      <c r="D306" s="18"/>
      <c r="E306" s="18"/>
      <c r="G306" s="18"/>
      <c r="H306" s="18"/>
      <c r="I306" s="18"/>
      <c r="J306" s="43"/>
      <c r="K306" s="18"/>
      <c r="L306" s="18"/>
      <c r="M306" s="18"/>
      <c r="P306" s="18"/>
      <c r="Q306" s="18"/>
      <c r="R306" s="43"/>
      <c r="S306" s="18"/>
      <c r="T306" s="18"/>
      <c r="U306" s="18"/>
      <c r="V306" s="43"/>
      <c r="W306" s="18"/>
      <c r="X306" s="18"/>
    </row>
    <row r="307" spans="1:24" x14ac:dyDescent="0.25">
      <c r="A307" s="9"/>
      <c r="B307" s="56" t="s">
        <v>313</v>
      </c>
      <c r="D307" s="18"/>
      <c r="E307" s="18"/>
      <c r="G307" s="18"/>
      <c r="H307" s="18"/>
      <c r="I307" s="18"/>
      <c r="J307" s="43"/>
      <c r="K307" s="18"/>
      <c r="L307" s="18"/>
      <c r="M307" s="18"/>
      <c r="P307" s="18"/>
      <c r="Q307" s="18"/>
      <c r="R307" s="43"/>
      <c r="S307" s="18"/>
      <c r="T307" s="18"/>
      <c r="U307" s="18"/>
      <c r="V307" s="43"/>
      <c r="W307" s="18"/>
      <c r="X307" s="18"/>
    </row>
    <row r="308" spans="1:24" x14ac:dyDescent="0.25">
      <c r="A308" s="9"/>
      <c r="B308" s="58"/>
      <c r="D308" s="18"/>
      <c r="E308" s="18"/>
      <c r="G308" s="18"/>
      <c r="H308" s="18"/>
      <c r="I308" s="18"/>
      <c r="J308" s="43"/>
      <c r="K308" s="18"/>
      <c r="L308" s="18"/>
      <c r="M308" s="18"/>
      <c r="P308" s="18"/>
      <c r="Q308" s="18"/>
      <c r="R308" s="43"/>
      <c r="S308" s="18"/>
      <c r="T308" s="18"/>
      <c r="U308" s="18"/>
      <c r="V308" s="43"/>
      <c r="W308" s="18"/>
      <c r="X308" s="18"/>
    </row>
    <row r="309" spans="1:24" x14ac:dyDescent="0.25">
      <c r="D309" s="18"/>
      <c r="E309" s="18"/>
      <c r="G309" s="18"/>
      <c r="H309" s="18"/>
      <c r="I309" s="18"/>
      <c r="J309" s="43"/>
      <c r="K309" s="18"/>
      <c r="L309" s="18"/>
      <c r="M309" s="18"/>
      <c r="P309" s="18"/>
      <c r="Q309" s="18"/>
      <c r="R309" s="43"/>
      <c r="S309" s="18"/>
      <c r="T309" s="18"/>
      <c r="U309" s="18"/>
      <c r="V309" s="43"/>
      <c r="W309" s="18"/>
      <c r="X309" s="18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","100", " - ", "Corporate")</f>
        <v>Department 100 - Corporate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SUM(0)</f>
        <v>0</v>
      </c>
      <c r="E18" s="20"/>
      <c r="F18" s="35">
        <f>IF(D$12=0,0,D18/D$12)</f>
        <v>0</v>
      </c>
      <c r="G18" s="20"/>
      <c r="H18" s="20">
        <f>SUM(0)</f>
        <v>0</v>
      </c>
      <c r="I18" s="20"/>
      <c r="J18" s="35">
        <f>IF(H$12=0,0,H18/H$12)</f>
        <v>0</v>
      </c>
      <c r="K18" s="4"/>
      <c r="L18" s="20">
        <f>+D18-H18</f>
        <v>0</v>
      </c>
      <c r="M18" s="4"/>
      <c r="N18" s="35">
        <f>IF(H18=0,0,L18/H18)</f>
        <v>0</v>
      </c>
      <c r="O18" s="10"/>
      <c r="P18" s="20">
        <f>SUM(0)</f>
        <v>0</v>
      </c>
      <c r="Q18" s="20"/>
      <c r="R18" s="35">
        <f>IF(P$12=0,0,P18/P$12)</f>
        <v>0</v>
      </c>
      <c r="S18" s="20"/>
      <c r="T18" s="20">
        <f>SUM(0)</f>
        <v>0</v>
      </c>
      <c r="U18" s="20"/>
      <c r="V18" s="35">
        <f>IF(T$12=0,0,T18/T$12)</f>
        <v>0</v>
      </c>
      <c r="W18" s="4"/>
      <c r="X18" s="20">
        <f>+P18-T18</f>
        <v>0</v>
      </c>
      <c r="Y18" s="4"/>
      <c r="Z18" s="35">
        <f>IF(T18=0,0,X18/T18)</f>
        <v>0</v>
      </c>
    </row>
    <row r="19" spans="1:26" s="5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2">
        <f>+D16-D18+D20</f>
        <v>0</v>
      </c>
      <c r="E22" s="13"/>
      <c r="F22" s="21">
        <f>IF(D$12=0,0,D22/D$12)</f>
        <v>0</v>
      </c>
      <c r="G22" s="13"/>
      <c r="H22" s="22">
        <f>+H16-H18+H20</f>
        <v>0</v>
      </c>
      <c r="I22" s="13"/>
      <c r="J22" s="21">
        <f>IF(H$12=0,0,H22/H$12)</f>
        <v>0</v>
      </c>
      <c r="K22" s="16"/>
      <c r="L22" s="22">
        <f>+D22-H22</f>
        <v>0</v>
      </c>
      <c r="M22" s="16"/>
      <c r="N22" s="21">
        <f>IF(H22=0,0,L22/H22)</f>
        <v>0</v>
      </c>
      <c r="O22" s="25"/>
      <c r="P22" s="22">
        <f>+P16-P18+P20</f>
        <v>0</v>
      </c>
      <c r="Q22" s="13"/>
      <c r="R22" s="21">
        <f>IF(P$12=0,0,P22/P$12)</f>
        <v>0</v>
      </c>
      <c r="S22" s="13"/>
      <c r="T22" s="22">
        <f>+T16-T18+T20</f>
        <v>0</v>
      </c>
      <c r="U22" s="13"/>
      <c r="V22" s="21">
        <f>IF(T$12=0,0,T22/T$12)</f>
        <v>0</v>
      </c>
      <c r="W22" s="16"/>
      <c r="X22" s="22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6">
        <f>+D22-D24</f>
        <v>0</v>
      </c>
      <c r="E26" s="13"/>
      <c r="F26" s="34">
        <f>IF(D$12=0,0,D26/D$12)</f>
        <v>0</v>
      </c>
      <c r="G26" s="13"/>
      <c r="H26" s="36">
        <f>+H22-H24</f>
        <v>0</v>
      </c>
      <c r="I26" s="13"/>
      <c r="J26" s="34">
        <f>IF(H$12=0,0,H26/H$12)</f>
        <v>0</v>
      </c>
      <c r="K26" s="16"/>
      <c r="L26" s="36">
        <f>D26-H26</f>
        <v>0</v>
      </c>
      <c r="M26" s="16"/>
      <c r="N26" s="34">
        <f>IF(H26=0,0,L26/H26)</f>
        <v>0</v>
      </c>
      <c r="O26" s="25"/>
      <c r="P26" s="36">
        <f>+P22-P24</f>
        <v>0</v>
      </c>
      <c r="Q26" s="13"/>
      <c r="R26" s="34">
        <f>IF(P$12=0,0,P26/P$12)</f>
        <v>0</v>
      </c>
      <c r="S26" s="13"/>
      <c r="T26" s="36">
        <f>+T22-T24</f>
        <v>0</v>
      </c>
      <c r="U26" s="13"/>
      <c r="V26" s="34">
        <f>IF(T$12=0,0,T26/T$12)</f>
        <v>0</v>
      </c>
      <c r="W26" s="16"/>
      <c r="X26" s="36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--487459.55</f>
        <v>487459.55</v>
      </c>
      <c r="E28" s="4"/>
      <c r="F28" s="12">
        <f t="shared" ref="F28:F29" si="0">IF(D$12=0,0,D28/D$12)</f>
        <v>0</v>
      </c>
      <c r="G28" s="4"/>
      <c r="H28" s="4">
        <f>-209613.95</f>
        <v>-209613.95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697073.5</v>
      </c>
      <c r="M28" s="4"/>
      <c r="N28" s="12">
        <f t="shared" ref="N28:N29" si="3">IF(H28=0,0,L28/H28)</f>
        <v>-3.3255110168001698</v>
      </c>
      <c r="O28" s="10"/>
      <c r="P28" s="4">
        <f>--951342.71</f>
        <v>951342.71</v>
      </c>
      <c r="Q28" s="4"/>
      <c r="R28" s="12">
        <f t="shared" ref="R28:R29" si="4">IF(P$12=0,0,P28/P$12)</f>
        <v>0</v>
      </c>
      <c r="S28" s="4"/>
      <c r="T28" s="4">
        <f>-180605.81</f>
        <v>-180605.81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1131948.52</v>
      </c>
      <c r="Y28" s="4"/>
      <c r="Z28" s="12">
        <f t="shared" ref="Z28:Z29" si="7">IF(T28=0,0,X28/T28)</f>
        <v>-6.2675088913252575</v>
      </c>
    </row>
    <row r="29" spans="1:26" s="23" customFormat="1" x14ac:dyDescent="0.25">
      <c r="A29" s="51"/>
      <c r="B29" s="10" t="s">
        <v>1</v>
      </c>
      <c r="C29" s="10"/>
      <c r="D29" s="4">
        <f>--25064.99</f>
        <v>25064.99</v>
      </c>
      <c r="E29" s="4"/>
      <c r="F29" s="12">
        <f t="shared" si="0"/>
        <v>0</v>
      </c>
      <c r="G29" s="4"/>
      <c r="H29" s="4">
        <f>--15286.66</f>
        <v>15286.66</v>
      </c>
      <c r="I29" s="4"/>
      <c r="J29" s="12">
        <f t="shared" si="1"/>
        <v>0</v>
      </c>
      <c r="K29" s="4"/>
      <c r="L29" s="4">
        <f t="shared" si="2"/>
        <v>9778.3300000000017</v>
      </c>
      <c r="M29" s="4"/>
      <c r="N29" s="12">
        <f t="shared" si="3"/>
        <v>0.63966425628619994</v>
      </c>
      <c r="O29" s="10"/>
      <c r="P29" s="4">
        <f>-56563.28</f>
        <v>-56563.28</v>
      </c>
      <c r="Q29" s="4"/>
      <c r="R29" s="12">
        <f t="shared" si="4"/>
        <v>0</v>
      </c>
      <c r="S29" s="4"/>
      <c r="T29" s="4">
        <f>--31820.95</f>
        <v>31820.95</v>
      </c>
      <c r="U29" s="4"/>
      <c r="V29" s="12">
        <f t="shared" si="5"/>
        <v>0</v>
      </c>
      <c r="W29" s="4"/>
      <c r="X29" s="4">
        <f t="shared" si="6"/>
        <v>-88384.23</v>
      </c>
      <c r="Y29" s="4"/>
      <c r="Z29" s="12">
        <f t="shared" si="7"/>
        <v>-2.7775484390000926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0">
        <f>SUM(D26:D30)</f>
        <v>512524.54</v>
      </c>
      <c r="E31" s="13"/>
      <c r="F31" s="31">
        <f>IF(D$12=0,0,D31/D$12)</f>
        <v>0</v>
      </c>
      <c r="G31" s="13"/>
      <c r="H31" s="30">
        <f>SUM(H26:H30)</f>
        <v>-194327.29</v>
      </c>
      <c r="I31" s="13"/>
      <c r="J31" s="31">
        <f>IF(H$12=0,0,H31/H$12)</f>
        <v>0</v>
      </c>
      <c r="K31" s="16"/>
      <c r="L31" s="30">
        <f>+D31-H31</f>
        <v>706851.83</v>
      </c>
      <c r="M31" s="16"/>
      <c r="N31" s="31">
        <f>IF(H31=0,0,L31/H31)</f>
        <v>-3.6374295653482327</v>
      </c>
      <c r="O31" s="25"/>
      <c r="P31" s="30">
        <f>SUM(P26:P30)</f>
        <v>894779.42999999993</v>
      </c>
      <c r="Q31" s="13"/>
      <c r="R31" s="31">
        <f>IF(P$12=0,0,P31/P$12)</f>
        <v>0</v>
      </c>
      <c r="S31" s="13"/>
      <c r="T31" s="30">
        <f>SUM(T26:T30)</f>
        <v>-148784.85999999999</v>
      </c>
      <c r="U31" s="13"/>
      <c r="V31" s="31">
        <f>IF(T$12=0,0,T31/T$12)</f>
        <v>0</v>
      </c>
      <c r="W31" s="16"/>
      <c r="X31" s="30">
        <f>+P31-T31</f>
        <v>1043564.2899999999</v>
      </c>
      <c r="Y31" s="16"/>
      <c r="Z31" s="31">
        <f>IF(T31=0,0,X31/T31)</f>
        <v>-7.0139145206037767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1">
        <v>44113.695946180553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219113.02000000005</v>
      </c>
      <c r="E18" s="20"/>
      <c r="F18" s="35">
        <f t="shared" ref="F18:F29" si="0">IF(D$12=0,0,D18/D$12)</f>
        <v>0</v>
      </c>
      <c r="G18" s="20"/>
      <c r="H18" s="20">
        <f>SUM(OSRRefH22x_0)</f>
        <v>400497.58999999985</v>
      </c>
      <c r="I18" s="20"/>
      <c r="J18" s="35">
        <f t="shared" ref="J18:J29" si="1">IF(H$12=0,0,H18/H$12)</f>
        <v>0</v>
      </c>
      <c r="K18" s="4"/>
      <c r="L18" s="20">
        <f t="shared" ref="L18:L29" si="2">+D18-H18</f>
        <v>-181384.5699999998</v>
      </c>
      <c r="M18" s="4"/>
      <c r="N18" s="35">
        <f t="shared" ref="N18:N29" si="3">IF(H18=0,0,L18/H18)</f>
        <v>-0.45289803117167288</v>
      </c>
      <c r="O18" s="10"/>
      <c r="P18" s="20">
        <f>SUM(OSRRefP22x_0)</f>
        <v>453816.25999999989</v>
      </c>
      <c r="Q18" s="20"/>
      <c r="R18" s="35">
        <f t="shared" ref="R18:R29" si="4">IF(P$12=0,0,P18/P$12)</f>
        <v>0</v>
      </c>
      <c r="S18" s="20"/>
      <c r="T18" s="20">
        <f>SUM(OSRRefT22x_0)</f>
        <v>713828.85999999975</v>
      </c>
      <c r="U18" s="20"/>
      <c r="V18" s="35">
        <f t="shared" ref="V18:V29" si="5">IF(T$12=0,0,T18/T$12)</f>
        <v>0</v>
      </c>
      <c r="W18" s="4"/>
      <c r="X18" s="20">
        <f t="shared" ref="X18:X29" si="6">+P18-T18</f>
        <v>-260012.59999999986</v>
      </c>
      <c r="Y18" s="4"/>
      <c r="Z18" s="35">
        <f t="shared" ref="Z18:Z29" si="7">IF(T18=0,0,X18/T18)</f>
        <v>-0.36425061323522273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80654.989999999991</v>
      </c>
      <c r="E19" s="1"/>
      <c r="F19" s="5">
        <f t="shared" si="0"/>
        <v>0</v>
      </c>
      <c r="G19" s="1"/>
      <c r="H19" s="1">
        <f>SUM(OSRRefH22_0x_0)</f>
        <v>86652.94</v>
      </c>
      <c r="I19" s="1"/>
      <c r="J19" s="5">
        <f t="shared" si="1"/>
        <v>0</v>
      </c>
      <c r="K19" s="1"/>
      <c r="L19" s="1">
        <f t="shared" si="2"/>
        <v>-5997.9500000000116</v>
      </c>
      <c r="M19" s="1"/>
      <c r="N19" s="5">
        <f t="shared" si="3"/>
        <v>-6.9218078463350596E-2</v>
      </c>
      <c r="O19" s="14"/>
      <c r="P19" s="1">
        <f>SUM(OSRRefP22_0x_0)</f>
        <v>164793.91</v>
      </c>
      <c r="Q19" s="1"/>
      <c r="R19" s="5">
        <f t="shared" si="4"/>
        <v>0</v>
      </c>
      <c r="S19" s="1"/>
      <c r="T19" s="1">
        <f>SUM(OSRRefT22_0x_0)</f>
        <v>189514.23999999999</v>
      </c>
      <c r="U19" s="1"/>
      <c r="V19" s="5">
        <f t="shared" si="5"/>
        <v>0</v>
      </c>
      <c r="W19" s="1"/>
      <c r="X19" s="1">
        <f t="shared" si="6"/>
        <v>-24720.329999999987</v>
      </c>
      <c r="Y19" s="1"/>
      <c r="Z19" s="5">
        <f t="shared" si="7"/>
        <v>-0.13044048827148813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7377.1</v>
      </c>
      <c r="E20" s="2"/>
      <c r="F20" s="6">
        <f t="shared" si="0"/>
        <v>0</v>
      </c>
      <c r="G20" s="2"/>
      <c r="H20" s="7">
        <v>9409.27</v>
      </c>
      <c r="I20" s="2"/>
      <c r="J20" s="6">
        <f t="shared" si="1"/>
        <v>0</v>
      </c>
      <c r="K20" s="2"/>
      <c r="L20" s="7">
        <f t="shared" si="2"/>
        <v>-2032.17</v>
      </c>
      <c r="M20" s="2"/>
      <c r="N20" s="6">
        <f t="shared" si="3"/>
        <v>-0.21597530945546253</v>
      </c>
      <c r="O20" s="11"/>
      <c r="P20" s="7">
        <v>14775.390000000001</v>
      </c>
      <c r="Q20" s="2"/>
      <c r="R20" s="6">
        <f t="shared" si="4"/>
        <v>0</v>
      </c>
      <c r="S20" s="2"/>
      <c r="T20" s="7">
        <v>18946.009999999998</v>
      </c>
      <c r="U20" s="2"/>
      <c r="V20" s="6">
        <f t="shared" si="5"/>
        <v>0</v>
      </c>
      <c r="W20" s="2"/>
      <c r="X20" s="7">
        <f t="shared" si="6"/>
        <v>-4170.6199999999972</v>
      </c>
      <c r="Y20" s="2"/>
      <c r="Z20" s="6">
        <f t="shared" si="7"/>
        <v>-0.22013183778536999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595.07000000000005</v>
      </c>
      <c r="E21" s="2"/>
      <c r="F21" s="6">
        <f t="shared" si="0"/>
        <v>0</v>
      </c>
      <c r="G21" s="2"/>
      <c r="H21" s="7">
        <v>720.31</v>
      </c>
      <c r="I21" s="2"/>
      <c r="J21" s="6">
        <f t="shared" si="1"/>
        <v>0</v>
      </c>
      <c r="K21" s="2"/>
      <c r="L21" s="7">
        <f t="shared" si="2"/>
        <v>-125.2399999999999</v>
      </c>
      <c r="M21" s="2"/>
      <c r="N21" s="6">
        <f t="shared" si="3"/>
        <v>-0.17386958392914148</v>
      </c>
      <c r="O21" s="11"/>
      <c r="P21" s="7">
        <v>1192.29</v>
      </c>
      <c r="Q21" s="2"/>
      <c r="R21" s="6">
        <f t="shared" si="4"/>
        <v>0</v>
      </c>
      <c r="S21" s="2"/>
      <c r="T21" s="7">
        <v>1401.07</v>
      </c>
      <c r="U21" s="2"/>
      <c r="V21" s="6">
        <f t="shared" si="5"/>
        <v>0</v>
      </c>
      <c r="W21" s="2"/>
      <c r="X21" s="7">
        <f t="shared" si="6"/>
        <v>-208.77999999999997</v>
      </c>
      <c r="Y21" s="2"/>
      <c r="Z21" s="6">
        <f t="shared" si="7"/>
        <v>-0.14901468163617806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22694.37</v>
      </c>
      <c r="E22" s="2"/>
      <c r="F22" s="6">
        <f t="shared" si="0"/>
        <v>0</v>
      </c>
      <c r="G22" s="2"/>
      <c r="H22" s="7">
        <v>23338.41</v>
      </c>
      <c r="I22" s="2"/>
      <c r="J22" s="6">
        <f t="shared" si="1"/>
        <v>0</v>
      </c>
      <c r="K22" s="2"/>
      <c r="L22" s="7">
        <f t="shared" si="2"/>
        <v>-644.04000000000087</v>
      </c>
      <c r="M22" s="2"/>
      <c r="N22" s="6">
        <f t="shared" si="3"/>
        <v>-2.7595710247613307E-2</v>
      </c>
      <c r="O22" s="11"/>
      <c r="P22" s="7">
        <v>45283.420000000006</v>
      </c>
      <c r="Q22" s="2"/>
      <c r="R22" s="6">
        <f t="shared" si="4"/>
        <v>0</v>
      </c>
      <c r="S22" s="2"/>
      <c r="T22" s="7">
        <v>46041.72</v>
      </c>
      <c r="U22" s="2"/>
      <c r="V22" s="6">
        <f t="shared" si="5"/>
        <v>0</v>
      </c>
      <c r="W22" s="2"/>
      <c r="X22" s="7">
        <f t="shared" si="6"/>
        <v>-758.29999999999563</v>
      </c>
      <c r="Y22" s="2"/>
      <c r="Z22" s="6">
        <f t="shared" si="7"/>
        <v>-1.6469845175201874E-2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254.15</v>
      </c>
      <c r="E23" s="2"/>
      <c r="F23" s="6">
        <f t="shared" si="0"/>
        <v>0</v>
      </c>
      <c r="G23" s="2"/>
      <c r="H23" s="7">
        <v>332.05</v>
      </c>
      <c r="I23" s="2"/>
      <c r="J23" s="6">
        <f t="shared" si="1"/>
        <v>0</v>
      </c>
      <c r="K23" s="2"/>
      <c r="L23" s="7">
        <f t="shared" si="2"/>
        <v>-77.900000000000006</v>
      </c>
      <c r="M23" s="2"/>
      <c r="N23" s="6">
        <f t="shared" si="3"/>
        <v>-0.23460322240626413</v>
      </c>
      <c r="O23" s="11"/>
      <c r="P23" s="7">
        <v>508.14</v>
      </c>
      <c r="Q23" s="2"/>
      <c r="R23" s="6">
        <f t="shared" si="4"/>
        <v>0</v>
      </c>
      <c r="S23" s="2"/>
      <c r="T23" s="7">
        <v>649.34</v>
      </c>
      <c r="U23" s="2"/>
      <c r="V23" s="6">
        <f t="shared" si="5"/>
        <v>0</v>
      </c>
      <c r="W23" s="2"/>
      <c r="X23" s="7">
        <f t="shared" si="6"/>
        <v>-141.20000000000005</v>
      </c>
      <c r="Y23" s="2"/>
      <c r="Z23" s="6">
        <f t="shared" si="7"/>
        <v>-0.21745156620568584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7443.75</v>
      </c>
      <c r="E24" s="2"/>
      <c r="F24" s="6">
        <f t="shared" si="0"/>
        <v>0</v>
      </c>
      <c r="G24" s="2"/>
      <c r="H24" s="7">
        <v>8066.48</v>
      </c>
      <c r="I24" s="2"/>
      <c r="J24" s="6">
        <f t="shared" si="1"/>
        <v>0</v>
      </c>
      <c r="K24" s="2"/>
      <c r="L24" s="7">
        <f t="shared" si="2"/>
        <v>-622.72999999999956</v>
      </c>
      <c r="M24" s="2"/>
      <c r="N24" s="6">
        <f t="shared" si="3"/>
        <v>-7.719972032410663E-2</v>
      </c>
      <c r="O24" s="11"/>
      <c r="P24" s="7">
        <v>18609.390000000003</v>
      </c>
      <c r="Q24" s="2"/>
      <c r="R24" s="6">
        <f t="shared" si="4"/>
        <v>0</v>
      </c>
      <c r="S24" s="2"/>
      <c r="T24" s="7">
        <v>16132.96</v>
      </c>
      <c r="U24" s="2"/>
      <c r="V24" s="6">
        <f t="shared" si="5"/>
        <v>0</v>
      </c>
      <c r="W24" s="2"/>
      <c r="X24" s="7">
        <f t="shared" si="6"/>
        <v>2476.4300000000039</v>
      </c>
      <c r="Y24" s="2"/>
      <c r="Z24" s="6">
        <f t="shared" si="7"/>
        <v>0.15350127936844846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774.77</v>
      </c>
      <c r="E25" s="2"/>
      <c r="F25" s="6">
        <f t="shared" si="0"/>
        <v>0</v>
      </c>
      <c r="G25" s="2"/>
      <c r="H25" s="7">
        <v>808.45</v>
      </c>
      <c r="I25" s="2"/>
      <c r="J25" s="6">
        <f t="shared" si="1"/>
        <v>0</v>
      </c>
      <c r="K25" s="2"/>
      <c r="L25" s="7">
        <f t="shared" si="2"/>
        <v>-33.680000000000064</v>
      </c>
      <c r="M25" s="2"/>
      <c r="N25" s="6">
        <f t="shared" si="3"/>
        <v>-4.165996660275844E-2</v>
      </c>
      <c r="O25" s="11"/>
      <c r="P25" s="7">
        <v>1855.51</v>
      </c>
      <c r="Q25" s="2"/>
      <c r="R25" s="6">
        <f t="shared" si="4"/>
        <v>0</v>
      </c>
      <c r="S25" s="2"/>
      <c r="T25" s="7">
        <v>1440.77</v>
      </c>
      <c r="U25" s="2"/>
      <c r="V25" s="6">
        <f t="shared" si="5"/>
        <v>0</v>
      </c>
      <c r="W25" s="2"/>
      <c r="X25" s="7">
        <f t="shared" si="6"/>
        <v>414.74</v>
      </c>
      <c r="Y25" s="2"/>
      <c r="Z25" s="6">
        <f t="shared" si="7"/>
        <v>0.28785996376937334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6115</v>
      </c>
      <c r="E26" s="2"/>
      <c r="F26" s="6">
        <f t="shared" si="0"/>
        <v>0</v>
      </c>
      <c r="G26" s="2"/>
      <c r="H26" s="7">
        <v>7800.7</v>
      </c>
      <c r="I26" s="2"/>
      <c r="J26" s="6">
        <f t="shared" si="1"/>
        <v>0</v>
      </c>
      <c r="K26" s="2"/>
      <c r="L26" s="7">
        <f t="shared" si="2"/>
        <v>-1685.6999999999998</v>
      </c>
      <c r="M26" s="2"/>
      <c r="N26" s="6">
        <f t="shared" si="3"/>
        <v>-0.21609599138538849</v>
      </c>
      <c r="O26" s="11"/>
      <c r="P26" s="7">
        <v>12138.54</v>
      </c>
      <c r="Q26" s="2"/>
      <c r="R26" s="6">
        <f t="shared" si="4"/>
        <v>0</v>
      </c>
      <c r="S26" s="2"/>
      <c r="T26" s="7">
        <v>22523.649999999998</v>
      </c>
      <c r="U26" s="2"/>
      <c r="V26" s="6">
        <f t="shared" si="5"/>
        <v>0</v>
      </c>
      <c r="W26" s="2"/>
      <c r="X26" s="7">
        <f t="shared" si="6"/>
        <v>-10385.109999999997</v>
      </c>
      <c r="Y26" s="2"/>
      <c r="Z26" s="6">
        <f t="shared" si="7"/>
        <v>-0.46107580254532449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4158.5</v>
      </c>
      <c r="E27" s="2"/>
      <c r="F27" s="6">
        <f t="shared" si="0"/>
        <v>0</v>
      </c>
      <c r="G27" s="2"/>
      <c r="H27" s="7">
        <v>4767.32</v>
      </c>
      <c r="I27" s="2"/>
      <c r="J27" s="6">
        <f t="shared" si="1"/>
        <v>0</v>
      </c>
      <c r="K27" s="2"/>
      <c r="L27" s="7">
        <f t="shared" si="2"/>
        <v>-608.81999999999971</v>
      </c>
      <c r="M27" s="2"/>
      <c r="N27" s="6">
        <f t="shared" si="3"/>
        <v>-0.12770697163186021</v>
      </c>
      <c r="O27" s="11"/>
      <c r="P27" s="7">
        <v>8317</v>
      </c>
      <c r="Q27" s="2"/>
      <c r="R27" s="6">
        <f t="shared" si="4"/>
        <v>0</v>
      </c>
      <c r="S27" s="2"/>
      <c r="T27" s="7">
        <v>19811.62</v>
      </c>
      <c r="U27" s="2"/>
      <c r="V27" s="6">
        <f t="shared" si="5"/>
        <v>0</v>
      </c>
      <c r="W27" s="2"/>
      <c r="X27" s="7">
        <f t="shared" si="6"/>
        <v>-11494.619999999999</v>
      </c>
      <c r="Y27" s="2"/>
      <c r="Z27" s="6">
        <f t="shared" si="7"/>
        <v>-0.58019586485103181</v>
      </c>
    </row>
    <row r="28" spans="1:26" s="24" customFormat="1" hidden="1" outlineLevel="2" x14ac:dyDescent="0.25">
      <c r="A28" s="29"/>
      <c r="B28" s="11" t="str">
        <f>CONCATENATE("          ", "6120", " - ", "RETIREES HEALTH INSURANCE")</f>
        <v xml:space="preserve">          6120 - RETIREES HEALTH INSURANCE</v>
      </c>
      <c r="C28" s="11"/>
      <c r="D28" s="7">
        <v>30426.25</v>
      </c>
      <c r="E28" s="2"/>
      <c r="F28" s="6">
        <f t="shared" si="0"/>
        <v>0</v>
      </c>
      <c r="G28" s="2"/>
      <c r="H28" s="7">
        <v>28957.26</v>
      </c>
      <c r="I28" s="2"/>
      <c r="J28" s="6">
        <f t="shared" si="1"/>
        <v>0</v>
      </c>
      <c r="K28" s="2"/>
      <c r="L28" s="7">
        <f t="shared" si="2"/>
        <v>1468.9900000000016</v>
      </c>
      <c r="M28" s="2"/>
      <c r="N28" s="6">
        <f t="shared" si="3"/>
        <v>5.0729592509788625E-2</v>
      </c>
      <c r="O28" s="11"/>
      <c r="P28" s="7">
        <v>60675.340000000004</v>
      </c>
      <c r="Q28" s="2"/>
      <c r="R28" s="6">
        <f t="shared" si="4"/>
        <v>0</v>
      </c>
      <c r="S28" s="2"/>
      <c r="T28" s="7">
        <v>57828.140000000007</v>
      </c>
      <c r="U28" s="2"/>
      <c r="V28" s="6">
        <f t="shared" si="5"/>
        <v>0</v>
      </c>
      <c r="W28" s="2"/>
      <c r="X28" s="7">
        <f t="shared" si="6"/>
        <v>2847.1999999999971</v>
      </c>
      <c r="Y28" s="2"/>
      <c r="Z28" s="6">
        <f t="shared" si="7"/>
        <v>4.9235545186132511E-2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>
        <v>816.03</v>
      </c>
      <c r="E29" s="2"/>
      <c r="F29" s="6">
        <f t="shared" si="0"/>
        <v>0</v>
      </c>
      <c r="G29" s="2"/>
      <c r="H29" s="7">
        <v>2452.69</v>
      </c>
      <c r="I29" s="2"/>
      <c r="J29" s="6">
        <f t="shared" si="1"/>
        <v>0</v>
      </c>
      <c r="K29" s="2"/>
      <c r="L29" s="7">
        <f t="shared" si="2"/>
        <v>-1636.66</v>
      </c>
      <c r="M29" s="2"/>
      <c r="N29" s="6">
        <f t="shared" si="3"/>
        <v>-0.66729183060231834</v>
      </c>
      <c r="O29" s="11"/>
      <c r="P29" s="7">
        <v>1438.89</v>
      </c>
      <c r="Q29" s="2"/>
      <c r="R29" s="6">
        <f t="shared" si="4"/>
        <v>0</v>
      </c>
      <c r="S29" s="2"/>
      <c r="T29" s="7">
        <v>4738.96</v>
      </c>
      <c r="U29" s="2"/>
      <c r="V29" s="6">
        <f t="shared" si="5"/>
        <v>0</v>
      </c>
      <c r="W29" s="2"/>
      <c r="X29" s="7">
        <f t="shared" si="6"/>
        <v>-3300.0699999999997</v>
      </c>
      <c r="Y29" s="2"/>
      <c r="Z29" s="6">
        <f t="shared" si="7"/>
        <v>-0.69637008963992097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89313.99</v>
      </c>
      <c r="E30" s="1"/>
      <c r="F30" s="5">
        <f t="shared" ref="F30:F37" si="8">IF(D$12=0,0,D30/D$12)</f>
        <v>0</v>
      </c>
      <c r="G30" s="1"/>
      <c r="H30" s="1">
        <f>SUM(OSRRefH22_1x_0)</f>
        <v>116269.98</v>
      </c>
      <c r="I30" s="1"/>
      <c r="J30" s="5">
        <f t="shared" ref="J30:J37" si="9">IF(H$12=0,0,H30/H$12)</f>
        <v>0</v>
      </c>
      <c r="K30" s="1"/>
      <c r="L30" s="1">
        <f t="shared" ref="L30:L37" si="10">+D30-H30</f>
        <v>-26955.989999999991</v>
      </c>
      <c r="M30" s="1"/>
      <c r="N30" s="5">
        <f t="shared" ref="N30:N37" si="11">IF(H30=0,0,L30/H30)</f>
        <v>-0.23183963736813226</v>
      </c>
      <c r="O30" s="14"/>
      <c r="P30" s="1">
        <f>SUM(OSRRefP22_1x_0)</f>
        <v>203620.9</v>
      </c>
      <c r="Q30" s="1"/>
      <c r="R30" s="5">
        <f t="shared" ref="R30:R37" si="12">IF(P$12=0,0,P30/P$12)</f>
        <v>0</v>
      </c>
      <c r="S30" s="1"/>
      <c r="T30" s="1">
        <f>SUM(OSRRefT22_1x_0)</f>
        <v>257625.79</v>
      </c>
      <c r="U30" s="1"/>
      <c r="V30" s="5">
        <f t="shared" ref="V30:V37" si="13">IF(T$12=0,0,T30/T$12)</f>
        <v>0</v>
      </c>
      <c r="W30" s="1"/>
      <c r="X30" s="1">
        <f t="shared" ref="X30:X37" si="14">+P30-T30</f>
        <v>-54004.890000000014</v>
      </c>
      <c r="Y30" s="1"/>
      <c r="Z30" s="5">
        <f t="shared" ref="Z30:Z37" si="15">IF(T30=0,0,X30/T30)</f>
        <v>-0.2096253251663974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20804.48</v>
      </c>
      <c r="E31" s="2"/>
      <c r="F31" s="6">
        <f t="shared" si="8"/>
        <v>0</v>
      </c>
      <c r="G31" s="2"/>
      <c r="H31" s="7">
        <v>29340.329999999998</v>
      </c>
      <c r="I31" s="2"/>
      <c r="J31" s="6">
        <f t="shared" si="9"/>
        <v>0</v>
      </c>
      <c r="K31" s="2"/>
      <c r="L31" s="7">
        <f t="shared" si="10"/>
        <v>-8535.8499999999985</v>
      </c>
      <c r="M31" s="2"/>
      <c r="N31" s="6">
        <f t="shared" si="11"/>
        <v>-0.29092549402136919</v>
      </c>
      <c r="O31" s="11"/>
      <c r="P31" s="7">
        <v>49554.77</v>
      </c>
      <c r="Q31" s="2"/>
      <c r="R31" s="6">
        <f t="shared" si="12"/>
        <v>0</v>
      </c>
      <c r="S31" s="2"/>
      <c r="T31" s="7">
        <v>68943.41</v>
      </c>
      <c r="U31" s="2"/>
      <c r="V31" s="6">
        <f t="shared" si="13"/>
        <v>0</v>
      </c>
      <c r="W31" s="2"/>
      <c r="X31" s="7">
        <f t="shared" si="14"/>
        <v>-19388.640000000007</v>
      </c>
      <c r="Y31" s="2"/>
      <c r="Z31" s="6">
        <f t="shared" si="15"/>
        <v>-0.28122542821714225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44494.060000000005</v>
      </c>
      <c r="E32" s="2"/>
      <c r="F32" s="6">
        <f t="shared" si="8"/>
        <v>0</v>
      </c>
      <c r="G32" s="2"/>
      <c r="H32" s="7">
        <v>41692.120000000003</v>
      </c>
      <c r="I32" s="2"/>
      <c r="J32" s="6">
        <f t="shared" si="9"/>
        <v>0</v>
      </c>
      <c r="K32" s="2"/>
      <c r="L32" s="7">
        <f t="shared" si="10"/>
        <v>2801.9400000000023</v>
      </c>
      <c r="M32" s="2"/>
      <c r="N32" s="6">
        <f t="shared" si="11"/>
        <v>6.720550550079972E-2</v>
      </c>
      <c r="O32" s="11"/>
      <c r="P32" s="7">
        <v>97784.41</v>
      </c>
      <c r="Q32" s="2"/>
      <c r="R32" s="6">
        <f t="shared" si="12"/>
        <v>0</v>
      </c>
      <c r="S32" s="2"/>
      <c r="T32" s="7">
        <v>93246.09</v>
      </c>
      <c r="U32" s="2"/>
      <c r="V32" s="6">
        <f t="shared" si="13"/>
        <v>0</v>
      </c>
      <c r="W32" s="2"/>
      <c r="X32" s="7">
        <f t="shared" si="14"/>
        <v>4538.320000000007</v>
      </c>
      <c r="Y32" s="2"/>
      <c r="Z32" s="6">
        <f t="shared" si="15"/>
        <v>4.8670351754159423E-2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>
        <v>17348.59</v>
      </c>
      <c r="E33" s="2"/>
      <c r="F33" s="6">
        <f t="shared" si="8"/>
        <v>0</v>
      </c>
      <c r="G33" s="2"/>
      <c r="H33" s="7">
        <v>20760.870000000003</v>
      </c>
      <c r="I33" s="2"/>
      <c r="J33" s="6">
        <f t="shared" si="9"/>
        <v>0</v>
      </c>
      <c r="K33" s="2"/>
      <c r="L33" s="7">
        <f t="shared" si="10"/>
        <v>-3412.2800000000025</v>
      </c>
      <c r="M33" s="2"/>
      <c r="N33" s="6">
        <f t="shared" si="11"/>
        <v>-0.1643611274479346</v>
      </c>
      <c r="O33" s="11"/>
      <c r="P33" s="7">
        <v>35878.89</v>
      </c>
      <c r="Q33" s="2"/>
      <c r="R33" s="6">
        <f t="shared" si="12"/>
        <v>0</v>
      </c>
      <c r="S33" s="2"/>
      <c r="T33" s="7">
        <v>41026.140000000007</v>
      </c>
      <c r="U33" s="2"/>
      <c r="V33" s="6">
        <f t="shared" si="13"/>
        <v>0</v>
      </c>
      <c r="W33" s="2"/>
      <c r="X33" s="7">
        <f t="shared" si="14"/>
        <v>-5147.2500000000073</v>
      </c>
      <c r="Y33" s="2"/>
      <c r="Z33" s="6">
        <f t="shared" si="15"/>
        <v>-0.12546269280999886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>
        <v>5756.74</v>
      </c>
      <c r="E34" s="2"/>
      <c r="F34" s="6">
        <f t="shared" si="8"/>
        <v>0</v>
      </c>
      <c r="G34" s="2"/>
      <c r="H34" s="7">
        <v>10180.65</v>
      </c>
      <c r="I34" s="2"/>
      <c r="J34" s="6">
        <f t="shared" si="9"/>
        <v>0</v>
      </c>
      <c r="K34" s="2"/>
      <c r="L34" s="7">
        <f t="shared" si="10"/>
        <v>-4423.91</v>
      </c>
      <c r="M34" s="2"/>
      <c r="N34" s="6">
        <f t="shared" si="11"/>
        <v>-0.43454101653627225</v>
      </c>
      <c r="O34" s="11"/>
      <c r="P34" s="7">
        <v>11640.08</v>
      </c>
      <c r="Q34" s="2"/>
      <c r="R34" s="6">
        <f t="shared" si="12"/>
        <v>0</v>
      </c>
      <c r="S34" s="2"/>
      <c r="T34" s="7">
        <v>18536.68</v>
      </c>
      <c r="U34" s="2"/>
      <c r="V34" s="6">
        <f t="shared" si="13"/>
        <v>0</v>
      </c>
      <c r="W34" s="2"/>
      <c r="X34" s="7">
        <f t="shared" si="14"/>
        <v>-6896.6</v>
      </c>
      <c r="Y34" s="2"/>
      <c r="Z34" s="6">
        <f t="shared" si="15"/>
        <v>-0.37205152163170535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8"/>
        <v>0</v>
      </c>
      <c r="G35" s="2"/>
      <c r="H35" s="7">
        <v>1153.93</v>
      </c>
      <c r="I35" s="2"/>
      <c r="J35" s="6">
        <f t="shared" si="9"/>
        <v>0</v>
      </c>
      <c r="K35" s="2"/>
      <c r="L35" s="7">
        <f t="shared" si="10"/>
        <v>-1153.93</v>
      </c>
      <c r="M35" s="2"/>
      <c r="N35" s="6">
        <f t="shared" si="11"/>
        <v>-1</v>
      </c>
      <c r="O35" s="11"/>
      <c r="P35" s="7"/>
      <c r="Q35" s="2"/>
      <c r="R35" s="6">
        <f t="shared" si="12"/>
        <v>0</v>
      </c>
      <c r="S35" s="2"/>
      <c r="T35" s="7">
        <v>1862.68</v>
      </c>
      <c r="U35" s="2"/>
      <c r="V35" s="6">
        <f t="shared" si="13"/>
        <v>0</v>
      </c>
      <c r="W35" s="2"/>
      <c r="X35" s="7">
        <f t="shared" si="14"/>
        <v>-1862.68</v>
      </c>
      <c r="Y35" s="2"/>
      <c r="Z35" s="6">
        <f t="shared" si="15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-900.11</v>
      </c>
      <c r="E36" s="2"/>
      <c r="F36" s="6">
        <f t="shared" si="8"/>
        <v>0</v>
      </c>
      <c r="G36" s="2"/>
      <c r="H36" s="7">
        <v>11601.39</v>
      </c>
      <c r="I36" s="2"/>
      <c r="J36" s="6">
        <f t="shared" si="9"/>
        <v>0</v>
      </c>
      <c r="K36" s="2"/>
      <c r="L36" s="7">
        <f t="shared" si="10"/>
        <v>-12501.5</v>
      </c>
      <c r="M36" s="2"/>
      <c r="N36" s="6">
        <f t="shared" si="11"/>
        <v>-1.0775863926650169</v>
      </c>
      <c r="O36" s="11"/>
      <c r="P36" s="7">
        <v>5723.89</v>
      </c>
      <c r="Q36" s="2"/>
      <c r="R36" s="6">
        <f t="shared" si="12"/>
        <v>0</v>
      </c>
      <c r="S36" s="2"/>
      <c r="T36" s="7">
        <v>30527.599999999999</v>
      </c>
      <c r="U36" s="2"/>
      <c r="V36" s="6">
        <f t="shared" si="13"/>
        <v>0</v>
      </c>
      <c r="W36" s="2"/>
      <c r="X36" s="7">
        <f t="shared" si="14"/>
        <v>-24803.71</v>
      </c>
      <c r="Y36" s="2"/>
      <c r="Z36" s="6">
        <f t="shared" si="15"/>
        <v>-0.81250114650349192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>
        <v>1810.23</v>
      </c>
      <c r="E37" s="2"/>
      <c r="F37" s="6">
        <f t="shared" si="8"/>
        <v>0</v>
      </c>
      <c r="G37" s="2"/>
      <c r="H37" s="7">
        <v>1540.69</v>
      </c>
      <c r="I37" s="2"/>
      <c r="J37" s="6">
        <f t="shared" si="9"/>
        <v>0</v>
      </c>
      <c r="K37" s="2"/>
      <c r="L37" s="7">
        <f t="shared" si="10"/>
        <v>269.53999999999996</v>
      </c>
      <c r="M37" s="2"/>
      <c r="N37" s="6">
        <f t="shared" si="11"/>
        <v>0.17494758841817623</v>
      </c>
      <c r="O37" s="11"/>
      <c r="P37" s="7">
        <v>3038.86</v>
      </c>
      <c r="Q37" s="2"/>
      <c r="R37" s="6">
        <f t="shared" si="12"/>
        <v>0</v>
      </c>
      <c r="S37" s="2"/>
      <c r="T37" s="7">
        <v>3483.19</v>
      </c>
      <c r="U37" s="2"/>
      <c r="V37" s="6">
        <f t="shared" si="13"/>
        <v>0</v>
      </c>
      <c r="W37" s="2"/>
      <c r="X37" s="7">
        <f t="shared" si="14"/>
        <v>-444.32999999999993</v>
      </c>
      <c r="Y37" s="2"/>
      <c r="Z37" s="6">
        <f t="shared" si="15"/>
        <v>-0.12756410072376181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176.68</v>
      </c>
      <c r="E38" s="1"/>
      <c r="F38" s="5">
        <f t="shared" ref="F38:F54" si="16">IF(D$12=0,0,D38/D$12)</f>
        <v>0</v>
      </c>
      <c r="G38" s="1"/>
      <c r="H38" s="1">
        <f>SUM(OSRRefH22_2x_0)</f>
        <v>-988.85</v>
      </c>
      <c r="I38" s="1"/>
      <c r="J38" s="5">
        <f t="shared" ref="J38:J54" si="17">IF(H$12=0,0,H38/H$12)</f>
        <v>0</v>
      </c>
      <c r="K38" s="1"/>
      <c r="L38" s="1">
        <f t="shared" ref="L38:L54" si="18">+D38-H38</f>
        <v>1165.53</v>
      </c>
      <c r="M38" s="1"/>
      <c r="N38" s="5">
        <f t="shared" ref="N38:N54" si="19">IF(H38=0,0,L38/H38)</f>
        <v>-1.1786721949739596</v>
      </c>
      <c r="O38" s="14"/>
      <c r="P38" s="1">
        <f>SUM(OSRRefP22_2x_0)</f>
        <v>235.06</v>
      </c>
      <c r="Q38" s="1"/>
      <c r="R38" s="5">
        <f t="shared" ref="R38:R54" si="20">IF(P$12=0,0,P38/P$12)</f>
        <v>0</v>
      </c>
      <c r="S38" s="1"/>
      <c r="T38" s="1">
        <f>SUM(OSRRefT22_2x_0)</f>
        <v>-1958.59</v>
      </c>
      <c r="U38" s="1"/>
      <c r="V38" s="5">
        <f t="shared" ref="V38:V54" si="21">IF(T$12=0,0,T38/T$12)</f>
        <v>0</v>
      </c>
      <c r="W38" s="1"/>
      <c r="X38" s="1">
        <f t="shared" ref="X38:X54" si="22">+P38-T38</f>
        <v>2193.65</v>
      </c>
      <c r="Y38" s="1"/>
      <c r="Z38" s="5">
        <f t="shared" ref="Z38:Z54" si="23">IF(T38=0,0,X38/T38)</f>
        <v>-1.1200149086843088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>
        <v>176.68</v>
      </c>
      <c r="E39" s="2"/>
      <c r="F39" s="6">
        <f t="shared" si="16"/>
        <v>0</v>
      </c>
      <c r="G39" s="2"/>
      <c r="H39" s="7">
        <v>-988.85</v>
      </c>
      <c r="I39" s="2"/>
      <c r="J39" s="6">
        <f t="shared" si="17"/>
        <v>0</v>
      </c>
      <c r="K39" s="2"/>
      <c r="L39" s="7">
        <f t="shared" si="18"/>
        <v>1165.53</v>
      </c>
      <c r="M39" s="2"/>
      <c r="N39" s="6">
        <f t="shared" si="19"/>
        <v>-1.1786721949739596</v>
      </c>
      <c r="O39" s="11"/>
      <c r="P39" s="7">
        <v>235.06</v>
      </c>
      <c r="Q39" s="2"/>
      <c r="R39" s="6">
        <f t="shared" si="20"/>
        <v>0</v>
      </c>
      <c r="S39" s="2"/>
      <c r="T39" s="7">
        <v>-1958.59</v>
      </c>
      <c r="U39" s="2"/>
      <c r="V39" s="6">
        <f t="shared" si="21"/>
        <v>0</v>
      </c>
      <c r="W39" s="2"/>
      <c r="X39" s="7">
        <f t="shared" si="22"/>
        <v>2193.65</v>
      </c>
      <c r="Y39" s="2"/>
      <c r="Z39" s="6">
        <f t="shared" si="23"/>
        <v>-1.1200149086843088</v>
      </c>
    </row>
    <row r="40" spans="1:26" s="28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7</v>
      </c>
      <c r="E40" s="1"/>
      <c r="F40" s="5">
        <f t="shared" si="16"/>
        <v>0</v>
      </c>
      <c r="G40" s="1"/>
      <c r="H40" s="1">
        <f>SUM(OSRRefH22_3x_0)</f>
        <v>2611.65</v>
      </c>
      <c r="I40" s="1"/>
      <c r="J40" s="5">
        <f t="shared" si="17"/>
        <v>0</v>
      </c>
      <c r="K40" s="1"/>
      <c r="L40" s="1">
        <f t="shared" si="18"/>
        <v>-2604.65</v>
      </c>
      <c r="M40" s="1"/>
      <c r="N40" s="5">
        <f t="shared" si="19"/>
        <v>-0.99731970210403387</v>
      </c>
      <c r="O40" s="14"/>
      <c r="P40" s="1">
        <f>SUM(OSRRefP22_3x_0)</f>
        <v>930.98</v>
      </c>
      <c r="Q40" s="1"/>
      <c r="R40" s="5">
        <f t="shared" si="20"/>
        <v>0</v>
      </c>
      <c r="S40" s="1"/>
      <c r="T40" s="1">
        <f>SUM(OSRRefT22_3x_0)</f>
        <v>3438.04</v>
      </c>
      <c r="U40" s="1"/>
      <c r="V40" s="5">
        <f t="shared" si="21"/>
        <v>0</v>
      </c>
      <c r="W40" s="1"/>
      <c r="X40" s="1">
        <f t="shared" si="22"/>
        <v>-2507.06</v>
      </c>
      <c r="Y40" s="1"/>
      <c r="Z40" s="5">
        <f t="shared" si="23"/>
        <v>-0.72921199287966398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7">
        <v>7</v>
      </c>
      <c r="E41" s="2"/>
      <c r="F41" s="6">
        <f t="shared" si="16"/>
        <v>0</v>
      </c>
      <c r="G41" s="2"/>
      <c r="H41" s="7">
        <v>2611.65</v>
      </c>
      <c r="I41" s="2"/>
      <c r="J41" s="6">
        <f t="shared" si="17"/>
        <v>0</v>
      </c>
      <c r="K41" s="2"/>
      <c r="L41" s="7">
        <f t="shared" si="18"/>
        <v>-2604.65</v>
      </c>
      <c r="M41" s="2"/>
      <c r="N41" s="6">
        <f t="shared" si="19"/>
        <v>-0.99731970210403387</v>
      </c>
      <c r="O41" s="11"/>
      <c r="P41" s="7">
        <v>930.98</v>
      </c>
      <c r="Q41" s="2"/>
      <c r="R41" s="6">
        <f t="shared" si="20"/>
        <v>0</v>
      </c>
      <c r="S41" s="2"/>
      <c r="T41" s="7">
        <v>3438.04</v>
      </c>
      <c r="U41" s="2"/>
      <c r="V41" s="6">
        <f t="shared" si="21"/>
        <v>0</v>
      </c>
      <c r="W41" s="2"/>
      <c r="X41" s="7">
        <f t="shared" si="22"/>
        <v>-2507.06</v>
      </c>
      <c r="Y41" s="2"/>
      <c r="Z41" s="6">
        <f t="shared" si="23"/>
        <v>-0.72921199287966398</v>
      </c>
    </row>
    <row r="42" spans="1:26" s="28" customFormat="1" outlineLevel="1" collapsed="1" x14ac:dyDescent="0.25">
      <c r="A42" s="27"/>
      <c r="B42" s="14" t="str">
        <f>CONCATENATE("     ","Board                                             ")</f>
        <v xml:space="preserve">     Board                                             </v>
      </c>
      <c r="C42" s="14"/>
      <c r="D42" s="1">
        <f>SUM(OSRRefD22_4x_0)</f>
        <v>4354.01</v>
      </c>
      <c r="E42" s="1"/>
      <c r="F42" s="5">
        <f t="shared" si="16"/>
        <v>0</v>
      </c>
      <c r="G42" s="1"/>
      <c r="H42" s="1">
        <f>SUM(OSRRefH22_4x_0)</f>
        <v>2489.2800000000002</v>
      </c>
      <c r="I42" s="1"/>
      <c r="J42" s="5">
        <f t="shared" si="17"/>
        <v>0</v>
      </c>
      <c r="K42" s="1"/>
      <c r="L42" s="1">
        <f t="shared" si="18"/>
        <v>1864.73</v>
      </c>
      <c r="M42" s="1"/>
      <c r="N42" s="5">
        <f t="shared" si="19"/>
        <v>0.74910415863221491</v>
      </c>
      <c r="O42" s="14"/>
      <c r="P42" s="1">
        <f>SUM(OSRRefP22_4x_0)</f>
        <v>5137.8</v>
      </c>
      <c r="Q42" s="1"/>
      <c r="R42" s="5">
        <f t="shared" si="20"/>
        <v>0</v>
      </c>
      <c r="S42" s="1"/>
      <c r="T42" s="1">
        <f>SUM(OSRRefT22_4x_0)</f>
        <v>4914.68</v>
      </c>
      <c r="U42" s="1"/>
      <c r="V42" s="5">
        <f t="shared" si="21"/>
        <v>0</v>
      </c>
      <c r="W42" s="1"/>
      <c r="X42" s="1">
        <f t="shared" si="22"/>
        <v>223.11999999999989</v>
      </c>
      <c r="Y42" s="1"/>
      <c r="Z42" s="5">
        <f t="shared" si="23"/>
        <v>4.5398683128911724E-2</v>
      </c>
    </row>
    <row r="43" spans="1:26" s="24" customFormat="1" hidden="1" outlineLevel="2" x14ac:dyDescent="0.25">
      <c r="A43" s="29"/>
      <c r="B43" s="11" t="str">
        <f>CONCATENATE("          ", "6397", " - ", "BOARD EXPENSES")</f>
        <v xml:space="preserve">          6397 - BOARD EXPENSES</v>
      </c>
      <c r="C43" s="11"/>
      <c r="D43" s="7">
        <v>4354.01</v>
      </c>
      <c r="E43" s="2"/>
      <c r="F43" s="6">
        <f t="shared" si="16"/>
        <v>0</v>
      </c>
      <c r="G43" s="2"/>
      <c r="H43" s="7">
        <v>2489.2800000000002</v>
      </c>
      <c r="I43" s="2"/>
      <c r="J43" s="6">
        <f t="shared" si="17"/>
        <v>0</v>
      </c>
      <c r="K43" s="2"/>
      <c r="L43" s="7">
        <f t="shared" si="18"/>
        <v>1864.73</v>
      </c>
      <c r="M43" s="2"/>
      <c r="N43" s="6">
        <f t="shared" si="19"/>
        <v>0.74910415863221491</v>
      </c>
      <c r="O43" s="11"/>
      <c r="P43" s="7">
        <v>5137.8</v>
      </c>
      <c r="Q43" s="2"/>
      <c r="R43" s="6">
        <f t="shared" si="20"/>
        <v>0</v>
      </c>
      <c r="S43" s="2"/>
      <c r="T43" s="7">
        <v>4914.68</v>
      </c>
      <c r="U43" s="2"/>
      <c r="V43" s="6">
        <f t="shared" si="21"/>
        <v>0</v>
      </c>
      <c r="W43" s="2"/>
      <c r="X43" s="7">
        <f t="shared" si="22"/>
        <v>223.11999999999989</v>
      </c>
      <c r="Y43" s="2"/>
      <c r="Z43" s="6">
        <f t="shared" si="23"/>
        <v>4.5398683128911724E-2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7607.16</v>
      </c>
      <c r="E44" s="1"/>
      <c r="F44" s="5">
        <f t="shared" si="16"/>
        <v>0</v>
      </c>
      <c r="G44" s="1"/>
      <c r="H44" s="1">
        <f>SUM(OSRRefH22_5x_0)</f>
        <v>8599.93</v>
      </c>
      <c r="I44" s="1"/>
      <c r="J44" s="5">
        <f t="shared" si="17"/>
        <v>0</v>
      </c>
      <c r="K44" s="1"/>
      <c r="L44" s="1">
        <f t="shared" si="18"/>
        <v>-992.77000000000044</v>
      </c>
      <c r="M44" s="1"/>
      <c r="N44" s="5">
        <f t="shared" si="19"/>
        <v>-0.11543931171532797</v>
      </c>
      <c r="O44" s="14"/>
      <c r="P44" s="1">
        <f>SUM(OSRRefP22_5x_0)</f>
        <v>15214.32</v>
      </c>
      <c r="Q44" s="1"/>
      <c r="R44" s="5">
        <f t="shared" si="20"/>
        <v>0</v>
      </c>
      <c r="S44" s="1"/>
      <c r="T44" s="1">
        <f>SUM(OSRRefT22_5x_0)</f>
        <v>17199.86</v>
      </c>
      <c r="U44" s="1"/>
      <c r="V44" s="5">
        <f t="shared" si="21"/>
        <v>0</v>
      </c>
      <c r="W44" s="1"/>
      <c r="X44" s="1">
        <f t="shared" si="22"/>
        <v>-1985.5400000000009</v>
      </c>
      <c r="Y44" s="1"/>
      <c r="Z44" s="5">
        <f t="shared" si="23"/>
        <v>-0.11543931171532797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7607.16</v>
      </c>
      <c r="E45" s="2"/>
      <c r="F45" s="6">
        <f t="shared" si="16"/>
        <v>0</v>
      </c>
      <c r="G45" s="2"/>
      <c r="H45" s="7">
        <v>8599.93</v>
      </c>
      <c r="I45" s="2"/>
      <c r="J45" s="6">
        <f t="shared" si="17"/>
        <v>0</v>
      </c>
      <c r="K45" s="2"/>
      <c r="L45" s="7">
        <f t="shared" si="18"/>
        <v>-992.77000000000044</v>
      </c>
      <c r="M45" s="2"/>
      <c r="N45" s="6">
        <f t="shared" si="19"/>
        <v>-0.11543931171532797</v>
      </c>
      <c r="O45" s="11"/>
      <c r="P45" s="7">
        <v>15214.32</v>
      </c>
      <c r="Q45" s="2"/>
      <c r="R45" s="6">
        <f t="shared" si="20"/>
        <v>0</v>
      </c>
      <c r="S45" s="2"/>
      <c r="T45" s="7">
        <v>17199.86</v>
      </c>
      <c r="U45" s="2"/>
      <c r="V45" s="6">
        <f t="shared" si="21"/>
        <v>0</v>
      </c>
      <c r="W45" s="2"/>
      <c r="X45" s="7">
        <f t="shared" si="22"/>
        <v>-1985.5400000000009</v>
      </c>
      <c r="Y45" s="2"/>
      <c r="Z45" s="6">
        <f t="shared" si="23"/>
        <v>-0.11543931171532797</v>
      </c>
    </row>
    <row r="46" spans="1:26" s="28" customFormat="1" outlineLevel="1" collapsed="1" x14ac:dyDescent="0.25">
      <c r="A46" s="27"/>
      <c r="B46" s="14" t="str">
        <f>CONCATENATE("     ","Donations                                         ")</f>
        <v xml:space="preserve">     Donations                                         </v>
      </c>
      <c r="C46" s="14"/>
      <c r="D46" s="1">
        <f>SUM(OSRRefD22_6x_0)</f>
        <v>0</v>
      </c>
      <c r="E46" s="1"/>
      <c r="F46" s="5">
        <f t="shared" si="16"/>
        <v>0</v>
      </c>
      <c r="G46" s="1"/>
      <c r="H46" s="1">
        <f>SUM(OSRRefH22_6x_0)</f>
        <v>110000.75</v>
      </c>
      <c r="I46" s="1"/>
      <c r="J46" s="5">
        <f t="shared" si="17"/>
        <v>0</v>
      </c>
      <c r="K46" s="1"/>
      <c r="L46" s="1">
        <f t="shared" si="18"/>
        <v>-110000.75</v>
      </c>
      <c r="M46" s="1"/>
      <c r="N46" s="5">
        <f t="shared" si="19"/>
        <v>-1</v>
      </c>
      <c r="O46" s="14"/>
      <c r="P46" s="1">
        <f>SUM(OSRRefP22_6x_0)</f>
        <v>0</v>
      </c>
      <c r="Q46" s="1"/>
      <c r="R46" s="5">
        <f t="shared" si="20"/>
        <v>0</v>
      </c>
      <c r="S46" s="1"/>
      <c r="T46" s="1">
        <f>SUM(OSRRefT22_6x_0)</f>
        <v>111668.6</v>
      </c>
      <c r="U46" s="1"/>
      <c r="V46" s="5">
        <f t="shared" si="21"/>
        <v>0</v>
      </c>
      <c r="W46" s="1"/>
      <c r="X46" s="1">
        <f t="shared" si="22"/>
        <v>-111668.6</v>
      </c>
      <c r="Y46" s="1"/>
      <c r="Z46" s="5">
        <f t="shared" si="23"/>
        <v>-1</v>
      </c>
    </row>
    <row r="47" spans="1:26" s="24" customFormat="1" hidden="1" outlineLevel="2" x14ac:dyDescent="0.25">
      <c r="A47" s="29"/>
      <c r="B47" s="11" t="str">
        <f>CONCATENATE("          ", "6399", " - ", "DONATION-ON CAMPUS")</f>
        <v xml:space="preserve">          6399 - DONATION-ON CAMPUS</v>
      </c>
      <c r="C47" s="11"/>
      <c r="D47" s="7"/>
      <c r="E47" s="2"/>
      <c r="F47" s="6">
        <f t="shared" si="16"/>
        <v>0</v>
      </c>
      <c r="G47" s="2"/>
      <c r="H47" s="7">
        <v>110000.75</v>
      </c>
      <c r="I47" s="2"/>
      <c r="J47" s="6">
        <f t="shared" si="17"/>
        <v>0</v>
      </c>
      <c r="K47" s="2"/>
      <c r="L47" s="7">
        <f t="shared" si="18"/>
        <v>-110000.75</v>
      </c>
      <c r="M47" s="2"/>
      <c r="N47" s="6">
        <f t="shared" si="19"/>
        <v>-1</v>
      </c>
      <c r="O47" s="11"/>
      <c r="P47" s="7"/>
      <c r="Q47" s="2"/>
      <c r="R47" s="6">
        <f t="shared" si="20"/>
        <v>0</v>
      </c>
      <c r="S47" s="2"/>
      <c r="T47" s="7">
        <v>111668.6</v>
      </c>
      <c r="U47" s="2"/>
      <c r="V47" s="6">
        <f t="shared" si="21"/>
        <v>0</v>
      </c>
      <c r="W47" s="2"/>
      <c r="X47" s="7">
        <f t="shared" si="22"/>
        <v>-111668.6</v>
      </c>
      <c r="Y47" s="2"/>
      <c r="Z47" s="6">
        <f t="shared" si="23"/>
        <v>-1</v>
      </c>
    </row>
    <row r="48" spans="1:26" s="28" customFormat="1" outlineLevel="1" collapsed="1" x14ac:dyDescent="0.25">
      <c r="A48" s="27"/>
      <c r="B48" s="14" t="str">
        <f>CONCATENATE("     ","Employees' Appreciation                           ")</f>
        <v xml:space="preserve">     Employees' Appreciation                           </v>
      </c>
      <c r="C48" s="14"/>
      <c r="D48" s="1">
        <f>SUM(OSRRefD22_7x_0)</f>
        <v>81.56</v>
      </c>
      <c r="E48" s="1"/>
      <c r="F48" s="5">
        <f t="shared" si="16"/>
        <v>0</v>
      </c>
      <c r="G48" s="1"/>
      <c r="H48" s="1">
        <f>SUM(OSRRefH22_7x_0)</f>
        <v>5979.54</v>
      </c>
      <c r="I48" s="1"/>
      <c r="J48" s="5">
        <f t="shared" si="17"/>
        <v>0</v>
      </c>
      <c r="K48" s="1"/>
      <c r="L48" s="1">
        <f t="shared" si="18"/>
        <v>-5897.98</v>
      </c>
      <c r="M48" s="1"/>
      <c r="N48" s="5">
        <f t="shared" si="19"/>
        <v>-0.98636015479451589</v>
      </c>
      <c r="O48" s="14"/>
      <c r="P48" s="1">
        <f>SUM(OSRRefP22_7x_0)</f>
        <v>81.56</v>
      </c>
      <c r="Q48" s="1"/>
      <c r="R48" s="5">
        <f t="shared" si="20"/>
        <v>0</v>
      </c>
      <c r="S48" s="1"/>
      <c r="T48" s="1">
        <f>SUM(OSRRefT22_7x_0)</f>
        <v>11127.12</v>
      </c>
      <c r="U48" s="1"/>
      <c r="V48" s="5">
        <f t="shared" si="21"/>
        <v>0</v>
      </c>
      <c r="W48" s="1"/>
      <c r="X48" s="1">
        <f t="shared" si="22"/>
        <v>-11045.560000000001</v>
      </c>
      <c r="Y48" s="1"/>
      <c r="Z48" s="5">
        <f t="shared" si="23"/>
        <v>-0.99267016083227289</v>
      </c>
    </row>
    <row r="49" spans="1:26" s="24" customFormat="1" hidden="1" outlineLevel="2" x14ac:dyDescent="0.25">
      <c r="A49" s="29"/>
      <c r="B49" s="11" t="str">
        <f>CONCATENATE("          ", "6277", " - ", "EMPLOYEE APPRECIATION")</f>
        <v xml:space="preserve">          6277 - EMPLOYEE APPRECIATION</v>
      </c>
      <c r="C49" s="11"/>
      <c r="D49" s="7">
        <v>81.56</v>
      </c>
      <c r="E49" s="2"/>
      <c r="F49" s="6">
        <f t="shared" si="16"/>
        <v>0</v>
      </c>
      <c r="G49" s="2"/>
      <c r="H49" s="7">
        <v>5979.54</v>
      </c>
      <c r="I49" s="2"/>
      <c r="J49" s="6">
        <f t="shared" si="17"/>
        <v>0</v>
      </c>
      <c r="K49" s="2"/>
      <c r="L49" s="7">
        <f t="shared" si="18"/>
        <v>-5897.98</v>
      </c>
      <c r="M49" s="2"/>
      <c r="N49" s="6">
        <f t="shared" si="19"/>
        <v>-0.98636015479451589</v>
      </c>
      <c r="O49" s="11"/>
      <c r="P49" s="7">
        <v>81.56</v>
      </c>
      <c r="Q49" s="2"/>
      <c r="R49" s="6">
        <f t="shared" si="20"/>
        <v>0</v>
      </c>
      <c r="S49" s="2"/>
      <c r="T49" s="7">
        <v>11127.12</v>
      </c>
      <c r="U49" s="2"/>
      <c r="V49" s="6">
        <f t="shared" si="21"/>
        <v>0</v>
      </c>
      <c r="W49" s="2"/>
      <c r="X49" s="7">
        <f t="shared" si="22"/>
        <v>-11045.560000000001</v>
      </c>
      <c r="Y49" s="2"/>
      <c r="Z49" s="6">
        <f t="shared" si="23"/>
        <v>-0.99267016083227289</v>
      </c>
    </row>
    <row r="50" spans="1:26" s="28" customFormat="1" outlineLevel="1" collapsed="1" x14ac:dyDescent="0.25">
      <c r="A50" s="27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SUM(OSRRefD22_8x_0)</f>
        <v>208.97</v>
      </c>
      <c r="E50" s="1"/>
      <c r="F50" s="5">
        <f t="shared" si="16"/>
        <v>0</v>
      </c>
      <c r="G50" s="1"/>
      <c r="H50" s="1">
        <f>SUM(OSRRefH22_8x_0)</f>
        <v>300.24</v>
      </c>
      <c r="I50" s="1"/>
      <c r="J50" s="5">
        <f t="shared" si="17"/>
        <v>0</v>
      </c>
      <c r="K50" s="1"/>
      <c r="L50" s="1">
        <f t="shared" si="18"/>
        <v>-91.27000000000001</v>
      </c>
      <c r="M50" s="1"/>
      <c r="N50" s="5">
        <f t="shared" si="19"/>
        <v>-0.30399014122035706</v>
      </c>
      <c r="O50" s="14"/>
      <c r="P50" s="1">
        <f>SUM(OSRRefP22_8x_0)</f>
        <v>417.94</v>
      </c>
      <c r="Q50" s="1"/>
      <c r="R50" s="5">
        <f t="shared" si="20"/>
        <v>0</v>
      </c>
      <c r="S50" s="1"/>
      <c r="T50" s="1">
        <f>SUM(OSRRefT22_8x_0)</f>
        <v>600.48</v>
      </c>
      <c r="U50" s="1"/>
      <c r="V50" s="5">
        <f t="shared" si="21"/>
        <v>0</v>
      </c>
      <c r="W50" s="1"/>
      <c r="X50" s="1">
        <f t="shared" si="22"/>
        <v>-182.54000000000002</v>
      </c>
      <c r="Y50" s="1"/>
      <c r="Z50" s="5">
        <f t="shared" si="23"/>
        <v>-0.30399014122035706</v>
      </c>
    </row>
    <row r="51" spans="1:26" s="24" customFormat="1" hidden="1" outlineLevel="2" x14ac:dyDescent="0.25">
      <c r="A51" s="29"/>
      <c r="B51" s="11" t="str">
        <f>CONCATENATE("          ", "6351", " - ", "EQUIPMENT RENTAL")</f>
        <v xml:space="preserve">          6351 - EQUIPMENT RENTAL</v>
      </c>
      <c r="C51" s="11"/>
      <c r="D51" s="7">
        <v>208.97</v>
      </c>
      <c r="E51" s="2"/>
      <c r="F51" s="6">
        <f t="shared" si="16"/>
        <v>0</v>
      </c>
      <c r="G51" s="2"/>
      <c r="H51" s="7">
        <v>300.24</v>
      </c>
      <c r="I51" s="2"/>
      <c r="J51" s="6">
        <f t="shared" si="17"/>
        <v>0</v>
      </c>
      <c r="K51" s="2"/>
      <c r="L51" s="7">
        <f t="shared" si="18"/>
        <v>-91.27000000000001</v>
      </c>
      <c r="M51" s="2"/>
      <c r="N51" s="6">
        <f t="shared" si="19"/>
        <v>-0.30399014122035706</v>
      </c>
      <c r="O51" s="11"/>
      <c r="P51" s="7">
        <v>417.94</v>
      </c>
      <c r="Q51" s="2"/>
      <c r="R51" s="6">
        <f t="shared" si="20"/>
        <v>0</v>
      </c>
      <c r="S51" s="2"/>
      <c r="T51" s="7">
        <v>600.48</v>
      </c>
      <c r="U51" s="2"/>
      <c r="V51" s="6">
        <f t="shared" si="21"/>
        <v>0</v>
      </c>
      <c r="W51" s="2"/>
      <c r="X51" s="7">
        <f t="shared" si="22"/>
        <v>-182.54000000000002</v>
      </c>
      <c r="Y51" s="2"/>
      <c r="Z51" s="6">
        <f t="shared" si="23"/>
        <v>-0.30399014122035706</v>
      </c>
    </row>
    <row r="52" spans="1:26" s="28" customFormat="1" outlineLevel="1" collapsed="1" x14ac:dyDescent="0.25">
      <c r="A52" s="27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SUM(OSRRefD22_9x_0)</f>
        <v>174.01</v>
      </c>
      <c r="E52" s="1"/>
      <c r="F52" s="5">
        <f t="shared" si="16"/>
        <v>0</v>
      </c>
      <c r="G52" s="1"/>
      <c r="H52" s="1">
        <f>SUM(OSRRefH22_9x_0)</f>
        <v>238.85</v>
      </c>
      <c r="I52" s="1"/>
      <c r="J52" s="5">
        <f t="shared" si="17"/>
        <v>0</v>
      </c>
      <c r="K52" s="1"/>
      <c r="L52" s="1">
        <f t="shared" si="18"/>
        <v>-64.84</v>
      </c>
      <c r="M52" s="1"/>
      <c r="N52" s="5">
        <f t="shared" si="19"/>
        <v>-0.27146744818924012</v>
      </c>
      <c r="O52" s="14"/>
      <c r="P52" s="1">
        <f>SUM(OSRRefP22_9x_0)</f>
        <v>258.01</v>
      </c>
      <c r="Q52" s="1"/>
      <c r="R52" s="5">
        <f t="shared" si="20"/>
        <v>0</v>
      </c>
      <c r="S52" s="1"/>
      <c r="T52" s="1">
        <f>SUM(OSRRefT22_9x_0)</f>
        <v>347.5</v>
      </c>
      <c r="U52" s="1"/>
      <c r="V52" s="5">
        <f t="shared" si="21"/>
        <v>0</v>
      </c>
      <c r="W52" s="1"/>
      <c r="X52" s="1">
        <f t="shared" si="22"/>
        <v>-89.490000000000009</v>
      </c>
      <c r="Y52" s="1"/>
      <c r="Z52" s="5">
        <f t="shared" si="23"/>
        <v>-0.25752517985611512</v>
      </c>
    </row>
    <row r="53" spans="1:26" s="24" customFormat="1" hidden="1" outlineLevel="2" x14ac:dyDescent="0.25">
      <c r="A53" s="29"/>
      <c r="B53" s="11" t="str">
        <f>CONCATENATE("          ", "6305", " - ", "FREIGHT OUT")</f>
        <v xml:space="preserve">          6305 - FREIGHT OUT</v>
      </c>
      <c r="C53" s="11"/>
      <c r="D53" s="7">
        <v>5.41</v>
      </c>
      <c r="E53" s="2"/>
      <c r="F53" s="6">
        <f t="shared" si="16"/>
        <v>0</v>
      </c>
      <c r="G53" s="2"/>
      <c r="H53" s="7"/>
      <c r="I53" s="2"/>
      <c r="J53" s="6">
        <f t="shared" si="17"/>
        <v>0</v>
      </c>
      <c r="K53" s="2"/>
      <c r="L53" s="7">
        <f t="shared" si="18"/>
        <v>5.41</v>
      </c>
      <c r="M53" s="2"/>
      <c r="N53" s="6">
        <f t="shared" si="19"/>
        <v>0</v>
      </c>
      <c r="O53" s="11"/>
      <c r="P53" s="7">
        <v>5.41</v>
      </c>
      <c r="Q53" s="2"/>
      <c r="R53" s="6">
        <f t="shared" si="20"/>
        <v>0</v>
      </c>
      <c r="S53" s="2"/>
      <c r="T53" s="7"/>
      <c r="U53" s="2"/>
      <c r="V53" s="6">
        <f t="shared" si="21"/>
        <v>0</v>
      </c>
      <c r="W53" s="2"/>
      <c r="X53" s="7">
        <f t="shared" si="22"/>
        <v>5.41</v>
      </c>
      <c r="Y53" s="2"/>
      <c r="Z53" s="6">
        <f t="shared" si="23"/>
        <v>0</v>
      </c>
    </row>
    <row r="54" spans="1:26" s="24" customFormat="1" hidden="1" outlineLevel="2" x14ac:dyDescent="0.25">
      <c r="A54" s="29"/>
      <c r="B54" s="11" t="str">
        <f>CONCATENATE("          ", "6307", " - ", "POSTAGE")</f>
        <v xml:space="preserve">          6307 - POSTAGE</v>
      </c>
      <c r="C54" s="11"/>
      <c r="D54" s="7">
        <v>168.6</v>
      </c>
      <c r="E54" s="2"/>
      <c r="F54" s="6">
        <f t="shared" si="16"/>
        <v>0</v>
      </c>
      <c r="G54" s="2"/>
      <c r="H54" s="7">
        <v>238.85</v>
      </c>
      <c r="I54" s="2"/>
      <c r="J54" s="6">
        <f t="shared" si="17"/>
        <v>0</v>
      </c>
      <c r="K54" s="2"/>
      <c r="L54" s="7">
        <f t="shared" si="18"/>
        <v>-70.25</v>
      </c>
      <c r="M54" s="2"/>
      <c r="N54" s="6">
        <f t="shared" si="19"/>
        <v>-0.29411764705882354</v>
      </c>
      <c r="O54" s="11"/>
      <c r="P54" s="7">
        <v>252.6</v>
      </c>
      <c r="Q54" s="2"/>
      <c r="R54" s="6">
        <f t="shared" si="20"/>
        <v>0</v>
      </c>
      <c r="S54" s="2"/>
      <c r="T54" s="7">
        <v>347.5</v>
      </c>
      <c r="U54" s="2"/>
      <c r="V54" s="6">
        <f t="shared" si="21"/>
        <v>0</v>
      </c>
      <c r="W54" s="2"/>
      <c r="X54" s="7">
        <f t="shared" si="22"/>
        <v>-94.9</v>
      </c>
      <c r="Y54" s="2"/>
      <c r="Z54" s="6">
        <f t="shared" si="23"/>
        <v>-0.27309352517985613</v>
      </c>
    </row>
    <row r="55" spans="1:26" s="28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SUM(OSRRefD22_10x_0)</f>
        <v>-684</v>
      </c>
      <c r="E55" s="1"/>
      <c r="F55" s="5">
        <f t="shared" ref="F55:F63" si="24">IF(D$12=0,0,D55/D$12)</f>
        <v>0</v>
      </c>
      <c r="G55" s="1"/>
      <c r="H55" s="1">
        <f>SUM(OSRRefH22_10x_0)</f>
        <v>2250</v>
      </c>
      <c r="I55" s="1"/>
      <c r="J55" s="5">
        <f t="shared" ref="J55:J63" si="25">IF(H$12=0,0,H55/H$12)</f>
        <v>0</v>
      </c>
      <c r="K55" s="1"/>
      <c r="L55" s="1">
        <f t="shared" ref="L55:L63" si="26">+D55-H55</f>
        <v>-2934</v>
      </c>
      <c r="M55" s="1"/>
      <c r="N55" s="5">
        <f t="shared" ref="N55:N63" si="27">IF(H55=0,0,L55/H55)</f>
        <v>-1.304</v>
      </c>
      <c r="O55" s="14"/>
      <c r="P55" s="1">
        <f>SUM(OSRRefP22_10x_0)</f>
        <v>-684</v>
      </c>
      <c r="Q55" s="1"/>
      <c r="R55" s="5">
        <f t="shared" ref="R55:R63" si="28">IF(P$12=0,0,P55/P$12)</f>
        <v>0</v>
      </c>
      <c r="S55" s="1"/>
      <c r="T55" s="1">
        <f>SUM(OSRRefT22_10x_0)</f>
        <v>2280.62</v>
      </c>
      <c r="U55" s="1"/>
      <c r="V55" s="5">
        <f t="shared" ref="V55:V63" si="29">IF(T$12=0,0,T55/T$12)</f>
        <v>0</v>
      </c>
      <c r="W55" s="1"/>
      <c r="X55" s="1">
        <f t="shared" ref="X55:X63" si="30">+P55-T55</f>
        <v>-2964.62</v>
      </c>
      <c r="Y55" s="1"/>
      <c r="Z55" s="5">
        <f t="shared" ref="Z55:Z63" si="31">IF(T55=0,0,X55/T55)</f>
        <v>-1.2999184432303497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>
        <v>-684</v>
      </c>
      <c r="E56" s="2"/>
      <c r="F56" s="6">
        <f t="shared" si="24"/>
        <v>0</v>
      </c>
      <c r="G56" s="2"/>
      <c r="H56" s="7">
        <v>2250</v>
      </c>
      <c r="I56" s="2"/>
      <c r="J56" s="6">
        <f t="shared" si="25"/>
        <v>0</v>
      </c>
      <c r="K56" s="2"/>
      <c r="L56" s="7">
        <f t="shared" si="26"/>
        <v>-2934</v>
      </c>
      <c r="M56" s="2"/>
      <c r="N56" s="6">
        <f t="shared" si="27"/>
        <v>-1.304</v>
      </c>
      <c r="O56" s="11"/>
      <c r="P56" s="7">
        <v>-684</v>
      </c>
      <c r="Q56" s="2"/>
      <c r="R56" s="6">
        <f t="shared" si="28"/>
        <v>0</v>
      </c>
      <c r="S56" s="2"/>
      <c r="T56" s="7">
        <v>2280.62</v>
      </c>
      <c r="U56" s="2"/>
      <c r="V56" s="6">
        <f t="shared" si="29"/>
        <v>0</v>
      </c>
      <c r="W56" s="2"/>
      <c r="X56" s="7">
        <f t="shared" si="30"/>
        <v>-2964.62</v>
      </c>
      <c r="Y56" s="2"/>
      <c r="Z56" s="6">
        <f t="shared" si="31"/>
        <v>-1.2999184432303497</v>
      </c>
    </row>
    <row r="57" spans="1:26" s="28" customFormat="1" outlineLevel="1" collapsed="1" x14ac:dyDescent="0.25">
      <c r="A57" s="27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SUM(OSRRefD22_11x_0)</f>
        <v>393.67</v>
      </c>
      <c r="E57" s="1"/>
      <c r="F57" s="5">
        <f t="shared" si="24"/>
        <v>0</v>
      </c>
      <c r="G57" s="1"/>
      <c r="H57" s="1">
        <f>SUM(OSRRefH22_11x_0)</f>
        <v>393.67</v>
      </c>
      <c r="I57" s="1"/>
      <c r="J57" s="5">
        <f t="shared" si="25"/>
        <v>0</v>
      </c>
      <c r="K57" s="1"/>
      <c r="L57" s="1">
        <f t="shared" si="26"/>
        <v>0</v>
      </c>
      <c r="M57" s="1"/>
      <c r="N57" s="5">
        <f t="shared" si="27"/>
        <v>0</v>
      </c>
      <c r="O57" s="14"/>
      <c r="P57" s="1">
        <f>SUM(OSRRefP22_11x_0)</f>
        <v>787.34</v>
      </c>
      <c r="Q57" s="1"/>
      <c r="R57" s="5">
        <f t="shared" si="28"/>
        <v>0</v>
      </c>
      <c r="S57" s="1"/>
      <c r="T57" s="1">
        <f>SUM(OSRRefT22_11x_0)</f>
        <v>787.34</v>
      </c>
      <c r="U57" s="1"/>
      <c r="V57" s="5">
        <f t="shared" si="29"/>
        <v>0</v>
      </c>
      <c r="W57" s="1"/>
      <c r="X57" s="1">
        <f t="shared" si="30"/>
        <v>0</v>
      </c>
      <c r="Y57" s="1"/>
      <c r="Z57" s="5">
        <f t="shared" si="31"/>
        <v>0</v>
      </c>
    </row>
    <row r="58" spans="1:26" s="24" customFormat="1" hidden="1" outlineLevel="2" x14ac:dyDescent="0.25">
      <c r="A58" s="29"/>
      <c r="B58" s="11" t="str">
        <f>CONCATENATE("          ", "6314", " - ", "LIABILITY INSURANCE")</f>
        <v xml:space="preserve">          6314 - LIABILITY INSURANCE</v>
      </c>
      <c r="C58" s="11"/>
      <c r="D58" s="7">
        <v>393.67</v>
      </c>
      <c r="E58" s="2"/>
      <c r="F58" s="6">
        <f t="shared" si="24"/>
        <v>0</v>
      </c>
      <c r="G58" s="2"/>
      <c r="H58" s="7">
        <v>393.67</v>
      </c>
      <c r="I58" s="2"/>
      <c r="J58" s="6">
        <f t="shared" si="25"/>
        <v>0</v>
      </c>
      <c r="K58" s="2"/>
      <c r="L58" s="7">
        <f t="shared" si="26"/>
        <v>0</v>
      </c>
      <c r="M58" s="2"/>
      <c r="N58" s="6">
        <f t="shared" si="27"/>
        <v>0</v>
      </c>
      <c r="O58" s="11"/>
      <c r="P58" s="7">
        <v>787.34</v>
      </c>
      <c r="Q58" s="2"/>
      <c r="R58" s="6">
        <f t="shared" si="28"/>
        <v>0</v>
      </c>
      <c r="S58" s="2"/>
      <c r="T58" s="7">
        <v>787.34</v>
      </c>
      <c r="U58" s="2"/>
      <c r="V58" s="6">
        <f t="shared" si="29"/>
        <v>0</v>
      </c>
      <c r="W58" s="2"/>
      <c r="X58" s="7">
        <f t="shared" si="30"/>
        <v>0</v>
      </c>
      <c r="Y58" s="2"/>
      <c r="Z58" s="6">
        <f t="shared" si="31"/>
        <v>0</v>
      </c>
    </row>
    <row r="59" spans="1:26" s="28" customFormat="1" outlineLevel="1" collapsed="1" x14ac:dyDescent="0.25">
      <c r="A59" s="27"/>
      <c r="B59" s="14" t="str">
        <f>CONCATENATE("     ","Professional Services                             ")</f>
        <v xml:space="preserve">     Professional Services                             </v>
      </c>
      <c r="C59" s="14"/>
      <c r="D59" s="1">
        <f>SUM(OSRRefD22_12x_0)</f>
        <v>12982.84</v>
      </c>
      <c r="E59" s="1"/>
      <c r="F59" s="5">
        <f t="shared" si="24"/>
        <v>0</v>
      </c>
      <c r="G59" s="1"/>
      <c r="H59" s="1">
        <f>SUM(OSRRefH22_12x_0)</f>
        <v>19839</v>
      </c>
      <c r="I59" s="1"/>
      <c r="J59" s="5">
        <f t="shared" si="25"/>
        <v>0</v>
      </c>
      <c r="K59" s="1"/>
      <c r="L59" s="1">
        <f t="shared" si="26"/>
        <v>-6856.16</v>
      </c>
      <c r="M59" s="1"/>
      <c r="N59" s="5">
        <f t="shared" si="27"/>
        <v>-0.34558999949594232</v>
      </c>
      <c r="O59" s="14"/>
      <c r="P59" s="1">
        <f>SUM(OSRRefP22_12x_0)</f>
        <v>14737.84</v>
      </c>
      <c r="Q59" s="1"/>
      <c r="R59" s="5">
        <f t="shared" si="28"/>
        <v>0</v>
      </c>
      <c r="S59" s="1"/>
      <c r="T59" s="1">
        <f>SUM(OSRRefT22_12x_0)</f>
        <v>25590.239999999998</v>
      </c>
      <c r="U59" s="1"/>
      <c r="V59" s="5">
        <f t="shared" si="29"/>
        <v>0</v>
      </c>
      <c r="W59" s="1"/>
      <c r="X59" s="1">
        <f t="shared" si="30"/>
        <v>-10852.399999999998</v>
      </c>
      <c r="Y59" s="1"/>
      <c r="Z59" s="5">
        <f t="shared" si="31"/>
        <v>-0.42408355685605131</v>
      </c>
    </row>
    <row r="60" spans="1:26" s="24" customFormat="1" hidden="1" outlineLevel="2" x14ac:dyDescent="0.25">
      <c r="A60" s="29"/>
      <c r="B60" s="11" t="str">
        <f>CONCATENATE("          ", "6331", " - ", "INDIRECT COSTS-AUXILIARY ORGAN")</f>
        <v xml:space="preserve">          6331 - INDIRECT COSTS-AUXILIARY ORGAN</v>
      </c>
      <c r="C60" s="11"/>
      <c r="D60" s="7">
        <v>11585.75</v>
      </c>
      <c r="E60" s="2"/>
      <c r="F60" s="6">
        <f t="shared" si="24"/>
        <v>0</v>
      </c>
      <c r="G60" s="2"/>
      <c r="H60" s="7">
        <v>11487</v>
      </c>
      <c r="I60" s="2"/>
      <c r="J60" s="6">
        <f t="shared" si="25"/>
        <v>0</v>
      </c>
      <c r="K60" s="2"/>
      <c r="L60" s="7">
        <f t="shared" si="26"/>
        <v>98.75</v>
      </c>
      <c r="M60" s="2"/>
      <c r="N60" s="6">
        <f t="shared" si="27"/>
        <v>8.5966745016105156E-3</v>
      </c>
      <c r="O60" s="11"/>
      <c r="P60" s="7">
        <v>11585.75</v>
      </c>
      <c r="Q60" s="2"/>
      <c r="R60" s="6">
        <f t="shared" si="28"/>
        <v>0</v>
      </c>
      <c r="S60" s="2"/>
      <c r="T60" s="7">
        <v>11487</v>
      </c>
      <c r="U60" s="2"/>
      <c r="V60" s="6">
        <f t="shared" si="29"/>
        <v>0</v>
      </c>
      <c r="W60" s="2"/>
      <c r="X60" s="7">
        <f t="shared" si="30"/>
        <v>98.75</v>
      </c>
      <c r="Y60" s="2"/>
      <c r="Z60" s="6">
        <f t="shared" si="31"/>
        <v>8.5966745016105156E-3</v>
      </c>
    </row>
    <row r="61" spans="1:26" s="24" customFormat="1" hidden="1" outlineLevel="2" x14ac:dyDescent="0.25">
      <c r="A61" s="29"/>
      <c r="B61" s="11" t="str">
        <f>CONCATENATE("          ", "6332", " - ", "CONSULTANT FEES")</f>
        <v xml:space="preserve">          6332 - CONSULTANT FEES</v>
      </c>
      <c r="C61" s="11"/>
      <c r="D61" s="7"/>
      <c r="E61" s="2"/>
      <c r="F61" s="6">
        <f t="shared" si="24"/>
        <v>0</v>
      </c>
      <c r="G61" s="2"/>
      <c r="H61" s="7"/>
      <c r="I61" s="2"/>
      <c r="J61" s="6">
        <f t="shared" si="25"/>
        <v>0</v>
      </c>
      <c r="K61" s="2"/>
      <c r="L61" s="7">
        <f t="shared" si="26"/>
        <v>0</v>
      </c>
      <c r="M61" s="2"/>
      <c r="N61" s="6">
        <f t="shared" si="27"/>
        <v>0</v>
      </c>
      <c r="O61" s="11"/>
      <c r="P61" s="7"/>
      <c r="Q61" s="2"/>
      <c r="R61" s="6">
        <f t="shared" si="28"/>
        <v>0</v>
      </c>
      <c r="S61" s="2"/>
      <c r="T61" s="7">
        <v>82.5</v>
      </c>
      <c r="U61" s="2"/>
      <c r="V61" s="6">
        <f t="shared" si="29"/>
        <v>0</v>
      </c>
      <c r="W61" s="2"/>
      <c r="X61" s="7">
        <f t="shared" si="30"/>
        <v>-82.5</v>
      </c>
      <c r="Y61" s="2"/>
      <c r="Z61" s="6">
        <f t="shared" si="31"/>
        <v>-1</v>
      </c>
    </row>
    <row r="62" spans="1:26" s="24" customFormat="1" hidden="1" outlineLevel="2" x14ac:dyDescent="0.25">
      <c r="A62" s="29"/>
      <c r="B62" s="11" t="str">
        <f>CONCATENATE("          ", "6334", " - ", "LEGAL COUNCIL EXPENSE")</f>
        <v xml:space="preserve">          6334 - LEGAL COUNCIL EXPENSE</v>
      </c>
      <c r="C62" s="11"/>
      <c r="D62" s="7">
        <v>1050</v>
      </c>
      <c r="E62" s="2"/>
      <c r="F62" s="6">
        <f t="shared" si="24"/>
        <v>0</v>
      </c>
      <c r="G62" s="2"/>
      <c r="H62" s="7">
        <v>6615</v>
      </c>
      <c r="I62" s="2"/>
      <c r="J62" s="6">
        <f t="shared" si="25"/>
        <v>0</v>
      </c>
      <c r="K62" s="2"/>
      <c r="L62" s="7">
        <f t="shared" si="26"/>
        <v>-5565</v>
      </c>
      <c r="M62" s="2"/>
      <c r="N62" s="6">
        <f t="shared" si="27"/>
        <v>-0.84126984126984128</v>
      </c>
      <c r="O62" s="11"/>
      <c r="P62" s="7">
        <v>1150</v>
      </c>
      <c r="Q62" s="2"/>
      <c r="R62" s="6">
        <f t="shared" si="28"/>
        <v>0</v>
      </c>
      <c r="S62" s="2"/>
      <c r="T62" s="7">
        <v>6630</v>
      </c>
      <c r="U62" s="2"/>
      <c r="V62" s="6">
        <f t="shared" si="29"/>
        <v>0</v>
      </c>
      <c r="W62" s="2"/>
      <c r="X62" s="7">
        <f t="shared" si="30"/>
        <v>-5480</v>
      </c>
      <c r="Y62" s="2"/>
      <c r="Z62" s="6">
        <f t="shared" si="31"/>
        <v>-0.8265460030165912</v>
      </c>
    </row>
    <row r="63" spans="1:26" s="24" customFormat="1" hidden="1" outlineLevel="2" x14ac:dyDescent="0.25">
      <c r="A63" s="29"/>
      <c r="B63" s="11" t="str">
        <f>CONCATENATE("          ", "6336", " - ", "PROFESSIONAL SERVICES")</f>
        <v xml:space="preserve">          6336 - PROFESSIONAL SERVICES</v>
      </c>
      <c r="C63" s="11"/>
      <c r="D63" s="7">
        <v>347.09</v>
      </c>
      <c r="E63" s="2"/>
      <c r="F63" s="6">
        <f t="shared" si="24"/>
        <v>0</v>
      </c>
      <c r="G63" s="2"/>
      <c r="H63" s="7">
        <v>1737</v>
      </c>
      <c r="I63" s="2"/>
      <c r="J63" s="6">
        <f t="shared" si="25"/>
        <v>0</v>
      </c>
      <c r="K63" s="2"/>
      <c r="L63" s="7">
        <f t="shared" si="26"/>
        <v>-1389.91</v>
      </c>
      <c r="M63" s="2"/>
      <c r="N63" s="6">
        <f t="shared" si="27"/>
        <v>-0.8001784686240645</v>
      </c>
      <c r="O63" s="11"/>
      <c r="P63" s="7">
        <v>2002.09</v>
      </c>
      <c r="Q63" s="2"/>
      <c r="R63" s="6">
        <f t="shared" si="28"/>
        <v>0</v>
      </c>
      <c r="S63" s="2"/>
      <c r="T63" s="7">
        <v>7390.74</v>
      </c>
      <c r="U63" s="2"/>
      <c r="V63" s="6">
        <f t="shared" si="29"/>
        <v>0</v>
      </c>
      <c r="W63" s="2"/>
      <c r="X63" s="7">
        <f t="shared" si="30"/>
        <v>-5388.65</v>
      </c>
      <c r="Y63" s="2"/>
      <c r="Z63" s="6">
        <f t="shared" si="31"/>
        <v>-0.72910831662323394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19368.66</v>
      </c>
      <c r="E64" s="1"/>
      <c r="F64" s="5">
        <f t="shared" ref="F64:F67" si="32">IF(D$12=0,0,D64/D$12)</f>
        <v>0</v>
      </c>
      <c r="G64" s="1"/>
      <c r="H64" s="1">
        <f>SUM(OSRRefH22_13x_0)</f>
        <v>23169.769999999997</v>
      </c>
      <c r="I64" s="1"/>
      <c r="J64" s="5">
        <f t="shared" ref="J64:J67" si="33">IF(H$12=0,0,H64/H$12)</f>
        <v>0</v>
      </c>
      <c r="K64" s="1"/>
      <c r="L64" s="1">
        <f t="shared" ref="L64:L67" si="34">+D64-H64</f>
        <v>-3801.1099999999969</v>
      </c>
      <c r="M64" s="1"/>
      <c r="N64" s="5">
        <f t="shared" ref="N64:N67" si="35">IF(H64=0,0,L64/H64)</f>
        <v>-0.16405471439725114</v>
      </c>
      <c r="O64" s="14"/>
      <c r="P64" s="1">
        <f>SUM(OSRRefP22_13x_0)</f>
        <v>40175.670000000006</v>
      </c>
      <c r="Q64" s="1"/>
      <c r="R64" s="5">
        <f t="shared" ref="R64:R67" si="36">IF(P$12=0,0,P64/P$12)</f>
        <v>0</v>
      </c>
      <c r="S64" s="1"/>
      <c r="T64" s="1">
        <f>SUM(OSRRefT22_13x_0)</f>
        <v>49958.42</v>
      </c>
      <c r="U64" s="1"/>
      <c r="V64" s="5">
        <f t="shared" ref="V64:V67" si="37">IF(T$12=0,0,T64/T$12)</f>
        <v>0</v>
      </c>
      <c r="W64" s="1"/>
      <c r="X64" s="1">
        <f t="shared" ref="X64:X67" si="38">+P64-T64</f>
        <v>-9782.7499999999927</v>
      </c>
      <c r="Y64" s="1"/>
      <c r="Z64" s="5">
        <f t="shared" ref="Z64:Z67" si="39">IF(T64=0,0,X64/T64)</f>
        <v>-0.19581784211750478</v>
      </c>
    </row>
    <row r="65" spans="1:26" s="24" customFormat="1" hidden="1" outlineLevel="2" x14ac:dyDescent="0.25">
      <c r="A65" s="29"/>
      <c r="B65" s="11" t="str">
        <f>CONCATENATE("          ", "6371", " - ", "COMPUTER SOFTWARE MAINTENANCE")</f>
        <v xml:space="preserve">          6371 - COMPUTER SOFTWARE MAINTENANCE</v>
      </c>
      <c r="C65" s="11"/>
      <c r="D65" s="7">
        <v>3945.66</v>
      </c>
      <c r="E65" s="2"/>
      <c r="F65" s="6">
        <f t="shared" si="32"/>
        <v>0</v>
      </c>
      <c r="G65" s="2"/>
      <c r="H65" s="7">
        <v>9621.5499999999993</v>
      </c>
      <c r="I65" s="2"/>
      <c r="J65" s="6">
        <f t="shared" si="33"/>
        <v>0</v>
      </c>
      <c r="K65" s="2"/>
      <c r="L65" s="7">
        <f t="shared" si="34"/>
        <v>-5675.8899999999994</v>
      </c>
      <c r="M65" s="2"/>
      <c r="N65" s="6">
        <f t="shared" si="35"/>
        <v>-0.58991430694638591</v>
      </c>
      <c r="O65" s="11"/>
      <c r="P65" s="7">
        <v>8477.86</v>
      </c>
      <c r="Q65" s="2"/>
      <c r="R65" s="6">
        <f t="shared" si="36"/>
        <v>0</v>
      </c>
      <c r="S65" s="2"/>
      <c r="T65" s="7">
        <v>20377.46</v>
      </c>
      <c r="U65" s="2"/>
      <c r="V65" s="6">
        <f t="shared" si="37"/>
        <v>0</v>
      </c>
      <c r="W65" s="2"/>
      <c r="X65" s="7">
        <f t="shared" si="38"/>
        <v>-11899.599999999999</v>
      </c>
      <c r="Y65" s="2"/>
      <c r="Z65" s="6">
        <f t="shared" si="39"/>
        <v>-0.58395894287119199</v>
      </c>
    </row>
    <row r="66" spans="1:26" s="24" customFormat="1" hidden="1" outlineLevel="2" x14ac:dyDescent="0.25">
      <c r="A66" s="29"/>
      <c r="B66" s="11" t="str">
        <f>CONCATENATE("          ", "6373", " - ", "MAINTENANCE CONTRACTS")</f>
        <v xml:space="preserve">          6373 - MAINTENANCE CONTRACTS</v>
      </c>
      <c r="C66" s="11"/>
      <c r="D66" s="7">
        <v>15423</v>
      </c>
      <c r="E66" s="2"/>
      <c r="F66" s="6">
        <f t="shared" si="32"/>
        <v>0</v>
      </c>
      <c r="G66" s="2"/>
      <c r="H66" s="7">
        <v>13548.22</v>
      </c>
      <c r="I66" s="2"/>
      <c r="J66" s="6">
        <f t="shared" si="33"/>
        <v>0</v>
      </c>
      <c r="K66" s="2"/>
      <c r="L66" s="7">
        <f t="shared" si="34"/>
        <v>1874.7800000000007</v>
      </c>
      <c r="M66" s="2"/>
      <c r="N66" s="6">
        <f t="shared" si="35"/>
        <v>0.13837832571363623</v>
      </c>
      <c r="O66" s="11"/>
      <c r="P66" s="7">
        <v>30878.620000000003</v>
      </c>
      <c r="Q66" s="2"/>
      <c r="R66" s="6">
        <f t="shared" si="36"/>
        <v>0</v>
      </c>
      <c r="S66" s="2"/>
      <c r="T66" s="7">
        <v>29461.53</v>
      </c>
      <c r="U66" s="2"/>
      <c r="V66" s="6">
        <f t="shared" si="37"/>
        <v>0</v>
      </c>
      <c r="W66" s="2"/>
      <c r="X66" s="7">
        <f t="shared" si="38"/>
        <v>1417.0900000000038</v>
      </c>
      <c r="Y66" s="2"/>
      <c r="Z66" s="6">
        <f t="shared" si="39"/>
        <v>4.8099674388940555E-2</v>
      </c>
    </row>
    <row r="67" spans="1:26" s="24" customFormat="1" hidden="1" outlineLevel="2" x14ac:dyDescent="0.25">
      <c r="A67" s="29"/>
      <c r="B67" s="11" t="str">
        <f>CONCATENATE("          ", "6375", " - ", "OUTSIDE REPAIRS &amp; MAINTENANCE")</f>
        <v xml:space="preserve">          6375 - OUTSIDE REPAIRS &amp; MAINTENANCE</v>
      </c>
      <c r="C67" s="11"/>
      <c r="D67" s="7"/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</v>
      </c>
      <c r="M67" s="2"/>
      <c r="N67" s="6">
        <f t="shared" si="35"/>
        <v>0</v>
      </c>
      <c r="O67" s="11"/>
      <c r="P67" s="7">
        <v>819.19</v>
      </c>
      <c r="Q67" s="2"/>
      <c r="R67" s="6">
        <f t="shared" si="36"/>
        <v>0</v>
      </c>
      <c r="S67" s="2"/>
      <c r="T67" s="7">
        <v>119.43</v>
      </c>
      <c r="U67" s="2"/>
      <c r="V67" s="6">
        <f t="shared" si="37"/>
        <v>0</v>
      </c>
      <c r="W67" s="2"/>
      <c r="X67" s="7">
        <f t="shared" si="38"/>
        <v>699.76</v>
      </c>
      <c r="Y67" s="2"/>
      <c r="Z67" s="6">
        <f t="shared" si="39"/>
        <v>5.8591643640626305</v>
      </c>
    </row>
    <row r="68" spans="1:26" s="28" customFormat="1" outlineLevel="1" collapsed="1" x14ac:dyDescent="0.25">
      <c r="A68" s="27"/>
      <c r="B68" s="14" t="str">
        <f>CONCATENATE("     ","Services                                          ")</f>
        <v xml:space="preserve">     Services                                          </v>
      </c>
      <c r="C68" s="14"/>
      <c r="D68" s="1">
        <f>SUM(OSRRefD22_14x_0)</f>
        <v>0</v>
      </c>
      <c r="E68" s="1"/>
      <c r="F68" s="5">
        <f t="shared" ref="F68:F70" si="40">IF(D$12=0,0,D68/D$12)</f>
        <v>0</v>
      </c>
      <c r="G68" s="1"/>
      <c r="H68" s="1">
        <f>SUM(OSRRefH22_14x_0)</f>
        <v>1847.2</v>
      </c>
      <c r="I68" s="1"/>
      <c r="J68" s="5">
        <f t="shared" ref="J68:J70" si="41">IF(H$12=0,0,H68/H$12)</f>
        <v>0</v>
      </c>
      <c r="K68" s="1"/>
      <c r="L68" s="1">
        <f t="shared" ref="L68:L70" si="42">+D68-H68</f>
        <v>-1847.2</v>
      </c>
      <c r="M68" s="1"/>
      <c r="N68" s="5">
        <f t="shared" ref="N68:N70" si="43">IF(H68=0,0,L68/H68)</f>
        <v>-1</v>
      </c>
      <c r="O68" s="14"/>
      <c r="P68" s="1">
        <f>SUM(OSRRefP22_14x_0)</f>
        <v>512.48</v>
      </c>
      <c r="Q68" s="1"/>
      <c r="R68" s="5">
        <f t="shared" ref="R68:R70" si="44">IF(P$12=0,0,P68/P$12)</f>
        <v>0</v>
      </c>
      <c r="S68" s="1"/>
      <c r="T68" s="1">
        <f>SUM(OSRRefT22_14x_0)</f>
        <v>2869.7400000000002</v>
      </c>
      <c r="U68" s="1"/>
      <c r="V68" s="5">
        <f t="shared" ref="V68:V70" si="45">IF(T$12=0,0,T68/T$12)</f>
        <v>0</v>
      </c>
      <c r="W68" s="1"/>
      <c r="X68" s="1">
        <f t="shared" ref="X68:X70" si="46">+P68-T68</f>
        <v>-2357.2600000000002</v>
      </c>
      <c r="Y68" s="1"/>
      <c r="Z68" s="5">
        <f t="shared" ref="Z68:Z70" si="47">IF(T68=0,0,X68/T68)</f>
        <v>-0.82141936203279742</v>
      </c>
    </row>
    <row r="69" spans="1:26" s="24" customFormat="1" hidden="1" outlineLevel="2" x14ac:dyDescent="0.25">
      <c r="A69" s="29"/>
      <c r="B69" s="11" t="str">
        <f>CONCATENATE("          ", "6281", " - ", "STORAGE FEE")</f>
        <v xml:space="preserve">          6281 - STORAGE FEE</v>
      </c>
      <c r="C69" s="11"/>
      <c r="D69" s="7"/>
      <c r="E69" s="2"/>
      <c r="F69" s="6">
        <f t="shared" si="40"/>
        <v>0</v>
      </c>
      <c r="G69" s="2"/>
      <c r="H69" s="7">
        <v>1842.78</v>
      </c>
      <c r="I69" s="2"/>
      <c r="J69" s="6">
        <f t="shared" si="41"/>
        <v>0</v>
      </c>
      <c r="K69" s="2"/>
      <c r="L69" s="7">
        <f t="shared" si="42"/>
        <v>-1842.78</v>
      </c>
      <c r="M69" s="2"/>
      <c r="N69" s="6">
        <f t="shared" si="43"/>
        <v>-1</v>
      </c>
      <c r="O69" s="11"/>
      <c r="P69" s="7">
        <v>512.48</v>
      </c>
      <c r="Q69" s="2"/>
      <c r="R69" s="6">
        <f t="shared" si="44"/>
        <v>0</v>
      </c>
      <c r="S69" s="2"/>
      <c r="T69" s="7">
        <v>2856.48</v>
      </c>
      <c r="U69" s="2"/>
      <c r="V69" s="6">
        <f t="shared" si="45"/>
        <v>0</v>
      </c>
      <c r="W69" s="2"/>
      <c r="X69" s="7">
        <f t="shared" si="46"/>
        <v>-2344</v>
      </c>
      <c r="Y69" s="2"/>
      <c r="Z69" s="6">
        <f t="shared" si="47"/>
        <v>-0.8205903769674564</v>
      </c>
    </row>
    <row r="70" spans="1:26" s="24" customFormat="1" hidden="1" outlineLevel="2" x14ac:dyDescent="0.25">
      <c r="A70" s="29"/>
      <c r="B70" s="11" t="str">
        <f>CONCATENATE("          ", "6286", " - ", "LAUNDRY EXPENSE")</f>
        <v xml:space="preserve">          6286 - LAUNDRY EXPENSE</v>
      </c>
      <c r="C70" s="11"/>
      <c r="D70" s="7"/>
      <c r="E70" s="2"/>
      <c r="F70" s="6">
        <f t="shared" si="40"/>
        <v>0</v>
      </c>
      <c r="G70" s="2"/>
      <c r="H70" s="7">
        <v>4.42</v>
      </c>
      <c r="I70" s="2"/>
      <c r="J70" s="6">
        <f t="shared" si="41"/>
        <v>0</v>
      </c>
      <c r="K70" s="2"/>
      <c r="L70" s="7">
        <f t="shared" si="42"/>
        <v>-4.42</v>
      </c>
      <c r="M70" s="2"/>
      <c r="N70" s="6">
        <f t="shared" si="43"/>
        <v>-1</v>
      </c>
      <c r="O70" s="11"/>
      <c r="P70" s="7"/>
      <c r="Q70" s="2"/>
      <c r="R70" s="6">
        <f t="shared" si="44"/>
        <v>0</v>
      </c>
      <c r="S70" s="2"/>
      <c r="T70" s="7">
        <v>13.26</v>
      </c>
      <c r="U70" s="2"/>
      <c r="V70" s="6">
        <f t="shared" si="45"/>
        <v>0</v>
      </c>
      <c r="W70" s="2"/>
      <c r="X70" s="7">
        <f t="shared" si="46"/>
        <v>-13.26</v>
      </c>
      <c r="Y70" s="2"/>
      <c r="Z70" s="6">
        <f t="shared" si="47"/>
        <v>-1</v>
      </c>
    </row>
    <row r="71" spans="1:26" s="28" customFormat="1" outlineLevel="1" collapsed="1" x14ac:dyDescent="0.25">
      <c r="A71" s="27"/>
      <c r="B71" s="14" t="str">
        <f>CONCATENATE("     ","Subscriptions &amp; Dues                              ")</f>
        <v xml:space="preserve">     Subscriptions &amp; Dues                              </v>
      </c>
      <c r="C71" s="14"/>
      <c r="D71" s="1">
        <f>SUM(OSRRefD22_15x_0)</f>
        <v>1725</v>
      </c>
      <c r="E71" s="1"/>
      <c r="F71" s="5">
        <f t="shared" ref="F71:F78" si="48">IF(D$12=0,0,D71/D$12)</f>
        <v>0</v>
      </c>
      <c r="G71" s="1"/>
      <c r="H71" s="1">
        <f>SUM(OSRRefH22_15x_0)</f>
        <v>587</v>
      </c>
      <c r="I71" s="1"/>
      <c r="J71" s="5">
        <f t="shared" ref="J71:J78" si="49">IF(H$12=0,0,H71/H$12)</f>
        <v>0</v>
      </c>
      <c r="K71" s="1"/>
      <c r="L71" s="1">
        <f t="shared" ref="L71:L78" si="50">+D71-H71</f>
        <v>1138</v>
      </c>
      <c r="M71" s="1"/>
      <c r="N71" s="5">
        <f t="shared" ref="N71:N78" si="51">IF(H71=0,0,L71/H71)</f>
        <v>1.938671209540034</v>
      </c>
      <c r="O71" s="14"/>
      <c r="P71" s="1">
        <f>SUM(OSRRefP22_15x_0)</f>
        <v>1725</v>
      </c>
      <c r="Q71" s="1"/>
      <c r="R71" s="5">
        <f t="shared" ref="R71:R78" si="52">IF(P$12=0,0,P71/P$12)</f>
        <v>0</v>
      </c>
      <c r="S71" s="1"/>
      <c r="T71" s="1">
        <f>SUM(OSRRefT22_15x_0)</f>
        <v>1587</v>
      </c>
      <c r="U71" s="1"/>
      <c r="V71" s="5">
        <f t="shared" ref="V71:V78" si="53">IF(T$12=0,0,T71/T$12)</f>
        <v>0</v>
      </c>
      <c r="W71" s="1"/>
      <c r="X71" s="1">
        <f t="shared" ref="X71:X78" si="54">+P71-T71</f>
        <v>138</v>
      </c>
      <c r="Y71" s="1"/>
      <c r="Z71" s="5">
        <f t="shared" ref="Z71:Z78" si="55">IF(T71=0,0,X71/T71)</f>
        <v>8.6956521739130432E-2</v>
      </c>
    </row>
    <row r="72" spans="1:26" s="24" customFormat="1" hidden="1" outlineLevel="2" x14ac:dyDescent="0.25">
      <c r="A72" s="29"/>
      <c r="B72" s="11" t="str">
        <f>CONCATENATE("          ", "6258", " - ", "MEMBERSHIP DUES")</f>
        <v xml:space="preserve">          6258 - MEMBERSHIP DUES</v>
      </c>
      <c r="C72" s="11"/>
      <c r="D72" s="7">
        <v>1725</v>
      </c>
      <c r="E72" s="2"/>
      <c r="F72" s="6">
        <f t="shared" si="48"/>
        <v>0</v>
      </c>
      <c r="G72" s="2"/>
      <c r="H72" s="7">
        <v>587</v>
      </c>
      <c r="I72" s="2"/>
      <c r="J72" s="6">
        <f t="shared" si="49"/>
        <v>0</v>
      </c>
      <c r="K72" s="2"/>
      <c r="L72" s="7">
        <f t="shared" si="50"/>
        <v>1138</v>
      </c>
      <c r="M72" s="2"/>
      <c r="N72" s="6">
        <f t="shared" si="51"/>
        <v>1.938671209540034</v>
      </c>
      <c r="O72" s="11"/>
      <c r="P72" s="7">
        <v>1725</v>
      </c>
      <c r="Q72" s="2"/>
      <c r="R72" s="6">
        <f t="shared" si="52"/>
        <v>0</v>
      </c>
      <c r="S72" s="2"/>
      <c r="T72" s="7">
        <v>1587</v>
      </c>
      <c r="U72" s="2"/>
      <c r="V72" s="6">
        <f t="shared" si="53"/>
        <v>0</v>
      </c>
      <c r="W72" s="2"/>
      <c r="X72" s="7">
        <f t="shared" si="54"/>
        <v>138</v>
      </c>
      <c r="Y72" s="2"/>
      <c r="Z72" s="6">
        <f t="shared" si="55"/>
        <v>8.6956521739130432E-2</v>
      </c>
    </row>
    <row r="73" spans="1:26" s="28" customFormat="1" outlineLevel="1" collapsed="1" x14ac:dyDescent="0.25">
      <c r="A73" s="27"/>
      <c r="B73" s="14" t="str">
        <f>CONCATENATE("     ","Supplies                                          ")</f>
        <v xml:space="preserve">     Supplies                                          </v>
      </c>
      <c r="C73" s="14"/>
      <c r="D73" s="1">
        <f>SUM(OSRRefD22_16x_0)</f>
        <v>584.02</v>
      </c>
      <c r="E73" s="1"/>
      <c r="F73" s="5">
        <f t="shared" si="48"/>
        <v>0</v>
      </c>
      <c r="G73" s="1"/>
      <c r="H73" s="1">
        <f>SUM(OSRRefH22_16x_0)</f>
        <v>10131.74</v>
      </c>
      <c r="I73" s="1"/>
      <c r="J73" s="5">
        <f t="shared" si="49"/>
        <v>0</v>
      </c>
      <c r="K73" s="1"/>
      <c r="L73" s="1">
        <f t="shared" si="50"/>
        <v>-9547.7199999999993</v>
      </c>
      <c r="M73" s="1"/>
      <c r="N73" s="5">
        <f t="shared" si="51"/>
        <v>-0.94235738382548306</v>
      </c>
      <c r="O73" s="14"/>
      <c r="P73" s="1">
        <f>SUM(OSRRefP22_16x_0)</f>
        <v>1682.81</v>
      </c>
      <c r="Q73" s="1"/>
      <c r="R73" s="5">
        <f t="shared" si="52"/>
        <v>0</v>
      </c>
      <c r="S73" s="1"/>
      <c r="T73" s="1">
        <f>SUM(OSRRefT22_16x_0)</f>
        <v>19922.339999999997</v>
      </c>
      <c r="U73" s="1"/>
      <c r="V73" s="5">
        <f t="shared" si="53"/>
        <v>0</v>
      </c>
      <c r="W73" s="1"/>
      <c r="X73" s="1">
        <f t="shared" si="54"/>
        <v>-18239.529999999995</v>
      </c>
      <c r="Y73" s="1"/>
      <c r="Z73" s="5">
        <f t="shared" si="55"/>
        <v>-0.91553150884886003</v>
      </c>
    </row>
    <row r="74" spans="1:26" s="24" customFormat="1" hidden="1" outlineLevel="2" x14ac:dyDescent="0.25">
      <c r="A74" s="29"/>
      <c r="B74" s="11" t="str">
        <f>CONCATENATE("          ", "6234", " - ", "EXPENDABLE SUPPLIES &amp; EQUIPMEN")</f>
        <v xml:space="preserve">          6234 - EXPENDABLE SUPPLIES &amp; EQUIPMEN</v>
      </c>
      <c r="C74" s="11"/>
      <c r="D74" s="7"/>
      <c r="E74" s="2"/>
      <c r="F74" s="6">
        <f t="shared" si="48"/>
        <v>0</v>
      </c>
      <c r="G74" s="2"/>
      <c r="H74" s="7">
        <v>785.75</v>
      </c>
      <c r="I74" s="2"/>
      <c r="J74" s="6">
        <f t="shared" si="49"/>
        <v>0</v>
      </c>
      <c r="K74" s="2"/>
      <c r="L74" s="7">
        <f t="shared" si="50"/>
        <v>-785.75</v>
      </c>
      <c r="M74" s="2"/>
      <c r="N74" s="6">
        <f t="shared" si="51"/>
        <v>-1</v>
      </c>
      <c r="O74" s="11"/>
      <c r="P74" s="7"/>
      <c r="Q74" s="2"/>
      <c r="R74" s="6">
        <f t="shared" si="52"/>
        <v>0</v>
      </c>
      <c r="S74" s="2"/>
      <c r="T74" s="7">
        <v>559.94000000000005</v>
      </c>
      <c r="U74" s="2"/>
      <c r="V74" s="6">
        <f t="shared" si="53"/>
        <v>0</v>
      </c>
      <c r="W74" s="2"/>
      <c r="X74" s="7">
        <f t="shared" si="54"/>
        <v>-559.94000000000005</v>
      </c>
      <c r="Y74" s="2"/>
      <c r="Z74" s="6">
        <f t="shared" si="55"/>
        <v>-1</v>
      </c>
    </row>
    <row r="75" spans="1:26" s="24" customFormat="1" hidden="1" outlineLevel="2" x14ac:dyDescent="0.25">
      <c r="A75" s="29"/>
      <c r="B75" s="11" t="str">
        <f>CONCATENATE("          ", "6235", " - ", "COVID-19 EXPENSES")</f>
        <v xml:space="preserve">          6235 - COVID-19 EXPENSES</v>
      </c>
      <c r="C75" s="11"/>
      <c r="D75" s="7"/>
      <c r="E75" s="2"/>
      <c r="F75" s="6">
        <f t="shared" si="48"/>
        <v>0</v>
      </c>
      <c r="G75" s="2"/>
      <c r="H75" s="7"/>
      <c r="I75" s="2"/>
      <c r="J75" s="6">
        <f t="shared" si="49"/>
        <v>0</v>
      </c>
      <c r="K75" s="2"/>
      <c r="L75" s="7">
        <f t="shared" si="50"/>
        <v>0</v>
      </c>
      <c r="M75" s="2"/>
      <c r="N75" s="6">
        <f t="shared" si="51"/>
        <v>0</v>
      </c>
      <c r="O75" s="11"/>
      <c r="P75" s="7">
        <v>744.18</v>
      </c>
      <c r="Q75" s="2"/>
      <c r="R75" s="6">
        <f t="shared" si="52"/>
        <v>0</v>
      </c>
      <c r="S75" s="2"/>
      <c r="T75" s="7"/>
      <c r="U75" s="2"/>
      <c r="V75" s="6">
        <f t="shared" si="53"/>
        <v>0</v>
      </c>
      <c r="W75" s="2"/>
      <c r="X75" s="7">
        <f t="shared" si="54"/>
        <v>744.18</v>
      </c>
      <c r="Y75" s="2"/>
      <c r="Z75" s="6">
        <f t="shared" si="55"/>
        <v>0</v>
      </c>
    </row>
    <row r="76" spans="1:26" s="24" customFormat="1" hidden="1" outlineLevel="2" x14ac:dyDescent="0.25">
      <c r="A76" s="29"/>
      <c r="B76" s="11" t="str">
        <f>CONCATENATE("          ", "6241", " - ", "OFFICE EXPENSE")</f>
        <v xml:space="preserve">          6241 - OFFICE EXPENSE</v>
      </c>
      <c r="C76" s="11"/>
      <c r="D76" s="7">
        <v>537.98</v>
      </c>
      <c r="E76" s="2"/>
      <c r="F76" s="6">
        <f t="shared" si="48"/>
        <v>0</v>
      </c>
      <c r="G76" s="2"/>
      <c r="H76" s="7">
        <v>6890.98</v>
      </c>
      <c r="I76" s="2"/>
      <c r="J76" s="6">
        <f t="shared" si="49"/>
        <v>0</v>
      </c>
      <c r="K76" s="2"/>
      <c r="L76" s="7">
        <f t="shared" si="50"/>
        <v>-6353</v>
      </c>
      <c r="M76" s="2"/>
      <c r="N76" s="6">
        <f t="shared" si="51"/>
        <v>-0.92192982710732008</v>
      </c>
      <c r="O76" s="11"/>
      <c r="P76" s="7">
        <v>790.92</v>
      </c>
      <c r="Q76" s="2"/>
      <c r="R76" s="6">
        <f t="shared" si="52"/>
        <v>0</v>
      </c>
      <c r="S76" s="2"/>
      <c r="T76" s="7">
        <v>15824.36</v>
      </c>
      <c r="U76" s="2"/>
      <c r="V76" s="6">
        <f t="shared" si="53"/>
        <v>0</v>
      </c>
      <c r="W76" s="2"/>
      <c r="X76" s="7">
        <f t="shared" si="54"/>
        <v>-15033.44</v>
      </c>
      <c r="Y76" s="2"/>
      <c r="Z76" s="6">
        <f t="shared" si="55"/>
        <v>-0.95001883172526413</v>
      </c>
    </row>
    <row r="77" spans="1:26" s="24" customFormat="1" hidden="1" outlineLevel="2" x14ac:dyDescent="0.25">
      <c r="A77" s="29"/>
      <c r="B77" s="11" t="str">
        <f>CONCATENATE("          ", "6244", " - ", "SAFETY SUPPLY EXPENSE")</f>
        <v xml:space="preserve">          6244 - SAFETY SUPPLY EXPENSE</v>
      </c>
      <c r="C77" s="11"/>
      <c r="D77" s="7">
        <v>46.04</v>
      </c>
      <c r="E77" s="2"/>
      <c r="F77" s="6">
        <f t="shared" si="48"/>
        <v>0</v>
      </c>
      <c r="G77" s="2"/>
      <c r="H77" s="7">
        <v>750</v>
      </c>
      <c r="I77" s="2"/>
      <c r="J77" s="6">
        <f t="shared" si="49"/>
        <v>0</v>
      </c>
      <c r="K77" s="2"/>
      <c r="L77" s="7">
        <f t="shared" si="50"/>
        <v>-703.96</v>
      </c>
      <c r="M77" s="2"/>
      <c r="N77" s="6">
        <f t="shared" si="51"/>
        <v>-0.93861333333333341</v>
      </c>
      <c r="O77" s="11"/>
      <c r="P77" s="7">
        <v>147.71</v>
      </c>
      <c r="Q77" s="2"/>
      <c r="R77" s="6">
        <f t="shared" si="52"/>
        <v>0</v>
      </c>
      <c r="S77" s="2"/>
      <c r="T77" s="7">
        <v>877.92</v>
      </c>
      <c r="U77" s="2"/>
      <c r="V77" s="6">
        <f t="shared" si="53"/>
        <v>0</v>
      </c>
      <c r="W77" s="2"/>
      <c r="X77" s="7">
        <f t="shared" si="54"/>
        <v>-730.20999999999992</v>
      </c>
      <c r="Y77" s="2"/>
      <c r="Z77" s="6">
        <f t="shared" si="55"/>
        <v>-0.83175004556223797</v>
      </c>
    </row>
    <row r="78" spans="1:26" s="24" customFormat="1" hidden="1" outlineLevel="2" x14ac:dyDescent="0.25">
      <c r="A78" s="29"/>
      <c r="B78" s="11" t="str">
        <f>CONCATENATE("          ", "6245", " - ", "PRINTING")</f>
        <v xml:space="preserve">          6245 - PRINTING</v>
      </c>
      <c r="C78" s="11"/>
      <c r="D78" s="7"/>
      <c r="E78" s="2"/>
      <c r="F78" s="6">
        <f t="shared" si="48"/>
        <v>0</v>
      </c>
      <c r="G78" s="2"/>
      <c r="H78" s="7">
        <v>1705.01</v>
      </c>
      <c r="I78" s="2"/>
      <c r="J78" s="6">
        <f t="shared" si="49"/>
        <v>0</v>
      </c>
      <c r="K78" s="2"/>
      <c r="L78" s="7">
        <f t="shared" si="50"/>
        <v>-1705.01</v>
      </c>
      <c r="M78" s="2"/>
      <c r="N78" s="6">
        <f t="shared" si="51"/>
        <v>-1</v>
      </c>
      <c r="O78" s="11"/>
      <c r="P78" s="7"/>
      <c r="Q78" s="2"/>
      <c r="R78" s="6">
        <f t="shared" si="52"/>
        <v>0</v>
      </c>
      <c r="S78" s="2"/>
      <c r="T78" s="7">
        <v>2660.12</v>
      </c>
      <c r="U78" s="2"/>
      <c r="V78" s="6">
        <f t="shared" si="53"/>
        <v>0</v>
      </c>
      <c r="W78" s="2"/>
      <c r="X78" s="7">
        <f t="shared" si="54"/>
        <v>-2660.12</v>
      </c>
      <c r="Y78" s="2"/>
      <c r="Z78" s="6">
        <f t="shared" si="55"/>
        <v>-1</v>
      </c>
    </row>
    <row r="79" spans="1:26" s="28" customFormat="1" outlineLevel="1" collapsed="1" x14ac:dyDescent="0.25">
      <c r="A79" s="27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SUM(OSRRefD22_17x_0)</f>
        <v>2156.66</v>
      </c>
      <c r="E79" s="1"/>
      <c r="F79" s="5">
        <f t="shared" ref="F79:F81" si="56">IF(D$12=0,0,D79/D$12)</f>
        <v>0</v>
      </c>
      <c r="G79" s="1"/>
      <c r="H79" s="1">
        <f>SUM(OSRRefH22_17x_0)</f>
        <v>2128.12</v>
      </c>
      <c r="I79" s="1"/>
      <c r="J79" s="5">
        <f t="shared" ref="J79:J81" si="57">IF(H$12=0,0,H79/H$12)</f>
        <v>0</v>
      </c>
      <c r="K79" s="1"/>
      <c r="L79" s="1">
        <f t="shared" ref="L79:L81" si="58">+D79-H79</f>
        <v>28.539999999999964</v>
      </c>
      <c r="M79" s="1"/>
      <c r="N79" s="5">
        <f t="shared" ref="N79:N81" si="59">IF(H79=0,0,L79/H79)</f>
        <v>1.3410897881698384E-2</v>
      </c>
      <c r="O79" s="14"/>
      <c r="P79" s="1">
        <f>SUM(OSRRefP22_17x_0)</f>
        <v>4171.09</v>
      </c>
      <c r="Q79" s="1"/>
      <c r="R79" s="5">
        <f t="shared" ref="R79:R81" si="60">IF(P$12=0,0,P79/P$12)</f>
        <v>0</v>
      </c>
      <c r="S79" s="1"/>
      <c r="T79" s="1">
        <f>SUM(OSRRefT22_17x_0)</f>
        <v>7043.04</v>
      </c>
      <c r="U79" s="1"/>
      <c r="V79" s="5">
        <f t="shared" ref="V79:V81" si="61">IF(T$12=0,0,T79/T$12)</f>
        <v>0</v>
      </c>
      <c r="W79" s="1"/>
      <c r="X79" s="1">
        <f t="shared" ref="X79:X81" si="62">+P79-T79</f>
        <v>-2871.95</v>
      </c>
      <c r="Y79" s="1"/>
      <c r="Z79" s="5">
        <f t="shared" ref="Z79:Z81" si="63">IF(T79=0,0,X79/T79)</f>
        <v>-0.4077713600945046</v>
      </c>
    </row>
    <row r="80" spans="1:26" s="24" customFormat="1" hidden="1" outlineLevel="2" x14ac:dyDescent="0.25">
      <c r="A80" s="29"/>
      <c r="B80" s="11" t="str">
        <f>CONCATENATE("          ", "6303", " - ", "DATA PHONE LINES")</f>
        <v xml:space="preserve">          6303 - DATA PHONE LINES</v>
      </c>
      <c r="C80" s="11"/>
      <c r="D80" s="7">
        <v>78.989999999999995</v>
      </c>
      <c r="E80" s="2"/>
      <c r="F80" s="6">
        <f t="shared" si="56"/>
        <v>0</v>
      </c>
      <c r="G80" s="2"/>
      <c r="H80" s="7">
        <v>195.54</v>
      </c>
      <c r="I80" s="2"/>
      <c r="J80" s="6">
        <f t="shared" si="57"/>
        <v>0</v>
      </c>
      <c r="K80" s="2"/>
      <c r="L80" s="7">
        <f t="shared" si="58"/>
        <v>-116.55</v>
      </c>
      <c r="M80" s="2"/>
      <c r="N80" s="6">
        <f t="shared" si="59"/>
        <v>-0.59604173059220622</v>
      </c>
      <c r="O80" s="11"/>
      <c r="P80" s="7">
        <v>157.97999999999999</v>
      </c>
      <c r="Q80" s="2"/>
      <c r="R80" s="6">
        <f t="shared" si="60"/>
        <v>0</v>
      </c>
      <c r="S80" s="2"/>
      <c r="T80" s="7">
        <v>391.07</v>
      </c>
      <c r="U80" s="2"/>
      <c r="V80" s="6">
        <f t="shared" si="61"/>
        <v>0</v>
      </c>
      <c r="W80" s="2"/>
      <c r="X80" s="7">
        <f t="shared" si="62"/>
        <v>-233.09</v>
      </c>
      <c r="Y80" s="2"/>
      <c r="Z80" s="6">
        <f t="shared" si="63"/>
        <v>-0.59603140102794894</v>
      </c>
    </row>
    <row r="81" spans="1:26" s="24" customFormat="1" hidden="1" outlineLevel="2" x14ac:dyDescent="0.25">
      <c r="A81" s="29"/>
      <c r="B81" s="11" t="str">
        <f>CONCATENATE("          ", "6309", " - ", "TELEPHONE")</f>
        <v xml:space="preserve">          6309 - TELEPHONE</v>
      </c>
      <c r="C81" s="11"/>
      <c r="D81" s="7">
        <v>2077.67</v>
      </c>
      <c r="E81" s="2"/>
      <c r="F81" s="6">
        <f t="shared" si="56"/>
        <v>0</v>
      </c>
      <c r="G81" s="2"/>
      <c r="H81" s="7">
        <v>1932.58</v>
      </c>
      <c r="I81" s="2"/>
      <c r="J81" s="6">
        <f t="shared" si="57"/>
        <v>0</v>
      </c>
      <c r="K81" s="2"/>
      <c r="L81" s="7">
        <f t="shared" si="58"/>
        <v>145.09000000000015</v>
      </c>
      <c r="M81" s="2"/>
      <c r="N81" s="6">
        <f t="shared" si="59"/>
        <v>7.5075805400035264E-2</v>
      </c>
      <c r="O81" s="11"/>
      <c r="P81" s="7">
        <v>4013.11</v>
      </c>
      <c r="Q81" s="2"/>
      <c r="R81" s="6">
        <f t="shared" si="60"/>
        <v>0</v>
      </c>
      <c r="S81" s="2"/>
      <c r="T81" s="7">
        <v>6651.97</v>
      </c>
      <c r="U81" s="2"/>
      <c r="V81" s="6">
        <f t="shared" si="61"/>
        <v>0</v>
      </c>
      <c r="W81" s="2"/>
      <c r="X81" s="7">
        <f t="shared" si="62"/>
        <v>-2638.86</v>
      </c>
      <c r="Y81" s="2"/>
      <c r="Z81" s="6">
        <f t="shared" si="63"/>
        <v>-0.39670353293836264</v>
      </c>
    </row>
    <row r="82" spans="1:26" s="28" customFormat="1" outlineLevel="1" collapsed="1" x14ac:dyDescent="0.25">
      <c r="A82" s="27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SUM(OSRRefD22_18x_0)</f>
        <v>0</v>
      </c>
      <c r="E82" s="1"/>
      <c r="F82" s="5">
        <f t="shared" ref="F82:F86" si="64">IF(D$12=0,0,D82/D$12)</f>
        <v>0</v>
      </c>
      <c r="G82" s="1"/>
      <c r="H82" s="1">
        <f>SUM(OSRRefH22_18x_0)</f>
        <v>4252.3599999999997</v>
      </c>
      <c r="I82" s="1"/>
      <c r="J82" s="5">
        <f t="shared" ref="J82:J86" si="65">IF(H$12=0,0,H82/H$12)</f>
        <v>0</v>
      </c>
      <c r="K82" s="1"/>
      <c r="L82" s="1">
        <f t="shared" ref="L82:L86" si="66">+D82-H82</f>
        <v>-4252.3599999999997</v>
      </c>
      <c r="M82" s="1"/>
      <c r="N82" s="5">
        <f t="shared" ref="N82:N86" si="67">IF(H82=0,0,L82/H82)</f>
        <v>-1</v>
      </c>
      <c r="O82" s="14"/>
      <c r="P82" s="1">
        <f>SUM(OSRRefP22_18x_0)</f>
        <v>0</v>
      </c>
      <c r="Q82" s="1"/>
      <c r="R82" s="5">
        <f t="shared" ref="R82:R86" si="68">IF(P$12=0,0,P82/P$12)</f>
        <v>0</v>
      </c>
      <c r="S82" s="1"/>
      <c r="T82" s="1">
        <f>SUM(OSRRefT22_18x_0)</f>
        <v>4998.9799999999996</v>
      </c>
      <c r="U82" s="1"/>
      <c r="V82" s="5">
        <f t="shared" ref="V82:V86" si="69">IF(T$12=0,0,T82/T$12)</f>
        <v>0</v>
      </c>
      <c r="W82" s="1"/>
      <c r="X82" s="1">
        <f t="shared" ref="X82:X86" si="70">+P82-T82</f>
        <v>-4998.9799999999996</v>
      </c>
      <c r="Y82" s="1"/>
      <c r="Z82" s="5">
        <f t="shared" ref="Z82:Z86" si="71">IF(T82=0,0,X82/T82)</f>
        <v>-1</v>
      </c>
    </row>
    <row r="83" spans="1:26" s="24" customFormat="1" hidden="1" outlineLevel="2" x14ac:dyDescent="0.25">
      <c r="A83" s="29"/>
      <c r="B83" s="11" t="str">
        <f>CONCATENATE("          ", "6376", " - ", "TRAINING")</f>
        <v xml:space="preserve">          6376 - TRAINING</v>
      </c>
      <c r="C83" s="11"/>
      <c r="D83" s="7"/>
      <c r="E83" s="2"/>
      <c r="F83" s="6">
        <f t="shared" si="64"/>
        <v>0</v>
      </c>
      <c r="G83" s="2"/>
      <c r="H83" s="7">
        <v>4252.3599999999997</v>
      </c>
      <c r="I83" s="2"/>
      <c r="J83" s="6">
        <f t="shared" si="65"/>
        <v>0</v>
      </c>
      <c r="K83" s="2"/>
      <c r="L83" s="7">
        <f t="shared" si="66"/>
        <v>-4252.3599999999997</v>
      </c>
      <c r="M83" s="2"/>
      <c r="N83" s="6">
        <f t="shared" si="67"/>
        <v>-1</v>
      </c>
      <c r="O83" s="11"/>
      <c r="P83" s="7"/>
      <c r="Q83" s="2"/>
      <c r="R83" s="6">
        <f t="shared" si="68"/>
        <v>0</v>
      </c>
      <c r="S83" s="2"/>
      <c r="T83" s="7">
        <v>4998.9799999999996</v>
      </c>
      <c r="U83" s="2"/>
      <c r="V83" s="6">
        <f t="shared" si="69"/>
        <v>0</v>
      </c>
      <c r="W83" s="2"/>
      <c r="X83" s="7">
        <f t="shared" si="70"/>
        <v>-4998.9799999999996</v>
      </c>
      <c r="Y83" s="2"/>
      <c r="Z83" s="6">
        <f t="shared" si="71"/>
        <v>-1</v>
      </c>
    </row>
    <row r="84" spans="1:26" s="28" customFormat="1" outlineLevel="1" collapsed="1" x14ac:dyDescent="0.25">
      <c r="A84" s="27"/>
      <c r="B84" s="14" t="str">
        <f>CONCATENATE("     ","Travel                                            ")</f>
        <v xml:space="preserve">     Travel                                            </v>
      </c>
      <c r="C84" s="14"/>
      <c r="D84" s="1">
        <f>SUM(OSRRefD22_19x_0)</f>
        <v>7.8</v>
      </c>
      <c r="E84" s="1"/>
      <c r="F84" s="5">
        <f t="shared" si="64"/>
        <v>0</v>
      </c>
      <c r="G84" s="1"/>
      <c r="H84" s="1">
        <f>SUM(OSRRefH22_19x_0)</f>
        <v>3744.42</v>
      </c>
      <c r="I84" s="1"/>
      <c r="J84" s="5">
        <f t="shared" si="65"/>
        <v>0</v>
      </c>
      <c r="K84" s="1"/>
      <c r="L84" s="1">
        <f t="shared" si="66"/>
        <v>-3736.62</v>
      </c>
      <c r="M84" s="1"/>
      <c r="N84" s="5">
        <f t="shared" si="67"/>
        <v>-0.99791690034771741</v>
      </c>
      <c r="O84" s="14"/>
      <c r="P84" s="1">
        <f>SUM(OSRRefP22_19x_0)</f>
        <v>17.55</v>
      </c>
      <c r="Q84" s="1"/>
      <c r="R84" s="5">
        <f t="shared" si="68"/>
        <v>0</v>
      </c>
      <c r="S84" s="1"/>
      <c r="T84" s="1">
        <f>SUM(OSRRefT22_19x_0)</f>
        <v>4313.42</v>
      </c>
      <c r="U84" s="1"/>
      <c r="V84" s="5">
        <f t="shared" si="69"/>
        <v>0</v>
      </c>
      <c r="W84" s="1"/>
      <c r="X84" s="1">
        <f t="shared" si="70"/>
        <v>-4295.87</v>
      </c>
      <c r="Y84" s="1"/>
      <c r="Z84" s="5">
        <f t="shared" si="71"/>
        <v>-0.99593130277135078</v>
      </c>
    </row>
    <row r="85" spans="1:26" s="24" customFormat="1" hidden="1" outlineLevel="2" x14ac:dyDescent="0.25">
      <c r="A85" s="29"/>
      <c r="B85" s="11" t="str">
        <f>CONCATENATE("          ", "6292", " - ", "TRAVEL/CONFERENCE")</f>
        <v xml:space="preserve">          6292 - TRAVEL/CONFERENCE</v>
      </c>
      <c r="C85" s="11"/>
      <c r="D85" s="7"/>
      <c r="E85" s="2"/>
      <c r="F85" s="6">
        <f t="shared" si="64"/>
        <v>0</v>
      </c>
      <c r="G85" s="2"/>
      <c r="H85" s="7">
        <v>3720.52</v>
      </c>
      <c r="I85" s="2"/>
      <c r="J85" s="6">
        <f t="shared" si="65"/>
        <v>0</v>
      </c>
      <c r="K85" s="2"/>
      <c r="L85" s="7">
        <f t="shared" si="66"/>
        <v>-3720.52</v>
      </c>
      <c r="M85" s="2"/>
      <c r="N85" s="6">
        <f t="shared" si="67"/>
        <v>-1</v>
      </c>
      <c r="O85" s="11"/>
      <c r="P85" s="7"/>
      <c r="Q85" s="2"/>
      <c r="R85" s="6">
        <f t="shared" si="68"/>
        <v>0</v>
      </c>
      <c r="S85" s="2"/>
      <c r="T85" s="7">
        <v>4289.5200000000004</v>
      </c>
      <c r="U85" s="2"/>
      <c r="V85" s="6">
        <f t="shared" si="69"/>
        <v>0</v>
      </c>
      <c r="W85" s="2"/>
      <c r="X85" s="7">
        <f t="shared" si="70"/>
        <v>-4289.5200000000004</v>
      </c>
      <c r="Y85" s="2"/>
      <c r="Z85" s="6">
        <f t="shared" si="71"/>
        <v>-1</v>
      </c>
    </row>
    <row r="86" spans="1:26" s="24" customFormat="1" hidden="1" outlineLevel="2" x14ac:dyDescent="0.25">
      <c r="A86" s="29"/>
      <c r="B86" s="11" t="str">
        <f>CONCATENATE("          ", "6294", " - ", "TRAVEL OPERATIONAL")</f>
        <v xml:space="preserve">          6294 - TRAVEL OPERATIONAL</v>
      </c>
      <c r="C86" s="11"/>
      <c r="D86" s="7">
        <v>7.8</v>
      </c>
      <c r="E86" s="2"/>
      <c r="F86" s="6">
        <f t="shared" si="64"/>
        <v>0</v>
      </c>
      <c r="G86" s="2"/>
      <c r="H86" s="7">
        <v>23.9</v>
      </c>
      <c r="I86" s="2"/>
      <c r="J86" s="6">
        <f t="shared" si="65"/>
        <v>0</v>
      </c>
      <c r="K86" s="2"/>
      <c r="L86" s="7">
        <f t="shared" si="66"/>
        <v>-16.099999999999998</v>
      </c>
      <c r="M86" s="2"/>
      <c r="N86" s="6">
        <f t="shared" si="67"/>
        <v>-0.67364016736401666</v>
      </c>
      <c r="O86" s="11"/>
      <c r="P86" s="7">
        <v>17.55</v>
      </c>
      <c r="Q86" s="2"/>
      <c r="R86" s="6">
        <f t="shared" si="68"/>
        <v>0</v>
      </c>
      <c r="S86" s="2"/>
      <c r="T86" s="7">
        <v>23.9</v>
      </c>
      <c r="U86" s="2"/>
      <c r="V86" s="6">
        <f t="shared" si="69"/>
        <v>0</v>
      </c>
      <c r="W86" s="2"/>
      <c r="X86" s="7">
        <f t="shared" si="70"/>
        <v>-6.3499999999999979</v>
      </c>
      <c r="Y86" s="2"/>
      <c r="Z86" s="6">
        <f t="shared" si="71"/>
        <v>-0.2656903765690376</v>
      </c>
    </row>
    <row r="87" spans="1:26" s="52" customFormat="1" x14ac:dyDescent="0.25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25">
      <c r="A88" s="10"/>
      <c r="B88" s="25" t="s">
        <v>0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25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10"/>
      <c r="B90" s="26" t="s">
        <v>3</v>
      </c>
      <c r="C90" s="26"/>
      <c r="D90" s="22">
        <f>+D16-D18+D88</f>
        <v>-219113.02000000005</v>
      </c>
      <c r="E90" s="13"/>
      <c r="F90" s="21">
        <f>IF(D$12=0,0,D90/D$12)</f>
        <v>0</v>
      </c>
      <c r="G90" s="13"/>
      <c r="H90" s="22">
        <f>+H16-H18+H88</f>
        <v>-400497.58999999985</v>
      </c>
      <c r="I90" s="13"/>
      <c r="J90" s="21">
        <f>IF(H$12=0,0,H90/H$12)</f>
        <v>0</v>
      </c>
      <c r="K90" s="16"/>
      <c r="L90" s="22">
        <f>+D90-H90</f>
        <v>181384.5699999998</v>
      </c>
      <c r="M90" s="16"/>
      <c r="N90" s="21">
        <f>IF(H90=0,0,L90/H90)</f>
        <v>-0.45289803117167288</v>
      </c>
      <c r="O90" s="25"/>
      <c r="P90" s="22">
        <f>+P16-P18+P88</f>
        <v>-453816.25999999989</v>
      </c>
      <c r="Q90" s="13"/>
      <c r="R90" s="21">
        <f>IF(P$12=0,0,P90/P$12)</f>
        <v>0</v>
      </c>
      <c r="S90" s="13"/>
      <c r="T90" s="22">
        <f>+T16-T18+T88</f>
        <v>-713828.85999999975</v>
      </c>
      <c r="U90" s="13"/>
      <c r="V90" s="21">
        <f>IF(T$12=0,0,T90/T$12)</f>
        <v>0</v>
      </c>
      <c r="W90" s="16"/>
      <c r="X90" s="22">
        <f>+P90-T90</f>
        <v>260012.59999999986</v>
      </c>
      <c r="Y90" s="16"/>
      <c r="Z90" s="21">
        <f>IF(T90=0,0,X90/T90)</f>
        <v>-0.36425061323522273</v>
      </c>
    </row>
    <row r="91" spans="1:26" x14ac:dyDescent="0.25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51"/>
      <c r="B92" s="10" t="s">
        <v>13</v>
      </c>
      <c r="C92" s="10"/>
      <c r="D92" s="4"/>
      <c r="E92" s="4"/>
      <c r="F92" s="12">
        <f>IF(D$12=0,0,D92/D$12)</f>
        <v>0</v>
      </c>
      <c r="G92" s="4"/>
      <c r="H92" s="4"/>
      <c r="I92" s="4"/>
      <c r="J92" s="12">
        <f>IF(H$12=0,0,H92/H$12)</f>
        <v>0</v>
      </c>
      <c r="K92" s="4"/>
      <c r="L92" s="4">
        <f>+D92-H92</f>
        <v>0</v>
      </c>
      <c r="M92" s="4"/>
      <c r="N92" s="12">
        <f>IF(H92=0,0,L92/H92)</f>
        <v>0</v>
      </c>
      <c r="O92" s="10"/>
      <c r="P92" s="4"/>
      <c r="Q92" s="4"/>
      <c r="R92" s="12">
        <f>IF(P$12=0,0,P92/P$12)</f>
        <v>0</v>
      </c>
      <c r="S92" s="4"/>
      <c r="T92" s="4"/>
      <c r="U92" s="4"/>
      <c r="V92" s="12">
        <f>IF(T$12=0,0,T92/T$12)</f>
        <v>0</v>
      </c>
      <c r="W92" s="4"/>
      <c r="X92" s="4">
        <f>+P92-T92</f>
        <v>0</v>
      </c>
      <c r="Y92" s="4"/>
      <c r="Z92" s="12">
        <f>IF(T92=0,0,X92/T92)</f>
        <v>0</v>
      </c>
    </row>
    <row r="93" spans="1:26" x14ac:dyDescent="0.25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4</v>
      </c>
      <c r="C94" s="26"/>
      <c r="D94" s="36">
        <f>+D90-D92</f>
        <v>-219113.02000000005</v>
      </c>
      <c r="E94" s="13"/>
      <c r="F94" s="34">
        <f>IF(D$12=0,0,D94/D$12)</f>
        <v>0</v>
      </c>
      <c r="G94" s="13"/>
      <c r="H94" s="36">
        <f>+H90-H92</f>
        <v>-400497.58999999985</v>
      </c>
      <c r="I94" s="13"/>
      <c r="J94" s="34">
        <f>IF(H$12=0,0,H94/H$12)</f>
        <v>0</v>
      </c>
      <c r="K94" s="16"/>
      <c r="L94" s="36">
        <f>D94-H94</f>
        <v>181384.5699999998</v>
      </c>
      <c r="M94" s="16"/>
      <c r="N94" s="34">
        <f>IF(H94=0,0,L94/H94)</f>
        <v>-0.45289803117167288</v>
      </c>
      <c r="O94" s="25"/>
      <c r="P94" s="36">
        <f>+P90-P92</f>
        <v>-453816.25999999989</v>
      </c>
      <c r="Q94" s="13"/>
      <c r="R94" s="34">
        <f>IF(P$12=0,0,P94/P$12)</f>
        <v>0</v>
      </c>
      <c r="S94" s="13"/>
      <c r="T94" s="36">
        <f>+T90-T92</f>
        <v>-713828.85999999975</v>
      </c>
      <c r="U94" s="13"/>
      <c r="V94" s="34">
        <f>IF(T$12=0,0,T94/T$12)</f>
        <v>0</v>
      </c>
      <c r="W94" s="16"/>
      <c r="X94" s="36">
        <f>P94-T94</f>
        <v>260012.59999999986</v>
      </c>
      <c r="Y94" s="16"/>
      <c r="Z94" s="34">
        <f>IF(T94=0,0,X94/T94)</f>
        <v>-0.36425061323522273</v>
      </c>
    </row>
    <row r="95" spans="1:26" ht="15.75" thickTop="1" x14ac:dyDescent="0.25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25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.75" thickBot="1" x14ac:dyDescent="0.3">
      <c r="A97" s="10"/>
      <c r="B97" s="26" t="s">
        <v>5</v>
      </c>
      <c r="C97" s="26"/>
      <c r="D97" s="30">
        <f>SUM(D94:D96)</f>
        <v>-219113.02000000005</v>
      </c>
      <c r="E97" s="13"/>
      <c r="F97" s="31">
        <f>IF(D$12=0,0,D97/D$12)</f>
        <v>0</v>
      </c>
      <c r="G97" s="13"/>
      <c r="H97" s="30">
        <f>SUM(H94:H96)</f>
        <v>-400497.58999999985</v>
      </c>
      <c r="I97" s="13"/>
      <c r="J97" s="31">
        <f>IF(H$12=0,0,H97/H$12)</f>
        <v>0</v>
      </c>
      <c r="K97" s="16"/>
      <c r="L97" s="30">
        <f>+D97-H97</f>
        <v>181384.5699999998</v>
      </c>
      <c r="M97" s="16"/>
      <c r="N97" s="31">
        <f>IF(H97=0,0,L97/H97)</f>
        <v>-0.45289803117167288</v>
      </c>
      <c r="O97" s="25"/>
      <c r="P97" s="30">
        <f>SUM(P94:P96)</f>
        <v>-453816.25999999989</v>
      </c>
      <c r="Q97" s="13"/>
      <c r="R97" s="31">
        <f>IF(P$12=0,0,P97/P$12)</f>
        <v>0</v>
      </c>
      <c r="S97" s="13"/>
      <c r="T97" s="30">
        <f>SUM(T94:T96)</f>
        <v>-713828.85999999975</v>
      </c>
      <c r="U97" s="13"/>
      <c r="V97" s="31">
        <f>IF(T$12=0,0,T97/T$12)</f>
        <v>0</v>
      </c>
      <c r="W97" s="16"/>
      <c r="X97" s="30">
        <f>+P97-T97</f>
        <v>260012.59999999986</v>
      </c>
      <c r="Y97" s="16"/>
      <c r="Z97" s="31">
        <f>IF(T97=0,0,X97/T97)</f>
        <v>-0.36425061323522273</v>
      </c>
    </row>
    <row r="98" spans="1:26" ht="15.75" thickTop="1" x14ac:dyDescent="0.25">
      <c r="A98" s="9"/>
      <c r="C98" s="9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6" x14ac:dyDescent="0.25">
      <c r="A99" s="9"/>
      <c r="B99" s="61">
        <v>44113.695577546299</v>
      </c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6" x14ac:dyDescent="0.25">
      <c r="A100" s="9"/>
      <c r="B100" s="56" t="s">
        <v>313</v>
      </c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58"/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","200", " - ", "Corporate Expense")</f>
        <v>Department 200 - Corporate Expense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46373.01</v>
      </c>
      <c r="E18" s="20"/>
      <c r="F18" s="35">
        <f t="shared" ref="F18:F26" si="0">IF(D$12=0,0,D18/D$12)</f>
        <v>0</v>
      </c>
      <c r="G18" s="20"/>
      <c r="H18" s="20">
        <f>SUM(OSRRefH22x_0)</f>
        <v>45545.19</v>
      </c>
      <c r="I18" s="20"/>
      <c r="J18" s="35">
        <f t="shared" ref="J18:J26" si="1">IF(H$12=0,0,H18/H$12)</f>
        <v>0</v>
      </c>
      <c r="K18" s="4"/>
      <c r="L18" s="20">
        <f t="shared" ref="L18:L26" si="2">+D18-H18</f>
        <v>827.81999999999971</v>
      </c>
      <c r="M18" s="4"/>
      <c r="N18" s="35">
        <f t="shared" ref="N18:N26" si="3">IF(H18=0,0,L18/H18)</f>
        <v>1.8175794194732739E-2</v>
      </c>
      <c r="O18" s="10"/>
      <c r="P18" s="20">
        <f>SUM(OSRRefP22x_0)</f>
        <v>78329.87000000001</v>
      </c>
      <c r="Q18" s="20"/>
      <c r="R18" s="35">
        <f t="shared" ref="R18:R26" si="4">IF(P$12=0,0,P18/P$12)</f>
        <v>0</v>
      </c>
      <c r="S18" s="20"/>
      <c r="T18" s="20">
        <f>SUM(OSRRefT22x_0)</f>
        <v>77667.860000000015</v>
      </c>
      <c r="U18" s="20"/>
      <c r="V18" s="35">
        <f t="shared" ref="V18:V26" si="5">IF(T$12=0,0,T18/T$12)</f>
        <v>0</v>
      </c>
      <c r="W18" s="4"/>
      <c r="X18" s="20">
        <f t="shared" ref="X18:X26" si="6">+P18-T18</f>
        <v>662.00999999999476</v>
      </c>
      <c r="Y18" s="4"/>
      <c r="Z18" s="35">
        <f t="shared" ref="Z18:Z26" si="7">IF(T18=0,0,X18/T18)</f>
        <v>8.5236029420663138E-3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30426.25</v>
      </c>
      <c r="E19" s="1"/>
      <c r="F19" s="5">
        <f t="shared" si="0"/>
        <v>0</v>
      </c>
      <c r="G19" s="1"/>
      <c r="H19" s="1">
        <f>SUM(OSRRefH22_0x_0)</f>
        <v>28957.26</v>
      </c>
      <c r="I19" s="1"/>
      <c r="J19" s="5">
        <f t="shared" si="1"/>
        <v>0</v>
      </c>
      <c r="K19" s="1"/>
      <c r="L19" s="1">
        <f t="shared" si="2"/>
        <v>1468.9900000000016</v>
      </c>
      <c r="M19" s="1"/>
      <c r="N19" s="5">
        <f t="shared" si="3"/>
        <v>5.0729592509788625E-2</v>
      </c>
      <c r="O19" s="14"/>
      <c r="P19" s="1">
        <f>SUM(OSRRefP22_0x_0)</f>
        <v>60675.340000000004</v>
      </c>
      <c r="Q19" s="1"/>
      <c r="R19" s="5">
        <f t="shared" si="4"/>
        <v>0</v>
      </c>
      <c r="S19" s="1"/>
      <c r="T19" s="1">
        <f>SUM(OSRRefT22_0x_0)</f>
        <v>57828.140000000007</v>
      </c>
      <c r="U19" s="1"/>
      <c r="V19" s="5">
        <f t="shared" si="5"/>
        <v>0</v>
      </c>
      <c r="W19" s="1"/>
      <c r="X19" s="1">
        <f t="shared" si="6"/>
        <v>2847.1999999999971</v>
      </c>
      <c r="Y19" s="1"/>
      <c r="Z19" s="5">
        <f t="shared" si="7"/>
        <v>4.9235545186132511E-2</v>
      </c>
    </row>
    <row r="20" spans="1:26" s="24" customFormat="1" hidden="1" outlineLevel="2" x14ac:dyDescent="0.25">
      <c r="A20" s="29"/>
      <c r="B20" s="11" t="str">
        <f>CONCATENATE("          ", "6120", " - ", "RETIREES HEALTH INSURANCE")</f>
        <v xml:space="preserve">          6120 - RETIREES HEALTH INSURANCE</v>
      </c>
      <c r="C20" s="11"/>
      <c r="D20" s="7">
        <v>30426.25</v>
      </c>
      <c r="E20" s="2"/>
      <c r="F20" s="6">
        <f t="shared" si="0"/>
        <v>0</v>
      </c>
      <c r="G20" s="2"/>
      <c r="H20" s="7">
        <v>28957.26</v>
      </c>
      <c r="I20" s="2"/>
      <c r="J20" s="6">
        <f t="shared" si="1"/>
        <v>0</v>
      </c>
      <c r="K20" s="2"/>
      <c r="L20" s="7">
        <f t="shared" si="2"/>
        <v>1468.9900000000016</v>
      </c>
      <c r="M20" s="2"/>
      <c r="N20" s="6">
        <f t="shared" si="3"/>
        <v>5.0729592509788625E-2</v>
      </c>
      <c r="O20" s="11"/>
      <c r="P20" s="7">
        <v>60675.340000000004</v>
      </c>
      <c r="Q20" s="2"/>
      <c r="R20" s="6">
        <f t="shared" si="4"/>
        <v>0</v>
      </c>
      <c r="S20" s="2"/>
      <c r="T20" s="7">
        <v>57828.140000000007</v>
      </c>
      <c r="U20" s="2"/>
      <c r="V20" s="6">
        <f t="shared" si="5"/>
        <v>0</v>
      </c>
      <c r="W20" s="2"/>
      <c r="X20" s="7">
        <f t="shared" si="6"/>
        <v>2847.1999999999971</v>
      </c>
      <c r="Y20" s="2"/>
      <c r="Z20" s="6">
        <f t="shared" si="7"/>
        <v>4.9235545186132511E-2</v>
      </c>
    </row>
    <row r="21" spans="1:26" s="28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7</v>
      </c>
      <c r="E21" s="1"/>
      <c r="F21" s="5">
        <f t="shared" si="0"/>
        <v>0</v>
      </c>
      <c r="G21" s="1"/>
      <c r="H21" s="1">
        <f>SUM(OSRRefH22_1x_0)</f>
        <v>2611.65</v>
      </c>
      <c r="I21" s="1"/>
      <c r="J21" s="5">
        <f t="shared" si="1"/>
        <v>0</v>
      </c>
      <c r="K21" s="1"/>
      <c r="L21" s="1">
        <f t="shared" si="2"/>
        <v>-2604.65</v>
      </c>
      <c r="M21" s="1"/>
      <c r="N21" s="5">
        <f t="shared" si="3"/>
        <v>-0.99731970210403387</v>
      </c>
      <c r="O21" s="14"/>
      <c r="P21" s="1">
        <f>SUM(OSRRefP22_1x_0)</f>
        <v>930.98</v>
      </c>
      <c r="Q21" s="1"/>
      <c r="R21" s="5">
        <f t="shared" si="4"/>
        <v>0</v>
      </c>
      <c r="S21" s="1"/>
      <c r="T21" s="1">
        <f>SUM(OSRRefT22_1x_0)</f>
        <v>3438.04</v>
      </c>
      <c r="U21" s="1"/>
      <c r="V21" s="5">
        <f t="shared" si="5"/>
        <v>0</v>
      </c>
      <c r="W21" s="1"/>
      <c r="X21" s="1">
        <f t="shared" si="6"/>
        <v>-2507.06</v>
      </c>
      <c r="Y21" s="1"/>
      <c r="Z21" s="5">
        <f t="shared" si="7"/>
        <v>-0.72921199287966398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7">
        <v>7</v>
      </c>
      <c r="E22" s="2"/>
      <c r="F22" s="6">
        <f t="shared" si="0"/>
        <v>0</v>
      </c>
      <c r="G22" s="2"/>
      <c r="H22" s="7">
        <v>2611.65</v>
      </c>
      <c r="I22" s="2"/>
      <c r="J22" s="6">
        <f t="shared" si="1"/>
        <v>0</v>
      </c>
      <c r="K22" s="2"/>
      <c r="L22" s="7">
        <f t="shared" si="2"/>
        <v>-2604.65</v>
      </c>
      <c r="M22" s="2"/>
      <c r="N22" s="6">
        <f t="shared" si="3"/>
        <v>-0.99731970210403387</v>
      </c>
      <c r="O22" s="11"/>
      <c r="P22" s="7">
        <v>930.98</v>
      </c>
      <c r="Q22" s="2"/>
      <c r="R22" s="6">
        <f t="shared" si="4"/>
        <v>0</v>
      </c>
      <c r="S22" s="2"/>
      <c r="T22" s="7">
        <v>3438.04</v>
      </c>
      <c r="U22" s="2"/>
      <c r="V22" s="6">
        <f t="shared" si="5"/>
        <v>0</v>
      </c>
      <c r="W22" s="2"/>
      <c r="X22" s="7">
        <f t="shared" si="6"/>
        <v>-2507.06</v>
      </c>
      <c r="Y22" s="2"/>
      <c r="Z22" s="6">
        <f t="shared" si="7"/>
        <v>-0.72921199287966398</v>
      </c>
    </row>
    <row r="23" spans="1:26" s="28" customFormat="1" outlineLevel="1" collapsed="1" x14ac:dyDescent="0.25">
      <c r="A23" s="27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4354.01</v>
      </c>
      <c r="E23" s="1"/>
      <c r="F23" s="5">
        <f t="shared" si="0"/>
        <v>0</v>
      </c>
      <c r="G23" s="1"/>
      <c r="H23" s="1">
        <f>SUM(OSRRefH22_2x_0)</f>
        <v>2489.2800000000002</v>
      </c>
      <c r="I23" s="1"/>
      <c r="J23" s="5">
        <f t="shared" si="1"/>
        <v>0</v>
      </c>
      <c r="K23" s="1"/>
      <c r="L23" s="1">
        <f t="shared" si="2"/>
        <v>1864.73</v>
      </c>
      <c r="M23" s="1"/>
      <c r="N23" s="5">
        <f t="shared" si="3"/>
        <v>0.74910415863221491</v>
      </c>
      <c r="O23" s="14"/>
      <c r="P23" s="1">
        <f>SUM(OSRRefP22_2x_0)</f>
        <v>5137.8</v>
      </c>
      <c r="Q23" s="1"/>
      <c r="R23" s="5">
        <f t="shared" si="4"/>
        <v>0</v>
      </c>
      <c r="S23" s="1"/>
      <c r="T23" s="1">
        <f>SUM(OSRRefT22_2x_0)</f>
        <v>4914.68</v>
      </c>
      <c r="U23" s="1"/>
      <c r="V23" s="5">
        <f t="shared" si="5"/>
        <v>0</v>
      </c>
      <c r="W23" s="1"/>
      <c r="X23" s="1">
        <f t="shared" si="6"/>
        <v>223.11999999999989</v>
      </c>
      <c r="Y23" s="1"/>
      <c r="Z23" s="5">
        <f t="shared" si="7"/>
        <v>4.5398683128911724E-2</v>
      </c>
    </row>
    <row r="24" spans="1:26" s="24" customFormat="1" hidden="1" outlineLevel="2" x14ac:dyDescent="0.25">
      <c r="A24" s="29"/>
      <c r="B24" s="11" t="str">
        <f>CONCATENATE("          ", "6397", " - ", "BOARD EXPENSES")</f>
        <v xml:space="preserve">          6397 - BOARD EXPENSES</v>
      </c>
      <c r="C24" s="11"/>
      <c r="D24" s="7">
        <v>4354.01</v>
      </c>
      <c r="E24" s="2"/>
      <c r="F24" s="6">
        <f t="shared" si="0"/>
        <v>0</v>
      </c>
      <c r="G24" s="2"/>
      <c r="H24" s="7">
        <v>2489.2800000000002</v>
      </c>
      <c r="I24" s="2"/>
      <c r="J24" s="6">
        <f t="shared" si="1"/>
        <v>0</v>
      </c>
      <c r="K24" s="2"/>
      <c r="L24" s="7">
        <f t="shared" si="2"/>
        <v>1864.73</v>
      </c>
      <c r="M24" s="2"/>
      <c r="N24" s="6">
        <f t="shared" si="3"/>
        <v>0.74910415863221491</v>
      </c>
      <c r="O24" s="11"/>
      <c r="P24" s="7">
        <v>5137.8</v>
      </c>
      <c r="Q24" s="2"/>
      <c r="R24" s="6">
        <f t="shared" si="4"/>
        <v>0</v>
      </c>
      <c r="S24" s="2"/>
      <c r="T24" s="7">
        <v>4914.68</v>
      </c>
      <c r="U24" s="2"/>
      <c r="V24" s="6">
        <f t="shared" si="5"/>
        <v>0</v>
      </c>
      <c r="W24" s="2"/>
      <c r="X24" s="7">
        <f t="shared" si="6"/>
        <v>223.11999999999989</v>
      </c>
      <c r="Y24" s="2"/>
      <c r="Z24" s="6">
        <f t="shared" si="7"/>
        <v>4.5398683128911724E-2</v>
      </c>
    </row>
    <row r="25" spans="1:26" s="28" customFormat="1" outlineLevel="1" collapsed="1" x14ac:dyDescent="0.25">
      <c r="A25" s="27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11585.75</v>
      </c>
      <c r="E25" s="1"/>
      <c r="F25" s="5">
        <f t="shared" si="0"/>
        <v>0</v>
      </c>
      <c r="G25" s="1"/>
      <c r="H25" s="1">
        <f>SUM(OSRRefH22_3x_0)</f>
        <v>11487</v>
      </c>
      <c r="I25" s="1"/>
      <c r="J25" s="5">
        <f t="shared" si="1"/>
        <v>0</v>
      </c>
      <c r="K25" s="1"/>
      <c r="L25" s="1">
        <f t="shared" si="2"/>
        <v>98.75</v>
      </c>
      <c r="M25" s="1"/>
      <c r="N25" s="5">
        <f t="shared" si="3"/>
        <v>8.5966745016105156E-3</v>
      </c>
      <c r="O25" s="14"/>
      <c r="P25" s="1">
        <f>SUM(OSRRefP22_3x_0)</f>
        <v>11585.75</v>
      </c>
      <c r="Q25" s="1"/>
      <c r="R25" s="5">
        <f t="shared" si="4"/>
        <v>0</v>
      </c>
      <c r="S25" s="1"/>
      <c r="T25" s="1">
        <f>SUM(OSRRefT22_3x_0)</f>
        <v>11487</v>
      </c>
      <c r="U25" s="1"/>
      <c r="V25" s="5">
        <f t="shared" si="5"/>
        <v>0</v>
      </c>
      <c r="W25" s="1"/>
      <c r="X25" s="1">
        <f t="shared" si="6"/>
        <v>98.75</v>
      </c>
      <c r="Y25" s="1"/>
      <c r="Z25" s="5">
        <f t="shared" si="7"/>
        <v>8.5966745016105156E-3</v>
      </c>
    </row>
    <row r="26" spans="1:26" s="24" customFormat="1" hidden="1" outlineLevel="2" x14ac:dyDescent="0.25">
      <c r="A26" s="29"/>
      <c r="B26" s="11" t="str">
        <f>CONCATENATE("          ", "6331", " - ", "INDIRECT COSTS-AUXILIARY ORGAN")</f>
        <v xml:space="preserve">          6331 - INDIRECT COSTS-AUXILIARY ORGAN</v>
      </c>
      <c r="C26" s="11"/>
      <c r="D26" s="7">
        <v>11585.75</v>
      </c>
      <c r="E26" s="2"/>
      <c r="F26" s="6">
        <f t="shared" si="0"/>
        <v>0</v>
      </c>
      <c r="G26" s="2"/>
      <c r="H26" s="7">
        <v>11487</v>
      </c>
      <c r="I26" s="2"/>
      <c r="J26" s="6">
        <f t="shared" si="1"/>
        <v>0</v>
      </c>
      <c r="K26" s="2"/>
      <c r="L26" s="7">
        <f t="shared" si="2"/>
        <v>98.75</v>
      </c>
      <c r="M26" s="2"/>
      <c r="N26" s="6">
        <f t="shared" si="3"/>
        <v>8.5966745016105156E-3</v>
      </c>
      <c r="O26" s="11"/>
      <c r="P26" s="7">
        <v>11585.75</v>
      </c>
      <c r="Q26" s="2"/>
      <c r="R26" s="6">
        <f t="shared" si="4"/>
        <v>0</v>
      </c>
      <c r="S26" s="2"/>
      <c r="T26" s="7">
        <v>11487</v>
      </c>
      <c r="U26" s="2"/>
      <c r="V26" s="6">
        <f t="shared" si="5"/>
        <v>0</v>
      </c>
      <c r="W26" s="2"/>
      <c r="X26" s="7">
        <f t="shared" si="6"/>
        <v>98.75</v>
      </c>
      <c r="Y26" s="2"/>
      <c r="Z26" s="6">
        <f t="shared" si="7"/>
        <v>8.5966745016105156E-3</v>
      </c>
    </row>
    <row r="27" spans="1:26" s="52" customFormat="1" x14ac:dyDescent="0.25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0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25">
      <c r="A30" s="10"/>
      <c r="B30" s="26" t="s">
        <v>3</v>
      </c>
      <c r="C30" s="26"/>
      <c r="D30" s="22">
        <f>+D16-D18+D28</f>
        <v>-46373.01</v>
      </c>
      <c r="E30" s="13"/>
      <c r="F30" s="21">
        <f>IF(D$12=0,0,D30/D$12)</f>
        <v>0</v>
      </c>
      <c r="G30" s="13"/>
      <c r="H30" s="22">
        <f>+H16-H18+H28</f>
        <v>-45545.19</v>
      </c>
      <c r="I30" s="13"/>
      <c r="J30" s="21">
        <f>IF(H$12=0,0,H30/H$12)</f>
        <v>0</v>
      </c>
      <c r="K30" s="16"/>
      <c r="L30" s="22">
        <f>+D30-H30</f>
        <v>-827.81999999999971</v>
      </c>
      <c r="M30" s="16"/>
      <c r="N30" s="21">
        <f>IF(H30=0,0,L30/H30)</f>
        <v>1.8175794194732739E-2</v>
      </c>
      <c r="O30" s="25"/>
      <c r="P30" s="22">
        <f>+P16-P18+P28</f>
        <v>-78329.87000000001</v>
      </c>
      <c r="Q30" s="13"/>
      <c r="R30" s="21">
        <f>IF(P$12=0,0,P30/P$12)</f>
        <v>0</v>
      </c>
      <c r="S30" s="13"/>
      <c r="T30" s="22">
        <f>+T16-T18+T28</f>
        <v>-77667.860000000015</v>
      </c>
      <c r="U30" s="13"/>
      <c r="V30" s="21">
        <f>IF(T$12=0,0,T30/T$12)</f>
        <v>0</v>
      </c>
      <c r="W30" s="16"/>
      <c r="X30" s="22">
        <f>+P30-T30</f>
        <v>-662.00999999999476</v>
      </c>
      <c r="Y30" s="16"/>
      <c r="Z30" s="21">
        <f>IF(T30=0,0,X30/T30)</f>
        <v>8.5236029420663138E-3</v>
      </c>
    </row>
    <row r="31" spans="1:26" x14ac:dyDescent="0.25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25">
      <c r="A32" s="51"/>
      <c r="B32" s="10" t="s">
        <v>13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25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4</v>
      </c>
      <c r="C34" s="26"/>
      <c r="D34" s="36">
        <f>+D30-D32</f>
        <v>-46373.01</v>
      </c>
      <c r="E34" s="13"/>
      <c r="F34" s="34">
        <f>IF(D$12=0,0,D34/D$12)</f>
        <v>0</v>
      </c>
      <c r="G34" s="13"/>
      <c r="H34" s="36">
        <f>+H30-H32</f>
        <v>-45545.19</v>
      </c>
      <c r="I34" s="13"/>
      <c r="J34" s="34">
        <f>IF(H$12=0,0,H34/H$12)</f>
        <v>0</v>
      </c>
      <c r="K34" s="16"/>
      <c r="L34" s="36">
        <f>D34-H34</f>
        <v>-827.81999999999971</v>
      </c>
      <c r="M34" s="16"/>
      <c r="N34" s="34">
        <f>IF(H34=0,0,L34/H34)</f>
        <v>1.8175794194732739E-2</v>
      </c>
      <c r="O34" s="25"/>
      <c r="P34" s="36">
        <f>+P30-P32</f>
        <v>-78329.87000000001</v>
      </c>
      <c r="Q34" s="13"/>
      <c r="R34" s="34">
        <f>IF(P$12=0,0,P34/P$12)</f>
        <v>0</v>
      </c>
      <c r="S34" s="13"/>
      <c r="T34" s="36">
        <f>+T30-T32</f>
        <v>-77667.860000000015</v>
      </c>
      <c r="U34" s="13"/>
      <c r="V34" s="34">
        <f>IF(T$12=0,0,T34/T$12)</f>
        <v>0</v>
      </c>
      <c r="W34" s="16"/>
      <c r="X34" s="36">
        <f>P34-T34</f>
        <v>-662.00999999999476</v>
      </c>
      <c r="Y34" s="16"/>
      <c r="Z34" s="34">
        <f>IF(T34=0,0,X34/T34)</f>
        <v>8.5236029420663138E-3</v>
      </c>
    </row>
    <row r="35" spans="1:26" ht="15.75" thickTop="1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25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.75" thickBot="1" x14ac:dyDescent="0.3">
      <c r="A37" s="10"/>
      <c r="B37" s="26" t="s">
        <v>5</v>
      </c>
      <c r="C37" s="26"/>
      <c r="D37" s="30">
        <f>SUM(D34:D36)</f>
        <v>-46373.01</v>
      </c>
      <c r="E37" s="13"/>
      <c r="F37" s="31">
        <f>IF(D$12=0,0,D37/D$12)</f>
        <v>0</v>
      </c>
      <c r="G37" s="13"/>
      <c r="H37" s="30">
        <f>SUM(H34:H36)</f>
        <v>-45545.19</v>
      </c>
      <c r="I37" s="13"/>
      <c r="J37" s="31">
        <f>IF(H$12=0,0,H37/H$12)</f>
        <v>0</v>
      </c>
      <c r="K37" s="16"/>
      <c r="L37" s="30">
        <f>+D37-H37</f>
        <v>-827.81999999999971</v>
      </c>
      <c r="M37" s="16"/>
      <c r="N37" s="31">
        <f>IF(H37=0,0,L37/H37)</f>
        <v>1.8175794194732739E-2</v>
      </c>
      <c r="O37" s="25"/>
      <c r="P37" s="30">
        <f>SUM(P34:P36)</f>
        <v>-78329.87000000001</v>
      </c>
      <c r="Q37" s="13"/>
      <c r="R37" s="31">
        <f>IF(P$12=0,0,P37/P$12)</f>
        <v>0</v>
      </c>
      <c r="S37" s="13"/>
      <c r="T37" s="30">
        <f>SUM(T34:T36)</f>
        <v>-77667.860000000015</v>
      </c>
      <c r="U37" s="13"/>
      <c r="V37" s="31">
        <f>IF(T$12=0,0,T37/T$12)</f>
        <v>0</v>
      </c>
      <c r="W37" s="16"/>
      <c r="X37" s="30">
        <f>+P37-T37</f>
        <v>-662.00999999999476</v>
      </c>
      <c r="Y37" s="16"/>
      <c r="Z37" s="31">
        <f>IF(T37=0,0,X37/T37)</f>
        <v>8.5236029420663138E-3</v>
      </c>
    </row>
    <row r="38" spans="1:26" ht="15.75" thickTop="1" x14ac:dyDescent="0.25">
      <c r="A38" s="9"/>
      <c r="C38" s="9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61">
        <v>44113.695961724537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6" t="s">
        <v>313</v>
      </c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A41" s="9"/>
      <c r="B41" s="58"/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  <row r="42" spans="1:26" x14ac:dyDescent="0.25">
      <c r="D42" s="18"/>
      <c r="E42" s="18"/>
      <c r="G42" s="18"/>
      <c r="H42" s="18"/>
      <c r="I42" s="18"/>
      <c r="J42" s="43"/>
      <c r="K42" s="18"/>
      <c r="L42" s="18"/>
      <c r="M42" s="18"/>
      <c r="P42" s="18"/>
      <c r="Q42" s="18"/>
      <c r="R42" s="43"/>
      <c r="S42" s="18"/>
      <c r="T42" s="18"/>
      <c r="U42" s="18"/>
      <c r="V42" s="43"/>
      <c r="W42" s="18"/>
      <c r="X42" s="18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","201", " - ", "General Manager")</f>
        <v>Department 201 - General Manager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31265.519999999997</v>
      </c>
      <c r="E18" s="20"/>
      <c r="F18" s="35">
        <f t="shared" ref="F18:F27" si="0">IF(D$12=0,0,D18/D$12)</f>
        <v>0</v>
      </c>
      <c r="G18" s="20"/>
      <c r="H18" s="20">
        <f>SUM(OSRRefH22x_0)</f>
        <v>167481.93000000002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-136216.41000000003</v>
      </c>
      <c r="M18" s="4"/>
      <c r="N18" s="35">
        <f t="shared" ref="N18:N27" si="3">IF(H18=0,0,L18/H18)</f>
        <v>-0.81332003995893776</v>
      </c>
      <c r="O18" s="10"/>
      <c r="P18" s="20">
        <f>SUM(OSRRefP22x_0)</f>
        <v>66926.27</v>
      </c>
      <c r="Q18" s="20"/>
      <c r="R18" s="35">
        <f t="shared" ref="R18:R27" si="4">IF(P$12=0,0,P18/P$12)</f>
        <v>0</v>
      </c>
      <c r="S18" s="20"/>
      <c r="T18" s="20">
        <f>SUM(OSRRefT22x_0)</f>
        <v>244873.1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-177946.83000000002</v>
      </c>
      <c r="Y18" s="4"/>
      <c r="Z18" s="35">
        <f t="shared" ref="Z18:Z27" si="7">IF(T18=0,0,X18/T18)</f>
        <v>-0.72668998758949033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10238.019999999999</v>
      </c>
      <c r="E19" s="1"/>
      <c r="F19" s="5">
        <f t="shared" si="0"/>
        <v>0</v>
      </c>
      <c r="G19" s="1"/>
      <c r="H19" s="1">
        <f>SUM(OSRRefH22_0x_0)</f>
        <v>15423.95</v>
      </c>
      <c r="I19" s="1"/>
      <c r="J19" s="5">
        <f t="shared" si="1"/>
        <v>0</v>
      </c>
      <c r="K19" s="1"/>
      <c r="L19" s="1">
        <f t="shared" si="2"/>
        <v>-5185.9300000000021</v>
      </c>
      <c r="M19" s="1"/>
      <c r="N19" s="5">
        <f t="shared" si="3"/>
        <v>-0.33622580467390012</v>
      </c>
      <c r="O19" s="14"/>
      <c r="P19" s="1">
        <f>SUM(OSRRefP22_0x_0)</f>
        <v>21376.379999999997</v>
      </c>
      <c r="Q19" s="1"/>
      <c r="R19" s="5">
        <f t="shared" si="4"/>
        <v>0</v>
      </c>
      <c r="S19" s="1"/>
      <c r="T19" s="1">
        <f>SUM(OSRRefT22_0x_0)</f>
        <v>37306.01</v>
      </c>
      <c r="U19" s="1"/>
      <c r="V19" s="5">
        <f t="shared" si="5"/>
        <v>0</v>
      </c>
      <c r="W19" s="1"/>
      <c r="X19" s="1">
        <f t="shared" si="6"/>
        <v>-15929.630000000005</v>
      </c>
      <c r="Y19" s="1"/>
      <c r="Z19" s="5">
        <f t="shared" si="7"/>
        <v>-0.42699902777059257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1447.18</v>
      </c>
      <c r="E20" s="2"/>
      <c r="F20" s="6">
        <f t="shared" si="0"/>
        <v>0</v>
      </c>
      <c r="G20" s="2"/>
      <c r="H20" s="7">
        <v>2553.13</v>
      </c>
      <c r="I20" s="2"/>
      <c r="J20" s="6">
        <f t="shared" si="1"/>
        <v>0</v>
      </c>
      <c r="K20" s="2"/>
      <c r="L20" s="7">
        <f t="shared" si="2"/>
        <v>-1105.95</v>
      </c>
      <c r="M20" s="2"/>
      <c r="N20" s="6">
        <f t="shared" si="3"/>
        <v>-0.43317418227822319</v>
      </c>
      <c r="O20" s="11"/>
      <c r="P20" s="7">
        <v>2895.1</v>
      </c>
      <c r="Q20" s="2"/>
      <c r="R20" s="6">
        <f t="shared" si="4"/>
        <v>0</v>
      </c>
      <c r="S20" s="2"/>
      <c r="T20" s="7">
        <v>5416.2</v>
      </c>
      <c r="U20" s="2"/>
      <c r="V20" s="6">
        <f t="shared" si="5"/>
        <v>0</v>
      </c>
      <c r="W20" s="2"/>
      <c r="X20" s="7">
        <f t="shared" si="6"/>
        <v>-2521.1</v>
      </c>
      <c r="Y20" s="2"/>
      <c r="Z20" s="6">
        <f t="shared" si="7"/>
        <v>-0.46547394852479596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62.43</v>
      </c>
      <c r="E21" s="2"/>
      <c r="F21" s="6">
        <f t="shared" si="0"/>
        <v>0</v>
      </c>
      <c r="G21" s="2"/>
      <c r="H21" s="7">
        <v>113.63</v>
      </c>
      <c r="I21" s="2"/>
      <c r="J21" s="6">
        <f t="shared" si="1"/>
        <v>0</v>
      </c>
      <c r="K21" s="2"/>
      <c r="L21" s="7">
        <f t="shared" si="2"/>
        <v>-51.199999999999996</v>
      </c>
      <c r="M21" s="2"/>
      <c r="N21" s="6">
        <f t="shared" si="3"/>
        <v>-0.45058523277303525</v>
      </c>
      <c r="O21" s="11"/>
      <c r="P21" s="7">
        <v>124.89</v>
      </c>
      <c r="Q21" s="2"/>
      <c r="R21" s="6">
        <f t="shared" si="4"/>
        <v>0</v>
      </c>
      <c r="S21" s="2"/>
      <c r="T21" s="7">
        <v>226.51</v>
      </c>
      <c r="U21" s="2"/>
      <c r="V21" s="6">
        <f t="shared" si="5"/>
        <v>0</v>
      </c>
      <c r="W21" s="2"/>
      <c r="X21" s="7">
        <f t="shared" si="6"/>
        <v>-101.61999999999999</v>
      </c>
      <c r="Y21" s="2"/>
      <c r="Z21" s="6">
        <f t="shared" si="7"/>
        <v>-0.4486336144099598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4070.76</v>
      </c>
      <c r="E22" s="2"/>
      <c r="F22" s="6">
        <f t="shared" si="0"/>
        <v>0</v>
      </c>
      <c r="G22" s="2"/>
      <c r="H22" s="7">
        <v>4870.25</v>
      </c>
      <c r="I22" s="2"/>
      <c r="J22" s="6">
        <f t="shared" si="1"/>
        <v>0</v>
      </c>
      <c r="K22" s="2"/>
      <c r="L22" s="7">
        <f t="shared" si="2"/>
        <v>-799.48999999999978</v>
      </c>
      <c r="M22" s="2"/>
      <c r="N22" s="6">
        <f t="shared" si="3"/>
        <v>-0.16415789743852979</v>
      </c>
      <c r="O22" s="11"/>
      <c r="P22" s="7">
        <v>8036.2</v>
      </c>
      <c r="Q22" s="2"/>
      <c r="R22" s="6">
        <f t="shared" si="4"/>
        <v>0</v>
      </c>
      <c r="S22" s="2"/>
      <c r="T22" s="7">
        <v>9740.5</v>
      </c>
      <c r="U22" s="2"/>
      <c r="V22" s="6">
        <f t="shared" si="5"/>
        <v>0</v>
      </c>
      <c r="W22" s="2"/>
      <c r="X22" s="7">
        <f t="shared" si="6"/>
        <v>-1704.3000000000002</v>
      </c>
      <c r="Y22" s="2"/>
      <c r="Z22" s="6">
        <f t="shared" si="7"/>
        <v>-0.17497048406139318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49.19</v>
      </c>
      <c r="E23" s="2"/>
      <c r="F23" s="6">
        <f t="shared" si="0"/>
        <v>0</v>
      </c>
      <c r="G23" s="2"/>
      <c r="H23" s="7">
        <v>86.89</v>
      </c>
      <c r="I23" s="2"/>
      <c r="J23" s="6">
        <f t="shared" si="1"/>
        <v>0</v>
      </c>
      <c r="K23" s="2"/>
      <c r="L23" s="7">
        <f t="shared" si="2"/>
        <v>-37.700000000000003</v>
      </c>
      <c r="M23" s="2"/>
      <c r="N23" s="6">
        <f t="shared" si="3"/>
        <v>-0.43388191966854645</v>
      </c>
      <c r="O23" s="11"/>
      <c r="P23" s="7">
        <v>98.4</v>
      </c>
      <c r="Q23" s="2"/>
      <c r="R23" s="6">
        <f t="shared" si="4"/>
        <v>0</v>
      </c>
      <c r="S23" s="2"/>
      <c r="T23" s="7">
        <v>173.21</v>
      </c>
      <c r="U23" s="2"/>
      <c r="V23" s="6">
        <f t="shared" si="5"/>
        <v>0</v>
      </c>
      <c r="W23" s="2"/>
      <c r="X23" s="7">
        <f t="shared" si="6"/>
        <v>-74.81</v>
      </c>
      <c r="Y23" s="2"/>
      <c r="Z23" s="6">
        <f t="shared" si="7"/>
        <v>-0.43190346977657179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2049.0300000000002</v>
      </c>
      <c r="E24" s="2"/>
      <c r="F24" s="6">
        <f t="shared" si="0"/>
        <v>0</v>
      </c>
      <c r="G24" s="2"/>
      <c r="H24" s="7">
        <v>3181.98</v>
      </c>
      <c r="I24" s="2"/>
      <c r="J24" s="6">
        <f t="shared" si="1"/>
        <v>0</v>
      </c>
      <c r="K24" s="2"/>
      <c r="L24" s="7">
        <f t="shared" si="2"/>
        <v>-1132.9499999999998</v>
      </c>
      <c r="M24" s="2"/>
      <c r="N24" s="6">
        <f t="shared" si="3"/>
        <v>-0.35605189221805283</v>
      </c>
      <c r="O24" s="11"/>
      <c r="P24" s="7">
        <v>5122.58</v>
      </c>
      <c r="Q24" s="2"/>
      <c r="R24" s="6">
        <f t="shared" si="4"/>
        <v>0</v>
      </c>
      <c r="S24" s="2"/>
      <c r="T24" s="7">
        <v>6363.96</v>
      </c>
      <c r="U24" s="2"/>
      <c r="V24" s="6">
        <f t="shared" si="5"/>
        <v>0</v>
      </c>
      <c r="W24" s="2"/>
      <c r="X24" s="7">
        <f t="shared" si="6"/>
        <v>-1241.3800000000001</v>
      </c>
      <c r="Y24" s="2"/>
      <c r="Z24" s="6">
        <f t="shared" si="7"/>
        <v>-0.1950640795982376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1658.98</v>
      </c>
      <c r="E25" s="2"/>
      <c r="F25" s="6">
        <f t="shared" si="0"/>
        <v>0</v>
      </c>
      <c r="G25" s="2"/>
      <c r="H25" s="7">
        <v>2781.54</v>
      </c>
      <c r="I25" s="2"/>
      <c r="J25" s="6">
        <f t="shared" si="1"/>
        <v>0</v>
      </c>
      <c r="K25" s="2"/>
      <c r="L25" s="7">
        <f t="shared" si="2"/>
        <v>-1122.56</v>
      </c>
      <c r="M25" s="2"/>
      <c r="N25" s="6">
        <f t="shared" si="3"/>
        <v>-0.40357499802267804</v>
      </c>
      <c r="O25" s="11"/>
      <c r="P25" s="7">
        <v>3317.96</v>
      </c>
      <c r="Q25" s="2"/>
      <c r="R25" s="6">
        <f t="shared" si="4"/>
        <v>0</v>
      </c>
      <c r="S25" s="2"/>
      <c r="T25" s="7">
        <v>6990.5</v>
      </c>
      <c r="U25" s="2"/>
      <c r="V25" s="6">
        <f t="shared" si="5"/>
        <v>0</v>
      </c>
      <c r="W25" s="2"/>
      <c r="X25" s="7">
        <f t="shared" si="6"/>
        <v>-3672.54</v>
      </c>
      <c r="Y25" s="2"/>
      <c r="Z25" s="6">
        <f t="shared" si="7"/>
        <v>-0.52536156212002005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856.8</v>
      </c>
      <c r="E26" s="2"/>
      <c r="F26" s="6">
        <f t="shared" si="0"/>
        <v>0</v>
      </c>
      <c r="G26" s="2"/>
      <c r="H26" s="7">
        <v>1435.96</v>
      </c>
      <c r="I26" s="2"/>
      <c r="J26" s="6">
        <f t="shared" si="1"/>
        <v>0</v>
      </c>
      <c r="K26" s="2"/>
      <c r="L26" s="7">
        <f t="shared" si="2"/>
        <v>-579.16000000000008</v>
      </c>
      <c r="M26" s="2"/>
      <c r="N26" s="6">
        <f t="shared" si="3"/>
        <v>-0.40332599793866131</v>
      </c>
      <c r="O26" s="11"/>
      <c r="P26" s="7">
        <v>1713.6</v>
      </c>
      <c r="Q26" s="2"/>
      <c r="R26" s="6">
        <f t="shared" si="4"/>
        <v>0</v>
      </c>
      <c r="S26" s="2"/>
      <c r="T26" s="7">
        <v>7555.19</v>
      </c>
      <c r="U26" s="2"/>
      <c r="V26" s="6">
        <f t="shared" si="5"/>
        <v>0</v>
      </c>
      <c r="W26" s="2"/>
      <c r="X26" s="7">
        <f t="shared" si="6"/>
        <v>-5841.59</v>
      </c>
      <c r="Y26" s="2"/>
      <c r="Z26" s="6">
        <f t="shared" si="7"/>
        <v>-0.77318902635142206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43.65</v>
      </c>
      <c r="E27" s="2"/>
      <c r="F27" s="6">
        <f t="shared" si="0"/>
        <v>0</v>
      </c>
      <c r="G27" s="2"/>
      <c r="H27" s="7">
        <v>400.57</v>
      </c>
      <c r="I27" s="2"/>
      <c r="J27" s="6">
        <f t="shared" si="1"/>
        <v>0</v>
      </c>
      <c r="K27" s="2"/>
      <c r="L27" s="7">
        <f t="shared" si="2"/>
        <v>-356.92</v>
      </c>
      <c r="M27" s="2"/>
      <c r="N27" s="6">
        <f t="shared" si="3"/>
        <v>-0.89103028184836608</v>
      </c>
      <c r="O27" s="11"/>
      <c r="P27" s="7">
        <v>67.650000000000006</v>
      </c>
      <c r="Q27" s="2"/>
      <c r="R27" s="6">
        <f t="shared" si="4"/>
        <v>0</v>
      </c>
      <c r="S27" s="2"/>
      <c r="T27" s="7">
        <v>839.94</v>
      </c>
      <c r="U27" s="2"/>
      <c r="V27" s="6">
        <f t="shared" si="5"/>
        <v>0</v>
      </c>
      <c r="W27" s="2"/>
      <c r="X27" s="7">
        <f t="shared" si="6"/>
        <v>-772.29000000000008</v>
      </c>
      <c r="Y27" s="2"/>
      <c r="Z27" s="6">
        <f t="shared" si="7"/>
        <v>-0.91945853275233946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14832.060000000001</v>
      </c>
      <c r="E28" s="1"/>
      <c r="F28" s="5">
        <f t="shared" ref="F28:F31" si="8">IF(D$12=0,0,D28/D$12)</f>
        <v>0</v>
      </c>
      <c r="G28" s="1"/>
      <c r="H28" s="1">
        <f>SUM(OSRRefH22_1x_0)</f>
        <v>28149.78</v>
      </c>
      <c r="I28" s="1"/>
      <c r="J28" s="5">
        <f t="shared" ref="J28:J31" si="9">IF(H$12=0,0,H28/H$12)</f>
        <v>0</v>
      </c>
      <c r="K28" s="1"/>
      <c r="L28" s="1">
        <f t="shared" ref="L28:L31" si="10">+D28-H28</f>
        <v>-13317.719999999998</v>
      </c>
      <c r="M28" s="1"/>
      <c r="N28" s="5">
        <f t="shared" ref="N28:N31" si="11">IF(H28=0,0,L28/H28)</f>
        <v>-0.4731020988441117</v>
      </c>
      <c r="O28" s="14"/>
      <c r="P28" s="1">
        <f>SUM(OSRRefP22_1x_0)</f>
        <v>35625.460000000006</v>
      </c>
      <c r="Q28" s="1"/>
      <c r="R28" s="5">
        <f t="shared" ref="R28:R31" si="12">IF(P$12=0,0,P28/P$12)</f>
        <v>0</v>
      </c>
      <c r="S28" s="1"/>
      <c r="T28" s="1">
        <f>SUM(OSRRefT22_1x_0)</f>
        <v>63987.08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-28361.619999999995</v>
      </c>
      <c r="Y28" s="1"/>
      <c r="Z28" s="5">
        <f t="shared" ref="Z28:Z31" si="15">IF(T28=0,0,X28/T28)</f>
        <v>-0.44323979153291565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>
        <v>11404.53</v>
      </c>
      <c r="E29" s="2"/>
      <c r="F29" s="6">
        <f t="shared" si="8"/>
        <v>0</v>
      </c>
      <c r="G29" s="2"/>
      <c r="H29" s="7">
        <v>21694.44</v>
      </c>
      <c r="I29" s="2"/>
      <c r="J29" s="6">
        <f t="shared" si="9"/>
        <v>0</v>
      </c>
      <c r="K29" s="2"/>
      <c r="L29" s="7">
        <f t="shared" si="10"/>
        <v>-10289.909999999998</v>
      </c>
      <c r="M29" s="2"/>
      <c r="N29" s="6">
        <f t="shared" si="11"/>
        <v>-0.47431092943629788</v>
      </c>
      <c r="O29" s="11"/>
      <c r="P29" s="7">
        <v>28280.870000000003</v>
      </c>
      <c r="Q29" s="2"/>
      <c r="R29" s="6">
        <f t="shared" si="12"/>
        <v>0</v>
      </c>
      <c r="S29" s="2"/>
      <c r="T29" s="7">
        <v>50053.36</v>
      </c>
      <c r="U29" s="2"/>
      <c r="V29" s="6">
        <f t="shared" si="13"/>
        <v>0</v>
      </c>
      <c r="W29" s="2"/>
      <c r="X29" s="7">
        <f t="shared" si="14"/>
        <v>-21772.489999999998</v>
      </c>
      <c r="Y29" s="2"/>
      <c r="Z29" s="6">
        <f t="shared" si="15"/>
        <v>-0.43498558338541105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3427.53</v>
      </c>
      <c r="E30" s="2"/>
      <c r="F30" s="6">
        <f t="shared" si="8"/>
        <v>0</v>
      </c>
      <c r="G30" s="2"/>
      <c r="H30" s="7">
        <v>4406.84</v>
      </c>
      <c r="I30" s="2"/>
      <c r="J30" s="6">
        <f t="shared" si="9"/>
        <v>0</v>
      </c>
      <c r="K30" s="2"/>
      <c r="L30" s="7">
        <f t="shared" si="10"/>
        <v>-979.31</v>
      </c>
      <c r="M30" s="2"/>
      <c r="N30" s="6">
        <f t="shared" si="11"/>
        <v>-0.22222499568852055</v>
      </c>
      <c r="O30" s="11"/>
      <c r="P30" s="7">
        <v>7344.59</v>
      </c>
      <c r="Q30" s="2"/>
      <c r="R30" s="6">
        <f t="shared" si="12"/>
        <v>0</v>
      </c>
      <c r="S30" s="2"/>
      <c r="T30" s="7">
        <v>9548.02</v>
      </c>
      <c r="U30" s="2"/>
      <c r="V30" s="6">
        <f t="shared" si="13"/>
        <v>0</v>
      </c>
      <c r="W30" s="2"/>
      <c r="X30" s="7">
        <f t="shared" si="14"/>
        <v>-2203.4300000000003</v>
      </c>
      <c r="Y30" s="2"/>
      <c r="Z30" s="6">
        <f t="shared" si="15"/>
        <v>-0.23077350068391145</v>
      </c>
    </row>
    <row r="31" spans="1:26" s="24" customFormat="1" hidden="1" outlineLevel="2" x14ac:dyDescent="0.25">
      <c r="A31" s="29"/>
      <c r="B31" s="11" t="str">
        <f>CONCATENATE("          ", "6007", " - ", "STUDENT HOURLY")</f>
        <v xml:space="preserve">          6007 - STUDENT HOURLY</v>
      </c>
      <c r="C31" s="11"/>
      <c r="D31" s="7"/>
      <c r="E31" s="2"/>
      <c r="F31" s="6">
        <f t="shared" si="8"/>
        <v>0</v>
      </c>
      <c r="G31" s="2"/>
      <c r="H31" s="7">
        <v>2048.5</v>
      </c>
      <c r="I31" s="2"/>
      <c r="J31" s="6">
        <f t="shared" si="9"/>
        <v>0</v>
      </c>
      <c r="K31" s="2"/>
      <c r="L31" s="7">
        <f t="shared" si="10"/>
        <v>-2048.5</v>
      </c>
      <c r="M31" s="2"/>
      <c r="N31" s="6">
        <f t="shared" si="11"/>
        <v>-1</v>
      </c>
      <c r="O31" s="11"/>
      <c r="P31" s="7"/>
      <c r="Q31" s="2"/>
      <c r="R31" s="6">
        <f t="shared" si="12"/>
        <v>0</v>
      </c>
      <c r="S31" s="2"/>
      <c r="T31" s="7">
        <v>4385.7</v>
      </c>
      <c r="U31" s="2"/>
      <c r="V31" s="6">
        <f t="shared" si="13"/>
        <v>0</v>
      </c>
      <c r="W31" s="2"/>
      <c r="X31" s="7">
        <f t="shared" si="14"/>
        <v>-4385.7</v>
      </c>
      <c r="Y31" s="2"/>
      <c r="Z31" s="6">
        <f t="shared" si="15"/>
        <v>-1</v>
      </c>
    </row>
    <row r="32" spans="1:26" s="28" customFormat="1" outlineLevel="1" collapsed="1" x14ac:dyDescent="0.25">
      <c r="A32" s="27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3.47</v>
      </c>
      <c r="E32" s="1"/>
      <c r="F32" s="5">
        <f t="shared" ref="F32:F46" si="16">IF(D$12=0,0,D32/D$12)</f>
        <v>0</v>
      </c>
      <c r="G32" s="1"/>
      <c r="H32" s="1">
        <f>SUM(OSRRefH22_2x_0)</f>
        <v>5452.99</v>
      </c>
      <c r="I32" s="1"/>
      <c r="J32" s="5">
        <f t="shared" ref="J32:J46" si="17">IF(H$12=0,0,H32/H$12)</f>
        <v>0</v>
      </c>
      <c r="K32" s="1"/>
      <c r="L32" s="1">
        <f t="shared" ref="L32:L46" si="18">+D32-H32</f>
        <v>-5449.5199999999995</v>
      </c>
      <c r="M32" s="1"/>
      <c r="N32" s="5">
        <f t="shared" ref="N32:N46" si="19">IF(H32=0,0,L32/H32)</f>
        <v>-0.99936365186805765</v>
      </c>
      <c r="O32" s="14"/>
      <c r="P32" s="1">
        <f>SUM(OSRRefP22_2x_0)</f>
        <v>61.85</v>
      </c>
      <c r="Q32" s="1"/>
      <c r="R32" s="5">
        <f t="shared" ref="R32:R46" si="20">IF(P$12=0,0,P32/P$12)</f>
        <v>0</v>
      </c>
      <c r="S32" s="1"/>
      <c r="T32" s="1">
        <f>SUM(OSRRefT22_2x_0)</f>
        <v>11176.91</v>
      </c>
      <c r="U32" s="1"/>
      <c r="V32" s="5">
        <f t="shared" ref="V32:V46" si="21">IF(T$12=0,0,T32/T$12)</f>
        <v>0</v>
      </c>
      <c r="W32" s="1"/>
      <c r="X32" s="1">
        <f t="shared" ref="X32:X46" si="22">+P32-T32</f>
        <v>-11115.06</v>
      </c>
      <c r="Y32" s="1"/>
      <c r="Z32" s="5">
        <f t="shared" ref="Z32:Z46" si="23">IF(T32=0,0,X32/T32)</f>
        <v>-0.99446627019453493</v>
      </c>
    </row>
    <row r="33" spans="1:26" s="24" customFormat="1" hidden="1" outlineLevel="2" x14ac:dyDescent="0.25">
      <c r="A33" s="29"/>
      <c r="B33" s="11" t="str">
        <f>CONCATENATE("          ", "6362", " - ", "ADVERTISING EXPENSE")</f>
        <v xml:space="preserve">          6362 - ADVERTISING EXPENSE</v>
      </c>
      <c r="C33" s="11"/>
      <c r="D33" s="7">
        <v>3.47</v>
      </c>
      <c r="E33" s="2"/>
      <c r="F33" s="6">
        <f t="shared" si="16"/>
        <v>0</v>
      </c>
      <c r="G33" s="2"/>
      <c r="H33" s="7">
        <v>5452.99</v>
      </c>
      <c r="I33" s="2"/>
      <c r="J33" s="6">
        <f t="shared" si="17"/>
        <v>0</v>
      </c>
      <c r="K33" s="2"/>
      <c r="L33" s="7">
        <f t="shared" si="18"/>
        <v>-5449.5199999999995</v>
      </c>
      <c r="M33" s="2"/>
      <c r="N33" s="6">
        <f t="shared" si="19"/>
        <v>-0.99936365186805765</v>
      </c>
      <c r="O33" s="11"/>
      <c r="P33" s="7">
        <v>61.85</v>
      </c>
      <c r="Q33" s="2"/>
      <c r="R33" s="6">
        <f t="shared" si="20"/>
        <v>0</v>
      </c>
      <c r="S33" s="2"/>
      <c r="T33" s="7">
        <v>11176.91</v>
      </c>
      <c r="U33" s="2"/>
      <c r="V33" s="6">
        <f t="shared" si="21"/>
        <v>0</v>
      </c>
      <c r="W33" s="2"/>
      <c r="X33" s="7">
        <f t="shared" si="22"/>
        <v>-11115.06</v>
      </c>
      <c r="Y33" s="2"/>
      <c r="Z33" s="6">
        <f t="shared" si="23"/>
        <v>-0.99446627019453493</v>
      </c>
    </row>
    <row r="34" spans="1:26" s="28" customFormat="1" outlineLevel="1" collapsed="1" x14ac:dyDescent="0.25">
      <c r="A34" s="27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345.23</v>
      </c>
      <c r="I34" s="1"/>
      <c r="J34" s="5">
        <f t="shared" si="17"/>
        <v>0</v>
      </c>
      <c r="K34" s="1"/>
      <c r="L34" s="1">
        <f t="shared" si="18"/>
        <v>-30.360000000000014</v>
      </c>
      <c r="M34" s="1"/>
      <c r="N34" s="5">
        <f t="shared" si="19"/>
        <v>-8.7941372418387773E-2</v>
      </c>
      <c r="O34" s="14"/>
      <c r="P34" s="1">
        <f>SUM(OSRRefP22_3x_0)</f>
        <v>629.74</v>
      </c>
      <c r="Q34" s="1"/>
      <c r="R34" s="5">
        <f t="shared" si="20"/>
        <v>0</v>
      </c>
      <c r="S34" s="1"/>
      <c r="T34" s="1">
        <f>SUM(OSRRefT22_3x_0)</f>
        <v>690.46</v>
      </c>
      <c r="U34" s="1"/>
      <c r="V34" s="5">
        <f t="shared" si="21"/>
        <v>0</v>
      </c>
      <c r="W34" s="1"/>
      <c r="X34" s="1">
        <f t="shared" si="22"/>
        <v>-60.720000000000027</v>
      </c>
      <c r="Y34" s="1"/>
      <c r="Z34" s="5">
        <f t="shared" si="23"/>
        <v>-8.7941372418387773E-2</v>
      </c>
    </row>
    <row r="35" spans="1:26" s="24" customFormat="1" hidden="1" outlineLevel="2" x14ac:dyDescent="0.25">
      <c r="A35" s="29"/>
      <c r="B35" s="11" t="str">
        <f>CONCATENATE("          ", "6322", " - ", "EQUIPMENT DEPRECIATION EXPENSE")</f>
        <v xml:space="preserve">          6322 - EQUIPMENT DEPRECIATION EXPENSE</v>
      </c>
      <c r="C35" s="11"/>
      <c r="D35" s="7">
        <v>314.87</v>
      </c>
      <c r="E35" s="2"/>
      <c r="F35" s="6">
        <f t="shared" si="16"/>
        <v>0</v>
      </c>
      <c r="G35" s="2"/>
      <c r="H35" s="7">
        <v>345.23</v>
      </c>
      <c r="I35" s="2"/>
      <c r="J35" s="6">
        <f t="shared" si="17"/>
        <v>0</v>
      </c>
      <c r="K35" s="2"/>
      <c r="L35" s="7">
        <f t="shared" si="18"/>
        <v>-30.360000000000014</v>
      </c>
      <c r="M35" s="2"/>
      <c r="N35" s="6">
        <f t="shared" si="19"/>
        <v>-8.7941372418387773E-2</v>
      </c>
      <c r="O35" s="11"/>
      <c r="P35" s="7">
        <v>629.74</v>
      </c>
      <c r="Q35" s="2"/>
      <c r="R35" s="6">
        <f t="shared" si="20"/>
        <v>0</v>
      </c>
      <c r="S35" s="2"/>
      <c r="T35" s="7">
        <v>690.46</v>
      </c>
      <c r="U35" s="2"/>
      <c r="V35" s="6">
        <f t="shared" si="21"/>
        <v>0</v>
      </c>
      <c r="W35" s="2"/>
      <c r="X35" s="7">
        <f t="shared" si="22"/>
        <v>-60.720000000000027</v>
      </c>
      <c r="Y35" s="2"/>
      <c r="Z35" s="6">
        <f t="shared" si="23"/>
        <v>-8.7941372418387773E-2</v>
      </c>
    </row>
    <row r="36" spans="1:26" s="28" customFormat="1" outlineLevel="1" collapsed="1" x14ac:dyDescent="0.25">
      <c r="A36" s="27"/>
      <c r="B36" s="14" t="str">
        <f>CONCATENATE("     ","Donations                                         ")</f>
        <v xml:space="preserve">     Donations             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110000.75</v>
      </c>
      <c r="I36" s="1"/>
      <c r="J36" s="5">
        <f t="shared" si="17"/>
        <v>0</v>
      </c>
      <c r="K36" s="1"/>
      <c r="L36" s="1">
        <f t="shared" si="18"/>
        <v>-110000.75</v>
      </c>
      <c r="M36" s="1"/>
      <c r="N36" s="5">
        <f t="shared" si="19"/>
        <v>-1</v>
      </c>
      <c r="O36" s="14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111668.6</v>
      </c>
      <c r="U36" s="1"/>
      <c r="V36" s="5">
        <f t="shared" si="21"/>
        <v>0</v>
      </c>
      <c r="W36" s="1"/>
      <c r="X36" s="1">
        <f t="shared" si="22"/>
        <v>-111668.6</v>
      </c>
      <c r="Y36" s="1"/>
      <c r="Z36" s="5">
        <f t="shared" si="23"/>
        <v>-1</v>
      </c>
    </row>
    <row r="37" spans="1:26" s="24" customFormat="1" hidden="1" outlineLevel="2" x14ac:dyDescent="0.25">
      <c r="A37" s="29"/>
      <c r="B37" s="11" t="str">
        <f>CONCATENATE("          ", "6399", " - ", "DONATION-ON CAMPUS")</f>
        <v xml:space="preserve">          6399 - DONATION-ON CAMPUS</v>
      </c>
      <c r="C37" s="11"/>
      <c r="D37" s="7"/>
      <c r="E37" s="2"/>
      <c r="F37" s="6">
        <f t="shared" si="16"/>
        <v>0</v>
      </c>
      <c r="G37" s="2"/>
      <c r="H37" s="7">
        <v>110000.75</v>
      </c>
      <c r="I37" s="2"/>
      <c r="J37" s="6">
        <f t="shared" si="17"/>
        <v>0</v>
      </c>
      <c r="K37" s="2"/>
      <c r="L37" s="7">
        <f t="shared" si="18"/>
        <v>-110000.75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111668.6</v>
      </c>
      <c r="U37" s="2"/>
      <c r="V37" s="6">
        <f t="shared" si="21"/>
        <v>0</v>
      </c>
      <c r="W37" s="2"/>
      <c r="X37" s="7">
        <f t="shared" si="22"/>
        <v>-111668.6</v>
      </c>
      <c r="Y37" s="2"/>
      <c r="Z37" s="6">
        <f t="shared" si="23"/>
        <v>-1</v>
      </c>
    </row>
    <row r="38" spans="1:26" s="28" customFormat="1" outlineLevel="1" collapsed="1" x14ac:dyDescent="0.25">
      <c r="A38" s="27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117.72</v>
      </c>
      <c r="I38" s="1"/>
      <c r="J38" s="5">
        <f t="shared" si="17"/>
        <v>0</v>
      </c>
      <c r="K38" s="1"/>
      <c r="L38" s="1">
        <f t="shared" si="18"/>
        <v>-1.0000000000005116E-2</v>
      </c>
      <c r="M38" s="1"/>
      <c r="N38" s="5">
        <f t="shared" si="19"/>
        <v>-8.4947332653798128E-5</v>
      </c>
      <c r="O38" s="14"/>
      <c r="P38" s="1">
        <f>SUM(OSRRefP22_5x_0)</f>
        <v>235.42</v>
      </c>
      <c r="Q38" s="1"/>
      <c r="R38" s="5">
        <f t="shared" si="20"/>
        <v>0</v>
      </c>
      <c r="S38" s="1"/>
      <c r="T38" s="1">
        <f>SUM(OSRRefT22_5x_0)</f>
        <v>235.44</v>
      </c>
      <c r="U38" s="1"/>
      <c r="V38" s="5">
        <f t="shared" si="21"/>
        <v>0</v>
      </c>
      <c r="W38" s="1"/>
      <c r="X38" s="1">
        <f t="shared" si="22"/>
        <v>-2.0000000000010232E-2</v>
      </c>
      <c r="Y38" s="1"/>
      <c r="Z38" s="5">
        <f t="shared" si="23"/>
        <v>-8.4947332653798128E-5</v>
      </c>
    </row>
    <row r="39" spans="1:26" s="24" customFormat="1" hidden="1" outlineLevel="2" x14ac:dyDescent="0.25">
      <c r="A39" s="29"/>
      <c r="B39" s="11" t="str">
        <f>CONCATENATE("          ", "6351", " - ", "EQUIPMENT RENTAL")</f>
        <v xml:space="preserve">          6351 - EQUIPMENT RENTAL</v>
      </c>
      <c r="C39" s="11"/>
      <c r="D39" s="7">
        <v>117.71</v>
      </c>
      <c r="E39" s="2"/>
      <c r="F39" s="6">
        <f t="shared" si="16"/>
        <v>0</v>
      </c>
      <c r="G39" s="2"/>
      <c r="H39" s="7">
        <v>117.72</v>
      </c>
      <c r="I39" s="2"/>
      <c r="J39" s="6">
        <f t="shared" si="17"/>
        <v>0</v>
      </c>
      <c r="K39" s="2"/>
      <c r="L39" s="7">
        <f t="shared" si="18"/>
        <v>-1.0000000000005116E-2</v>
      </c>
      <c r="M39" s="2"/>
      <c r="N39" s="6">
        <f t="shared" si="19"/>
        <v>-8.4947332653798128E-5</v>
      </c>
      <c r="O39" s="11"/>
      <c r="P39" s="7">
        <v>235.42</v>
      </c>
      <c r="Q39" s="2"/>
      <c r="R39" s="6">
        <f t="shared" si="20"/>
        <v>0</v>
      </c>
      <c r="S39" s="2"/>
      <c r="T39" s="7">
        <v>235.44</v>
      </c>
      <c r="U39" s="2"/>
      <c r="V39" s="6">
        <f t="shared" si="21"/>
        <v>0</v>
      </c>
      <c r="W39" s="2"/>
      <c r="X39" s="7">
        <f t="shared" si="22"/>
        <v>-2.0000000000010232E-2</v>
      </c>
      <c r="Y39" s="2"/>
      <c r="Z39" s="6">
        <f t="shared" si="23"/>
        <v>-8.4947332653798128E-5</v>
      </c>
    </row>
    <row r="40" spans="1:26" s="28" customFormat="1" outlineLevel="1" collapsed="1" x14ac:dyDescent="0.25">
      <c r="A40" s="27"/>
      <c r="B40" s="14" t="str">
        <f>CONCATENATE("     ","General                                           ")</f>
        <v xml:space="preserve">     General                                           </v>
      </c>
      <c r="C40" s="14"/>
      <c r="D40" s="1">
        <f>SUM(OSRRefD22_6x_0)</f>
        <v>0</v>
      </c>
      <c r="E40" s="1"/>
      <c r="F40" s="5">
        <f t="shared" si="16"/>
        <v>0</v>
      </c>
      <c r="G40" s="1"/>
      <c r="H40" s="1">
        <f>SUM(OSRRefH22_6x_0)</f>
        <v>2250</v>
      </c>
      <c r="I40" s="1"/>
      <c r="J40" s="5">
        <f t="shared" si="17"/>
        <v>0</v>
      </c>
      <c r="K40" s="1"/>
      <c r="L40" s="1">
        <f t="shared" si="18"/>
        <v>-2250</v>
      </c>
      <c r="M40" s="1"/>
      <c r="N40" s="5">
        <f t="shared" si="19"/>
        <v>-1</v>
      </c>
      <c r="O40" s="14"/>
      <c r="P40" s="1">
        <f>SUM(OSRRefP22_6x_0)</f>
        <v>0</v>
      </c>
      <c r="Q40" s="1"/>
      <c r="R40" s="5">
        <f t="shared" si="20"/>
        <v>0</v>
      </c>
      <c r="S40" s="1"/>
      <c r="T40" s="1">
        <f>SUM(OSRRefT22_6x_0)</f>
        <v>2280.62</v>
      </c>
      <c r="U40" s="1"/>
      <c r="V40" s="5">
        <f t="shared" si="21"/>
        <v>0</v>
      </c>
      <c r="W40" s="1"/>
      <c r="X40" s="1">
        <f t="shared" si="22"/>
        <v>-2280.62</v>
      </c>
      <c r="Y40" s="1"/>
      <c r="Z40" s="5">
        <f t="shared" si="23"/>
        <v>-1</v>
      </c>
    </row>
    <row r="41" spans="1:26" s="24" customFormat="1" hidden="1" outlineLevel="2" x14ac:dyDescent="0.25">
      <c r="A41" s="29"/>
      <c r="B41" s="11" t="str">
        <f>CONCATENATE("          ", "6279", " - ", "GENERAL EXPENSE")</f>
        <v xml:space="preserve">          6279 - GENERAL EXPENSE</v>
      </c>
      <c r="C41" s="11"/>
      <c r="D41" s="7"/>
      <c r="E41" s="2"/>
      <c r="F41" s="6">
        <f t="shared" si="16"/>
        <v>0</v>
      </c>
      <c r="G41" s="2"/>
      <c r="H41" s="7">
        <v>2250</v>
      </c>
      <c r="I41" s="2"/>
      <c r="J41" s="6">
        <f t="shared" si="17"/>
        <v>0</v>
      </c>
      <c r="K41" s="2"/>
      <c r="L41" s="7">
        <f t="shared" si="18"/>
        <v>-2250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2280.62</v>
      </c>
      <c r="U41" s="2"/>
      <c r="V41" s="6">
        <f t="shared" si="21"/>
        <v>0</v>
      </c>
      <c r="W41" s="2"/>
      <c r="X41" s="7">
        <f t="shared" si="22"/>
        <v>-2280.62</v>
      </c>
      <c r="Y41" s="2"/>
      <c r="Z41" s="6">
        <f t="shared" si="23"/>
        <v>-1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SUM(OSRRefD22_7x_0)</f>
        <v>115.13</v>
      </c>
      <c r="E42" s="1"/>
      <c r="F42" s="5">
        <f t="shared" si="16"/>
        <v>0</v>
      </c>
      <c r="G42" s="1"/>
      <c r="H42" s="1">
        <f>SUM(OSRRefH22_7x_0)</f>
        <v>115.13</v>
      </c>
      <c r="I42" s="1"/>
      <c r="J42" s="5">
        <f t="shared" si="17"/>
        <v>0</v>
      </c>
      <c r="K42" s="1"/>
      <c r="L42" s="1">
        <f t="shared" si="18"/>
        <v>0</v>
      </c>
      <c r="M42" s="1"/>
      <c r="N42" s="5">
        <f t="shared" si="19"/>
        <v>0</v>
      </c>
      <c r="O42" s="14"/>
      <c r="P42" s="1">
        <f>SUM(OSRRefP22_7x_0)</f>
        <v>230.26</v>
      </c>
      <c r="Q42" s="1"/>
      <c r="R42" s="5">
        <f t="shared" si="20"/>
        <v>0</v>
      </c>
      <c r="S42" s="1"/>
      <c r="T42" s="1">
        <f>SUM(OSRRefT22_7x_0)</f>
        <v>230.26</v>
      </c>
      <c r="U42" s="1"/>
      <c r="V42" s="5">
        <f t="shared" si="21"/>
        <v>0</v>
      </c>
      <c r="W42" s="1"/>
      <c r="X42" s="1">
        <f t="shared" si="22"/>
        <v>0</v>
      </c>
      <c r="Y42" s="1"/>
      <c r="Z42" s="5">
        <f t="shared" si="23"/>
        <v>0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115.13</v>
      </c>
      <c r="E43" s="2"/>
      <c r="F43" s="6">
        <f t="shared" si="16"/>
        <v>0</v>
      </c>
      <c r="G43" s="2"/>
      <c r="H43" s="7">
        <v>115.13</v>
      </c>
      <c r="I43" s="2"/>
      <c r="J43" s="6">
        <f t="shared" si="17"/>
        <v>0</v>
      </c>
      <c r="K43" s="2"/>
      <c r="L43" s="7">
        <f t="shared" si="18"/>
        <v>0</v>
      </c>
      <c r="M43" s="2"/>
      <c r="N43" s="6">
        <f t="shared" si="19"/>
        <v>0</v>
      </c>
      <c r="O43" s="11"/>
      <c r="P43" s="7">
        <v>230.26</v>
      </c>
      <c r="Q43" s="2"/>
      <c r="R43" s="6">
        <f t="shared" si="20"/>
        <v>0</v>
      </c>
      <c r="S43" s="2"/>
      <c r="T43" s="7">
        <v>230.26</v>
      </c>
      <c r="U43" s="2"/>
      <c r="V43" s="6">
        <f t="shared" si="21"/>
        <v>0</v>
      </c>
      <c r="W43" s="2"/>
      <c r="X43" s="7">
        <f t="shared" si="22"/>
        <v>0</v>
      </c>
      <c r="Y43" s="2"/>
      <c r="Z43" s="6">
        <f t="shared" si="23"/>
        <v>0</v>
      </c>
    </row>
    <row r="44" spans="1:26" s="28" customFormat="1" outlineLevel="1" collapsed="1" x14ac:dyDescent="0.25">
      <c r="A44" s="27"/>
      <c r="B44" s="14" t="str">
        <f>CONCATENATE("     ","Professional Services                             ")</f>
        <v xml:space="preserve">     Professional Services                             </v>
      </c>
      <c r="C44" s="14"/>
      <c r="D44" s="1">
        <f>SUM(OSRRefD22_8x_0)</f>
        <v>1050</v>
      </c>
      <c r="E44" s="1"/>
      <c r="F44" s="5">
        <f t="shared" si="16"/>
        <v>0</v>
      </c>
      <c r="G44" s="1"/>
      <c r="H44" s="1">
        <f>SUM(OSRRefH22_8x_0)</f>
        <v>0</v>
      </c>
      <c r="I44" s="1"/>
      <c r="J44" s="5">
        <f t="shared" si="17"/>
        <v>0</v>
      </c>
      <c r="K44" s="1"/>
      <c r="L44" s="1">
        <f t="shared" si="18"/>
        <v>1050</v>
      </c>
      <c r="M44" s="1"/>
      <c r="N44" s="5">
        <f t="shared" si="19"/>
        <v>0</v>
      </c>
      <c r="O44" s="14"/>
      <c r="P44" s="1">
        <f>SUM(OSRRefP22_8x_0)</f>
        <v>1150</v>
      </c>
      <c r="Q44" s="1"/>
      <c r="R44" s="5">
        <f t="shared" si="20"/>
        <v>0</v>
      </c>
      <c r="S44" s="1"/>
      <c r="T44" s="1">
        <f>SUM(OSRRefT22_8x_0)</f>
        <v>5015</v>
      </c>
      <c r="U44" s="1"/>
      <c r="V44" s="5">
        <f t="shared" si="21"/>
        <v>0</v>
      </c>
      <c r="W44" s="1"/>
      <c r="X44" s="1">
        <f t="shared" si="22"/>
        <v>-3865</v>
      </c>
      <c r="Y44" s="1"/>
      <c r="Z44" s="5">
        <f t="shared" si="23"/>
        <v>-0.77068793619142573</v>
      </c>
    </row>
    <row r="45" spans="1:26" s="24" customFormat="1" hidden="1" outlineLevel="2" x14ac:dyDescent="0.25">
      <c r="A45" s="29"/>
      <c r="B45" s="11" t="str">
        <f>CONCATENATE("          ", "6334", " - ", "LEGAL COUNCIL EXPENSE")</f>
        <v xml:space="preserve">          6334 - LEGAL COUNCIL EXPENSE</v>
      </c>
      <c r="C45" s="11"/>
      <c r="D45" s="7">
        <v>1050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1050</v>
      </c>
      <c r="M45" s="2"/>
      <c r="N45" s="6">
        <f t="shared" si="19"/>
        <v>0</v>
      </c>
      <c r="O45" s="11"/>
      <c r="P45" s="7">
        <v>1150</v>
      </c>
      <c r="Q45" s="2"/>
      <c r="R45" s="6">
        <f t="shared" si="20"/>
        <v>0</v>
      </c>
      <c r="S45" s="2"/>
      <c r="T45" s="7">
        <v>15</v>
      </c>
      <c r="U45" s="2"/>
      <c r="V45" s="6">
        <f t="shared" si="21"/>
        <v>0</v>
      </c>
      <c r="W45" s="2"/>
      <c r="X45" s="7">
        <f t="shared" si="22"/>
        <v>1135</v>
      </c>
      <c r="Y45" s="2"/>
      <c r="Z45" s="6">
        <f t="shared" si="23"/>
        <v>75.666666666666671</v>
      </c>
    </row>
    <row r="46" spans="1:26" s="24" customFormat="1" hidden="1" outlineLevel="2" x14ac:dyDescent="0.25">
      <c r="A46" s="29"/>
      <c r="B46" s="11" t="str">
        <f>CONCATENATE("          ", "6336", " - ", "PROFESSIONAL SERVICES")</f>
        <v xml:space="preserve">          6336 - PROFESSIONAL SERVICES</v>
      </c>
      <c r="C46" s="11"/>
      <c r="D46" s="7"/>
      <c r="E46" s="2"/>
      <c r="F46" s="6">
        <f t="shared" si="16"/>
        <v>0</v>
      </c>
      <c r="G46" s="2"/>
      <c r="H46" s="7"/>
      <c r="I46" s="2"/>
      <c r="J46" s="6">
        <f t="shared" si="17"/>
        <v>0</v>
      </c>
      <c r="K46" s="2"/>
      <c r="L46" s="7">
        <f t="shared" si="18"/>
        <v>0</v>
      </c>
      <c r="M46" s="2"/>
      <c r="N46" s="6">
        <f t="shared" si="19"/>
        <v>0</v>
      </c>
      <c r="O46" s="11"/>
      <c r="P46" s="7"/>
      <c r="Q46" s="2"/>
      <c r="R46" s="6">
        <f t="shared" si="20"/>
        <v>0</v>
      </c>
      <c r="S46" s="2"/>
      <c r="T46" s="7">
        <v>5000</v>
      </c>
      <c r="U46" s="2"/>
      <c r="V46" s="6">
        <f t="shared" si="21"/>
        <v>0</v>
      </c>
      <c r="W46" s="2"/>
      <c r="X46" s="7">
        <f t="shared" si="22"/>
        <v>-5000</v>
      </c>
      <c r="Y46" s="2"/>
      <c r="Z46" s="6">
        <f t="shared" si="23"/>
        <v>-1</v>
      </c>
    </row>
    <row r="47" spans="1:26" s="28" customFormat="1" outlineLevel="1" collapsed="1" x14ac:dyDescent="0.25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SUM(OSRRefD22_9x_0)</f>
        <v>2565</v>
      </c>
      <c r="E47" s="1"/>
      <c r="F47" s="5">
        <f t="shared" ref="F47:F49" si="24">IF(D$12=0,0,D47/D$12)</f>
        <v>0</v>
      </c>
      <c r="G47" s="1"/>
      <c r="H47" s="1">
        <f>SUM(OSRRefH22_9x_0)</f>
        <v>2690.46</v>
      </c>
      <c r="I47" s="1"/>
      <c r="J47" s="5">
        <f t="shared" ref="J47:J49" si="25">IF(H$12=0,0,H47/H$12)</f>
        <v>0</v>
      </c>
      <c r="K47" s="1"/>
      <c r="L47" s="1">
        <f t="shared" ref="L47:L49" si="26">+D47-H47</f>
        <v>-125.46000000000004</v>
      </c>
      <c r="M47" s="1"/>
      <c r="N47" s="5">
        <f t="shared" ref="N47:N49" si="27">IF(H47=0,0,L47/H47)</f>
        <v>-4.6631431056399289E-2</v>
      </c>
      <c r="O47" s="14"/>
      <c r="P47" s="1">
        <f>SUM(OSRRefP22_9x_0)</f>
        <v>5152.7299999999996</v>
      </c>
      <c r="Q47" s="1"/>
      <c r="R47" s="5">
        <f t="shared" ref="R47:R49" si="28">IF(P$12=0,0,P47/P$12)</f>
        <v>0</v>
      </c>
      <c r="S47" s="1"/>
      <c r="T47" s="1">
        <f>SUM(OSRRefT22_9x_0)</f>
        <v>7718.08</v>
      </c>
      <c r="U47" s="1"/>
      <c r="V47" s="5">
        <f t="shared" ref="V47:V49" si="29">IF(T$12=0,0,T47/T$12)</f>
        <v>0</v>
      </c>
      <c r="W47" s="1"/>
      <c r="X47" s="1">
        <f t="shared" ref="X47:X49" si="30">+P47-T47</f>
        <v>-2565.3500000000004</v>
      </c>
      <c r="Y47" s="1"/>
      <c r="Z47" s="5">
        <f t="shared" ref="Z47:Z49" si="31">IF(T47=0,0,X47/T47)</f>
        <v>-0.33238188772337168</v>
      </c>
    </row>
    <row r="48" spans="1:26" s="24" customFormat="1" hidden="1" outlineLevel="2" x14ac:dyDescent="0.25">
      <c r="A48" s="29"/>
      <c r="B48" s="11" t="str">
        <f>CONCATENATE("          ", "6373", " - ", "MAINTENANCE CONTRACTS")</f>
        <v xml:space="preserve">          6373 - MAINTENANCE CONTRACTS</v>
      </c>
      <c r="C48" s="11"/>
      <c r="D48" s="7">
        <v>2565</v>
      </c>
      <c r="E48" s="2"/>
      <c r="F48" s="6">
        <f t="shared" si="24"/>
        <v>0</v>
      </c>
      <c r="G48" s="2"/>
      <c r="H48" s="7">
        <v>2690.46</v>
      </c>
      <c r="I48" s="2"/>
      <c r="J48" s="6">
        <f t="shared" si="25"/>
        <v>0</v>
      </c>
      <c r="K48" s="2"/>
      <c r="L48" s="7">
        <f t="shared" si="26"/>
        <v>-125.46000000000004</v>
      </c>
      <c r="M48" s="2"/>
      <c r="N48" s="6">
        <f t="shared" si="27"/>
        <v>-4.6631431056399289E-2</v>
      </c>
      <c r="O48" s="11"/>
      <c r="P48" s="7">
        <v>5152.7299999999996</v>
      </c>
      <c r="Q48" s="2"/>
      <c r="R48" s="6">
        <f t="shared" si="28"/>
        <v>0</v>
      </c>
      <c r="S48" s="2"/>
      <c r="T48" s="7">
        <v>7630.33</v>
      </c>
      <c r="U48" s="2"/>
      <c r="V48" s="6">
        <f t="shared" si="29"/>
        <v>0</v>
      </c>
      <c r="W48" s="2"/>
      <c r="X48" s="7">
        <f t="shared" si="30"/>
        <v>-2477.6000000000004</v>
      </c>
      <c r="Y48" s="2"/>
      <c r="Z48" s="6">
        <f t="shared" si="31"/>
        <v>-0.32470417400033819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24"/>
        <v>0</v>
      </c>
      <c r="G49" s="2"/>
      <c r="H49" s="7"/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/>
      <c r="Q49" s="2"/>
      <c r="R49" s="6">
        <f t="shared" si="28"/>
        <v>0</v>
      </c>
      <c r="S49" s="2"/>
      <c r="T49" s="7">
        <v>87.75</v>
      </c>
      <c r="U49" s="2"/>
      <c r="V49" s="6">
        <f t="shared" si="29"/>
        <v>0</v>
      </c>
      <c r="W49" s="2"/>
      <c r="X49" s="7">
        <f t="shared" si="30"/>
        <v>-87.75</v>
      </c>
      <c r="Y49" s="2"/>
      <c r="Z49" s="6">
        <f t="shared" si="31"/>
        <v>-1</v>
      </c>
    </row>
    <row r="50" spans="1:26" s="28" customFormat="1" outlineLevel="1" collapsed="1" x14ac:dyDescent="0.25">
      <c r="A50" s="27"/>
      <c r="B50" s="14" t="str">
        <f>CONCATENATE("     ","Subscriptions &amp; Dues                              ")</f>
        <v xml:space="preserve">     Subscriptions &amp; Dues                              </v>
      </c>
      <c r="C50" s="14"/>
      <c r="D50" s="1">
        <f>SUM(OSRRefD22_10x_0)</f>
        <v>1725</v>
      </c>
      <c r="E50" s="1"/>
      <c r="F50" s="5">
        <f t="shared" ref="F50:F55" si="32">IF(D$12=0,0,D50/D$12)</f>
        <v>0</v>
      </c>
      <c r="G50" s="1"/>
      <c r="H50" s="1">
        <f>SUM(OSRRefH22_10x_0)</f>
        <v>0</v>
      </c>
      <c r="I50" s="1"/>
      <c r="J50" s="5">
        <f t="shared" ref="J50:J55" si="33">IF(H$12=0,0,H50/H$12)</f>
        <v>0</v>
      </c>
      <c r="K50" s="1"/>
      <c r="L50" s="1">
        <f t="shared" ref="L50:L55" si="34">+D50-H50</f>
        <v>1725</v>
      </c>
      <c r="M50" s="1"/>
      <c r="N50" s="5">
        <f t="shared" ref="N50:N55" si="35">IF(H50=0,0,L50/H50)</f>
        <v>0</v>
      </c>
      <c r="O50" s="14"/>
      <c r="P50" s="1">
        <f>SUM(OSRRefP22_10x_0)</f>
        <v>1725</v>
      </c>
      <c r="Q50" s="1"/>
      <c r="R50" s="5">
        <f t="shared" ref="R50:R55" si="36">IF(P$12=0,0,P50/P$12)</f>
        <v>0</v>
      </c>
      <c r="S50" s="1"/>
      <c r="T50" s="1">
        <f>SUM(OSRRefT22_10x_0)</f>
        <v>1000</v>
      </c>
      <c r="U50" s="1"/>
      <c r="V50" s="5">
        <f t="shared" ref="V50:V55" si="37">IF(T$12=0,0,T50/T$12)</f>
        <v>0</v>
      </c>
      <c r="W50" s="1"/>
      <c r="X50" s="1">
        <f t="shared" ref="X50:X55" si="38">+P50-T50</f>
        <v>725</v>
      </c>
      <c r="Y50" s="1"/>
      <c r="Z50" s="5">
        <f t="shared" ref="Z50:Z55" si="39">IF(T50=0,0,X50/T50)</f>
        <v>0.72499999999999998</v>
      </c>
    </row>
    <row r="51" spans="1:26" s="24" customFormat="1" hidden="1" outlineLevel="2" x14ac:dyDescent="0.25">
      <c r="A51" s="29"/>
      <c r="B51" s="11" t="str">
        <f>CONCATENATE("          ", "6258", " - ", "MEMBERSHIP DUES")</f>
        <v xml:space="preserve">          6258 - MEMBERSHIP DUES</v>
      </c>
      <c r="C51" s="11"/>
      <c r="D51" s="7">
        <v>1725</v>
      </c>
      <c r="E51" s="2"/>
      <c r="F51" s="6">
        <f t="shared" si="32"/>
        <v>0</v>
      </c>
      <c r="G51" s="2"/>
      <c r="H51" s="7"/>
      <c r="I51" s="2"/>
      <c r="J51" s="6">
        <f t="shared" si="33"/>
        <v>0</v>
      </c>
      <c r="K51" s="2"/>
      <c r="L51" s="7">
        <f t="shared" si="34"/>
        <v>1725</v>
      </c>
      <c r="M51" s="2"/>
      <c r="N51" s="6">
        <f t="shared" si="35"/>
        <v>0</v>
      </c>
      <c r="O51" s="11"/>
      <c r="P51" s="7">
        <v>1725</v>
      </c>
      <c r="Q51" s="2"/>
      <c r="R51" s="6">
        <f t="shared" si="36"/>
        <v>0</v>
      </c>
      <c r="S51" s="2"/>
      <c r="T51" s="7">
        <v>1000</v>
      </c>
      <c r="U51" s="2"/>
      <c r="V51" s="6">
        <f t="shared" si="37"/>
        <v>0</v>
      </c>
      <c r="W51" s="2"/>
      <c r="X51" s="7">
        <f t="shared" si="38"/>
        <v>725</v>
      </c>
      <c r="Y51" s="2"/>
      <c r="Z51" s="6">
        <f t="shared" si="39"/>
        <v>0.72499999999999998</v>
      </c>
    </row>
    <row r="52" spans="1:26" s="28" customFormat="1" outlineLevel="1" collapsed="1" x14ac:dyDescent="0.25">
      <c r="A52" s="27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SUM(OSRRefD22_11x_0)</f>
        <v>0</v>
      </c>
      <c r="E52" s="1"/>
      <c r="F52" s="5">
        <f t="shared" si="32"/>
        <v>0</v>
      </c>
      <c r="G52" s="1"/>
      <c r="H52" s="1">
        <f>SUM(OSRRefH22_11x_0)</f>
        <v>130.55000000000001</v>
      </c>
      <c r="I52" s="1"/>
      <c r="J52" s="5">
        <f t="shared" si="33"/>
        <v>0</v>
      </c>
      <c r="K52" s="1"/>
      <c r="L52" s="1">
        <f t="shared" si="34"/>
        <v>-130.55000000000001</v>
      </c>
      <c r="M52" s="1"/>
      <c r="N52" s="5">
        <f t="shared" si="35"/>
        <v>-1</v>
      </c>
      <c r="O52" s="14"/>
      <c r="P52" s="1">
        <f>SUM(OSRRefP22_11x_0)</f>
        <v>132.01</v>
      </c>
      <c r="Q52" s="1"/>
      <c r="R52" s="5">
        <f t="shared" si="36"/>
        <v>0</v>
      </c>
      <c r="S52" s="1"/>
      <c r="T52" s="1">
        <f>SUM(OSRRefT22_11x_0)</f>
        <v>297.75</v>
      </c>
      <c r="U52" s="1"/>
      <c r="V52" s="5">
        <f t="shared" si="37"/>
        <v>0</v>
      </c>
      <c r="W52" s="1"/>
      <c r="X52" s="1">
        <f t="shared" si="38"/>
        <v>-165.74</v>
      </c>
      <c r="Y52" s="1"/>
      <c r="Z52" s="5">
        <f t="shared" si="39"/>
        <v>-0.55664147774979011</v>
      </c>
    </row>
    <row r="53" spans="1:26" s="24" customFormat="1" hidden="1" outlineLevel="2" x14ac:dyDescent="0.25">
      <c r="A53" s="29"/>
      <c r="B53" s="11" t="str">
        <f>CONCATENATE("          ", "6235", " - ", "COVID-19 EXPENSES")</f>
        <v xml:space="preserve">          6235 - COVID-19 EXPENSES</v>
      </c>
      <c r="C53" s="11"/>
      <c r="D53" s="7"/>
      <c r="E53" s="2"/>
      <c r="F53" s="6">
        <f t="shared" si="32"/>
        <v>0</v>
      </c>
      <c r="G53" s="2"/>
      <c r="H53" s="7"/>
      <c r="I53" s="2"/>
      <c r="J53" s="6">
        <f t="shared" si="33"/>
        <v>0</v>
      </c>
      <c r="K53" s="2"/>
      <c r="L53" s="7">
        <f t="shared" si="34"/>
        <v>0</v>
      </c>
      <c r="M53" s="2"/>
      <c r="N53" s="6">
        <f t="shared" si="35"/>
        <v>0</v>
      </c>
      <c r="O53" s="11"/>
      <c r="P53" s="7">
        <v>106.94</v>
      </c>
      <c r="Q53" s="2"/>
      <c r="R53" s="6">
        <f t="shared" si="36"/>
        <v>0</v>
      </c>
      <c r="S53" s="2"/>
      <c r="T53" s="7"/>
      <c r="U53" s="2"/>
      <c r="V53" s="6">
        <f t="shared" si="37"/>
        <v>0</v>
      </c>
      <c r="W53" s="2"/>
      <c r="X53" s="7">
        <f t="shared" si="38"/>
        <v>106.94</v>
      </c>
      <c r="Y53" s="2"/>
      <c r="Z53" s="6">
        <f t="shared" si="39"/>
        <v>0</v>
      </c>
    </row>
    <row r="54" spans="1:26" s="24" customFormat="1" hidden="1" outlineLevel="2" x14ac:dyDescent="0.25">
      <c r="A54" s="29"/>
      <c r="B54" s="11" t="str">
        <f>CONCATENATE("          ", "6241", " - ", "OFFICE EXPENSE")</f>
        <v xml:space="preserve">          6241 - OFFICE EXPENSE</v>
      </c>
      <c r="C54" s="11"/>
      <c r="D54" s="7"/>
      <c r="E54" s="2"/>
      <c r="F54" s="6">
        <f t="shared" si="32"/>
        <v>0</v>
      </c>
      <c r="G54" s="2"/>
      <c r="H54" s="7">
        <v>130.55000000000001</v>
      </c>
      <c r="I54" s="2"/>
      <c r="J54" s="6">
        <f t="shared" si="33"/>
        <v>0</v>
      </c>
      <c r="K54" s="2"/>
      <c r="L54" s="7">
        <f t="shared" si="34"/>
        <v>-130.55000000000001</v>
      </c>
      <c r="M54" s="2"/>
      <c r="N54" s="6">
        <f t="shared" si="35"/>
        <v>-1</v>
      </c>
      <c r="O54" s="11"/>
      <c r="P54" s="7">
        <v>25.07</v>
      </c>
      <c r="Q54" s="2"/>
      <c r="R54" s="6">
        <f t="shared" si="36"/>
        <v>0</v>
      </c>
      <c r="S54" s="2"/>
      <c r="T54" s="7">
        <v>265.89</v>
      </c>
      <c r="U54" s="2"/>
      <c r="V54" s="6">
        <f t="shared" si="37"/>
        <v>0</v>
      </c>
      <c r="W54" s="2"/>
      <c r="X54" s="7">
        <f t="shared" si="38"/>
        <v>-240.82</v>
      </c>
      <c r="Y54" s="2"/>
      <c r="Z54" s="6">
        <f t="shared" si="39"/>
        <v>-0.90571288878859679</v>
      </c>
    </row>
    <row r="55" spans="1:26" s="24" customFormat="1" hidden="1" outlineLevel="2" x14ac:dyDescent="0.25">
      <c r="A55" s="29"/>
      <c r="B55" s="11" t="str">
        <f>CONCATENATE("          ", "6245", " - ", "PRINTING")</f>
        <v xml:space="preserve">          6245 - PRINTING</v>
      </c>
      <c r="C55" s="11"/>
      <c r="D55" s="7"/>
      <c r="E55" s="2"/>
      <c r="F55" s="6">
        <f t="shared" si="32"/>
        <v>0</v>
      </c>
      <c r="G55" s="2"/>
      <c r="H55" s="7"/>
      <c r="I55" s="2"/>
      <c r="J55" s="6">
        <f t="shared" si="33"/>
        <v>0</v>
      </c>
      <c r="K55" s="2"/>
      <c r="L55" s="7">
        <f t="shared" si="34"/>
        <v>0</v>
      </c>
      <c r="M55" s="2"/>
      <c r="N55" s="6">
        <f t="shared" si="35"/>
        <v>0</v>
      </c>
      <c r="O55" s="11"/>
      <c r="P55" s="7"/>
      <c r="Q55" s="2"/>
      <c r="R55" s="6">
        <f t="shared" si="36"/>
        <v>0</v>
      </c>
      <c r="S55" s="2"/>
      <c r="T55" s="7">
        <v>31.86</v>
      </c>
      <c r="U55" s="2"/>
      <c r="V55" s="6">
        <f t="shared" si="37"/>
        <v>0</v>
      </c>
      <c r="W55" s="2"/>
      <c r="X55" s="7">
        <f t="shared" si="38"/>
        <v>-31.86</v>
      </c>
      <c r="Y55" s="2"/>
      <c r="Z55" s="6">
        <f t="shared" si="39"/>
        <v>-1</v>
      </c>
    </row>
    <row r="56" spans="1:26" s="28" customFormat="1" outlineLevel="1" collapsed="1" x14ac:dyDescent="0.25">
      <c r="A56" s="27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SUM(OSRRefD22_12x_0)</f>
        <v>304.26</v>
      </c>
      <c r="E56" s="1"/>
      <c r="F56" s="5">
        <f t="shared" ref="F56:F59" si="40">IF(D$12=0,0,D56/D$12)</f>
        <v>0</v>
      </c>
      <c r="G56" s="1"/>
      <c r="H56" s="1">
        <f>SUM(OSRRefH22_12x_0)</f>
        <v>318.95</v>
      </c>
      <c r="I56" s="1"/>
      <c r="J56" s="5">
        <f t="shared" ref="J56:J59" si="41">IF(H$12=0,0,H56/H$12)</f>
        <v>0</v>
      </c>
      <c r="K56" s="1"/>
      <c r="L56" s="1">
        <f t="shared" ref="L56:L59" si="42">+D56-H56</f>
        <v>-14.689999999999998</v>
      </c>
      <c r="M56" s="1"/>
      <c r="N56" s="5">
        <f t="shared" ref="N56:N59" si="43">IF(H56=0,0,L56/H56)</f>
        <v>-4.605737576422636E-2</v>
      </c>
      <c r="O56" s="14"/>
      <c r="P56" s="1">
        <f>SUM(OSRRefP22_12x_0)</f>
        <v>607.41999999999996</v>
      </c>
      <c r="Q56" s="1"/>
      <c r="R56" s="5">
        <f t="shared" ref="R56:R59" si="44">IF(P$12=0,0,P56/P$12)</f>
        <v>0</v>
      </c>
      <c r="S56" s="1"/>
      <c r="T56" s="1">
        <f>SUM(OSRRefT22_12x_0)</f>
        <v>459.63</v>
      </c>
      <c r="U56" s="1"/>
      <c r="V56" s="5">
        <f t="shared" ref="V56:V59" si="45">IF(T$12=0,0,T56/T$12)</f>
        <v>0</v>
      </c>
      <c r="W56" s="1"/>
      <c r="X56" s="1">
        <f t="shared" ref="X56:X59" si="46">+P56-T56</f>
        <v>147.78999999999996</v>
      </c>
      <c r="Y56" s="1"/>
      <c r="Z56" s="5">
        <f t="shared" ref="Z56:Z59" si="47">IF(T56=0,0,X56/T56)</f>
        <v>0.3215412396927963</v>
      </c>
    </row>
    <row r="57" spans="1:26" s="24" customFormat="1" hidden="1" outlineLevel="2" x14ac:dyDescent="0.25">
      <c r="A57" s="29"/>
      <c r="B57" s="11" t="str">
        <f>CONCATENATE("          ", "6309", " - ", "TELEPHONE")</f>
        <v xml:space="preserve">          6309 - TELEPHONE</v>
      </c>
      <c r="C57" s="11"/>
      <c r="D57" s="7">
        <v>304.26</v>
      </c>
      <c r="E57" s="2"/>
      <c r="F57" s="6">
        <f t="shared" si="40"/>
        <v>0</v>
      </c>
      <c r="G57" s="2"/>
      <c r="H57" s="7">
        <v>318.95</v>
      </c>
      <c r="I57" s="2"/>
      <c r="J57" s="6">
        <f t="shared" si="41"/>
        <v>0</v>
      </c>
      <c r="K57" s="2"/>
      <c r="L57" s="7">
        <f t="shared" si="42"/>
        <v>-14.689999999999998</v>
      </c>
      <c r="M57" s="2"/>
      <c r="N57" s="6">
        <f t="shared" si="43"/>
        <v>-4.605737576422636E-2</v>
      </c>
      <c r="O57" s="11"/>
      <c r="P57" s="7">
        <v>607.41999999999996</v>
      </c>
      <c r="Q57" s="2"/>
      <c r="R57" s="6">
        <f t="shared" si="44"/>
        <v>0</v>
      </c>
      <c r="S57" s="2"/>
      <c r="T57" s="7">
        <v>459.63</v>
      </c>
      <c r="U57" s="2"/>
      <c r="V57" s="6">
        <f t="shared" si="45"/>
        <v>0</v>
      </c>
      <c r="W57" s="2"/>
      <c r="X57" s="7">
        <f t="shared" si="46"/>
        <v>147.78999999999996</v>
      </c>
      <c r="Y57" s="2"/>
      <c r="Z57" s="6">
        <f t="shared" si="47"/>
        <v>0.3215412396927963</v>
      </c>
    </row>
    <row r="58" spans="1:26" s="28" customFormat="1" outlineLevel="1" collapsed="1" x14ac:dyDescent="0.25">
      <c r="A58" s="27"/>
      <c r="B58" s="14" t="str">
        <f>CONCATENATE("     ","Travel                                            ")</f>
        <v xml:space="preserve">     Travel                                            </v>
      </c>
      <c r="C58" s="14"/>
      <c r="D58" s="1">
        <f>SUM(OSRRefD22_13x_0)</f>
        <v>0</v>
      </c>
      <c r="E58" s="1"/>
      <c r="F58" s="5">
        <f t="shared" si="40"/>
        <v>0</v>
      </c>
      <c r="G58" s="1"/>
      <c r="H58" s="1">
        <f>SUM(OSRRefH22_13x_0)</f>
        <v>2486.42</v>
      </c>
      <c r="I58" s="1"/>
      <c r="J58" s="5">
        <f t="shared" si="41"/>
        <v>0</v>
      </c>
      <c r="K58" s="1"/>
      <c r="L58" s="1">
        <f t="shared" si="42"/>
        <v>-2486.42</v>
      </c>
      <c r="M58" s="1"/>
      <c r="N58" s="5">
        <f t="shared" si="43"/>
        <v>-1</v>
      </c>
      <c r="O58" s="14"/>
      <c r="P58" s="1">
        <f>SUM(OSRRefP22_13x_0)</f>
        <v>0</v>
      </c>
      <c r="Q58" s="1"/>
      <c r="R58" s="5">
        <f t="shared" si="44"/>
        <v>0</v>
      </c>
      <c r="S58" s="1"/>
      <c r="T58" s="1">
        <f>SUM(OSRRefT22_13x_0)</f>
        <v>2807.26</v>
      </c>
      <c r="U58" s="1"/>
      <c r="V58" s="5">
        <f t="shared" si="45"/>
        <v>0</v>
      </c>
      <c r="W58" s="1"/>
      <c r="X58" s="1">
        <f t="shared" si="46"/>
        <v>-2807.26</v>
      </c>
      <c r="Y58" s="1"/>
      <c r="Z58" s="5">
        <f t="shared" si="47"/>
        <v>-1</v>
      </c>
    </row>
    <row r="59" spans="1:26" s="24" customFormat="1" hidden="1" outlineLevel="2" x14ac:dyDescent="0.25">
      <c r="A59" s="29"/>
      <c r="B59" s="11" t="str">
        <f>CONCATENATE("          ", "6292", " - ", "TRAVEL/CONFERENCE")</f>
        <v xml:space="preserve">          6292 - TRAVEL/CONFERENCE</v>
      </c>
      <c r="C59" s="11"/>
      <c r="D59" s="7"/>
      <c r="E59" s="2"/>
      <c r="F59" s="6">
        <f t="shared" si="40"/>
        <v>0</v>
      </c>
      <c r="G59" s="2"/>
      <c r="H59" s="7">
        <v>2486.42</v>
      </c>
      <c r="I59" s="2"/>
      <c r="J59" s="6">
        <f t="shared" si="41"/>
        <v>0</v>
      </c>
      <c r="K59" s="2"/>
      <c r="L59" s="7">
        <f t="shared" si="42"/>
        <v>-2486.42</v>
      </c>
      <c r="M59" s="2"/>
      <c r="N59" s="6">
        <f t="shared" si="43"/>
        <v>-1</v>
      </c>
      <c r="O59" s="11"/>
      <c r="P59" s="7"/>
      <c r="Q59" s="2"/>
      <c r="R59" s="6">
        <f t="shared" si="44"/>
        <v>0</v>
      </c>
      <c r="S59" s="2"/>
      <c r="T59" s="7">
        <v>2807.26</v>
      </c>
      <c r="U59" s="2"/>
      <c r="V59" s="6">
        <f t="shared" si="45"/>
        <v>0</v>
      </c>
      <c r="W59" s="2"/>
      <c r="X59" s="7">
        <f t="shared" si="46"/>
        <v>-2807.26</v>
      </c>
      <c r="Y59" s="2"/>
      <c r="Z59" s="6">
        <f t="shared" si="47"/>
        <v>-1</v>
      </c>
    </row>
    <row r="60" spans="1:26" s="52" customFormat="1" x14ac:dyDescent="0.25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25">
      <c r="A61" s="10"/>
      <c r="B61" s="25" t="s">
        <v>0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6" t="s">
        <v>3</v>
      </c>
      <c r="C63" s="26"/>
      <c r="D63" s="22">
        <f>+D16-D18+D61</f>
        <v>-31265.519999999997</v>
      </c>
      <c r="E63" s="13"/>
      <c r="F63" s="21">
        <f>IF(D$12=0,0,D63/D$12)</f>
        <v>0</v>
      </c>
      <c r="G63" s="13"/>
      <c r="H63" s="22">
        <f>+H16-H18+H61</f>
        <v>-167481.93000000002</v>
      </c>
      <c r="I63" s="13"/>
      <c r="J63" s="21">
        <f>IF(H$12=0,0,H63/H$12)</f>
        <v>0</v>
      </c>
      <c r="K63" s="16"/>
      <c r="L63" s="22">
        <f>+D63-H63</f>
        <v>136216.41000000003</v>
      </c>
      <c r="M63" s="16"/>
      <c r="N63" s="21">
        <f>IF(H63=0,0,L63/H63)</f>
        <v>-0.81332003995893776</v>
      </c>
      <c r="O63" s="25"/>
      <c r="P63" s="22">
        <f>+P16-P18+P61</f>
        <v>-66926.27</v>
      </c>
      <c r="Q63" s="13"/>
      <c r="R63" s="21">
        <f>IF(P$12=0,0,P63/P$12)</f>
        <v>0</v>
      </c>
      <c r="S63" s="13"/>
      <c r="T63" s="22">
        <f>+T16-T18+T61</f>
        <v>-244873.1</v>
      </c>
      <c r="U63" s="13"/>
      <c r="V63" s="21">
        <f>IF(T$12=0,0,T63/T$12)</f>
        <v>0</v>
      </c>
      <c r="W63" s="16"/>
      <c r="X63" s="22">
        <f>+P63-T63</f>
        <v>177946.83000000002</v>
      </c>
      <c r="Y63" s="16"/>
      <c r="Z63" s="21">
        <f>IF(T63=0,0,X63/T63)</f>
        <v>-0.72668998758949033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4</v>
      </c>
      <c r="C67" s="26"/>
      <c r="D67" s="36">
        <f>+D63-D65</f>
        <v>-31265.519999999997</v>
      </c>
      <c r="E67" s="13"/>
      <c r="F67" s="34">
        <f>IF(D$12=0,0,D67/D$12)</f>
        <v>0</v>
      </c>
      <c r="G67" s="13"/>
      <c r="H67" s="36">
        <f>+H63-H65</f>
        <v>-167481.93000000002</v>
      </c>
      <c r="I67" s="13"/>
      <c r="J67" s="34">
        <f>IF(H$12=0,0,H67/H$12)</f>
        <v>0</v>
      </c>
      <c r="K67" s="16"/>
      <c r="L67" s="36">
        <f>D67-H67</f>
        <v>136216.41000000003</v>
      </c>
      <c r="M67" s="16"/>
      <c r="N67" s="34">
        <f>IF(H67=0,0,L67/H67)</f>
        <v>-0.81332003995893776</v>
      </c>
      <c r="O67" s="25"/>
      <c r="P67" s="36">
        <f>+P63-P65</f>
        <v>-66926.27</v>
      </c>
      <c r="Q67" s="13"/>
      <c r="R67" s="34">
        <f>IF(P$12=0,0,P67/P$12)</f>
        <v>0</v>
      </c>
      <c r="S67" s="13"/>
      <c r="T67" s="36">
        <f>+T63-T65</f>
        <v>-244873.1</v>
      </c>
      <c r="U67" s="13"/>
      <c r="V67" s="34">
        <f>IF(T$12=0,0,T67/T$12)</f>
        <v>0</v>
      </c>
      <c r="W67" s="16"/>
      <c r="X67" s="36">
        <f>P67-T67</f>
        <v>177946.83000000002</v>
      </c>
      <c r="Y67" s="16"/>
      <c r="Z67" s="34">
        <f>IF(T67=0,0,X67/T67)</f>
        <v>-0.72668998758949033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5</v>
      </c>
      <c r="C70" s="26"/>
      <c r="D70" s="30">
        <f>SUM(D67:D69)</f>
        <v>-31265.519999999997</v>
      </c>
      <c r="E70" s="13"/>
      <c r="F70" s="31">
        <f>IF(D$12=0,0,D70/D$12)</f>
        <v>0</v>
      </c>
      <c r="G70" s="13"/>
      <c r="H70" s="30">
        <f>SUM(H67:H69)</f>
        <v>-167481.93000000002</v>
      </c>
      <c r="I70" s="13"/>
      <c r="J70" s="31">
        <f>IF(H$12=0,0,H70/H$12)</f>
        <v>0</v>
      </c>
      <c r="K70" s="16"/>
      <c r="L70" s="30">
        <f>+D70-H70</f>
        <v>136216.41000000003</v>
      </c>
      <c r="M70" s="16"/>
      <c r="N70" s="31">
        <f>IF(H70=0,0,L70/H70)</f>
        <v>-0.81332003995893776</v>
      </c>
      <c r="O70" s="25"/>
      <c r="P70" s="30">
        <f>SUM(P67:P69)</f>
        <v>-66926.27</v>
      </c>
      <c r="Q70" s="13"/>
      <c r="R70" s="31">
        <f>IF(P$12=0,0,P70/P$12)</f>
        <v>0</v>
      </c>
      <c r="S70" s="13"/>
      <c r="T70" s="30">
        <f>SUM(T67:T69)</f>
        <v>-244873.1</v>
      </c>
      <c r="U70" s="13"/>
      <c r="V70" s="31">
        <f>IF(T$12=0,0,T70/T$12)</f>
        <v>0</v>
      </c>
      <c r="W70" s="16"/>
      <c r="X70" s="30">
        <f>+P70-T70</f>
        <v>177946.83000000002</v>
      </c>
      <c r="Y70" s="16"/>
      <c r="Z70" s="31">
        <f>IF(T70=0,0,X70/T70)</f>
        <v>-0.72668998758949033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1">
        <v>44113.69597789352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6" t="s">
        <v>313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8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","202", " - ", "Accounting")</f>
        <v>Department 202 - Accounting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34593.850000000006</v>
      </c>
      <c r="E18" s="20"/>
      <c r="F18" s="35">
        <f t="shared" ref="F18:F27" si="0">IF(D$12=0,0,D18/D$12)</f>
        <v>0</v>
      </c>
      <c r="G18" s="20"/>
      <c r="H18" s="20">
        <f>SUM(OSRRefH22x_0)</f>
        <v>46130.020000000004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-11536.169999999998</v>
      </c>
      <c r="M18" s="4"/>
      <c r="N18" s="35">
        <f t="shared" ref="N18:N27" si="3">IF(H18=0,0,L18/H18)</f>
        <v>-0.25007944934773491</v>
      </c>
      <c r="O18" s="10"/>
      <c r="P18" s="20">
        <f>SUM(OSRRefP22x_0)</f>
        <v>73991.889999999985</v>
      </c>
      <c r="Q18" s="20"/>
      <c r="R18" s="35">
        <f t="shared" ref="R18:R27" si="4">IF(P$12=0,0,P18/P$12)</f>
        <v>0</v>
      </c>
      <c r="S18" s="20"/>
      <c r="T18" s="20">
        <f>SUM(OSRRefT22x_0)</f>
        <v>101417.27999999998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-27425.39</v>
      </c>
      <c r="Y18" s="4"/>
      <c r="Z18" s="35">
        <f t="shared" ref="Z18:Z27" si="7">IF(T18=0,0,X18/T18)</f>
        <v>-0.27042127337668692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12164.130000000001</v>
      </c>
      <c r="E19" s="1"/>
      <c r="F19" s="5">
        <f t="shared" si="0"/>
        <v>0</v>
      </c>
      <c r="G19" s="1"/>
      <c r="H19" s="1">
        <f>SUM(OSRRefH22_0x_0)</f>
        <v>14017.560000000001</v>
      </c>
      <c r="I19" s="1"/>
      <c r="J19" s="5">
        <f t="shared" si="1"/>
        <v>0</v>
      </c>
      <c r="K19" s="1"/>
      <c r="L19" s="1">
        <f t="shared" si="2"/>
        <v>-1853.4300000000003</v>
      </c>
      <c r="M19" s="1"/>
      <c r="N19" s="5">
        <f t="shared" si="3"/>
        <v>-0.1322220129608862</v>
      </c>
      <c r="O19" s="14"/>
      <c r="P19" s="1">
        <f>SUM(OSRRefP22_0x_0)</f>
        <v>25247.59</v>
      </c>
      <c r="Q19" s="1"/>
      <c r="R19" s="5">
        <f t="shared" si="4"/>
        <v>0</v>
      </c>
      <c r="S19" s="1"/>
      <c r="T19" s="1">
        <f>SUM(OSRRefT22_0x_0)</f>
        <v>31848.1</v>
      </c>
      <c r="U19" s="1"/>
      <c r="V19" s="5">
        <f t="shared" si="5"/>
        <v>0</v>
      </c>
      <c r="W19" s="1"/>
      <c r="X19" s="1">
        <f t="shared" si="6"/>
        <v>-6600.5099999999984</v>
      </c>
      <c r="Y19" s="1"/>
      <c r="Z19" s="5">
        <f t="shared" si="7"/>
        <v>-0.20724972604331179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1625.77</v>
      </c>
      <c r="E20" s="2"/>
      <c r="F20" s="6">
        <f t="shared" si="0"/>
        <v>0</v>
      </c>
      <c r="G20" s="2"/>
      <c r="H20" s="7">
        <v>1932.22</v>
      </c>
      <c r="I20" s="2"/>
      <c r="J20" s="6">
        <f t="shared" si="1"/>
        <v>0</v>
      </c>
      <c r="K20" s="2"/>
      <c r="L20" s="7">
        <f t="shared" si="2"/>
        <v>-306.45000000000005</v>
      </c>
      <c r="M20" s="2"/>
      <c r="N20" s="6">
        <f t="shared" si="3"/>
        <v>-0.15859995238637425</v>
      </c>
      <c r="O20" s="11"/>
      <c r="P20" s="7">
        <v>3247.12</v>
      </c>
      <c r="Q20" s="2"/>
      <c r="R20" s="6">
        <f t="shared" si="4"/>
        <v>0</v>
      </c>
      <c r="S20" s="2"/>
      <c r="T20" s="7">
        <v>4093.89</v>
      </c>
      <c r="U20" s="2"/>
      <c r="V20" s="6">
        <f t="shared" si="5"/>
        <v>0</v>
      </c>
      <c r="W20" s="2"/>
      <c r="X20" s="7">
        <f t="shared" si="6"/>
        <v>-846.77</v>
      </c>
      <c r="Y20" s="2"/>
      <c r="Z20" s="6">
        <f t="shared" si="7"/>
        <v>-0.20683750662572761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69.989999999999995</v>
      </c>
      <c r="E21" s="2"/>
      <c r="F21" s="6">
        <f t="shared" si="0"/>
        <v>0</v>
      </c>
      <c r="G21" s="2"/>
      <c r="H21" s="7">
        <v>101.94</v>
      </c>
      <c r="I21" s="2"/>
      <c r="J21" s="6">
        <f t="shared" si="1"/>
        <v>0</v>
      </c>
      <c r="K21" s="2"/>
      <c r="L21" s="7">
        <f t="shared" si="2"/>
        <v>-31.950000000000003</v>
      </c>
      <c r="M21" s="2"/>
      <c r="N21" s="6">
        <f t="shared" si="3"/>
        <v>-0.31341965862271925</v>
      </c>
      <c r="O21" s="11"/>
      <c r="P21" s="7">
        <v>140.02000000000001</v>
      </c>
      <c r="Q21" s="2"/>
      <c r="R21" s="6">
        <f t="shared" si="4"/>
        <v>0</v>
      </c>
      <c r="S21" s="2"/>
      <c r="T21" s="7">
        <v>198.53</v>
      </c>
      <c r="U21" s="2"/>
      <c r="V21" s="6">
        <f t="shared" si="5"/>
        <v>0</v>
      </c>
      <c r="W21" s="2"/>
      <c r="X21" s="7">
        <f t="shared" si="6"/>
        <v>-58.509999999999991</v>
      </c>
      <c r="Y21" s="2"/>
      <c r="Z21" s="6">
        <f t="shared" si="7"/>
        <v>-0.29471616380395904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5567.04</v>
      </c>
      <c r="E22" s="2"/>
      <c r="F22" s="6">
        <f t="shared" si="0"/>
        <v>0</v>
      </c>
      <c r="G22" s="2"/>
      <c r="H22" s="7">
        <v>5942.02</v>
      </c>
      <c r="I22" s="2"/>
      <c r="J22" s="6">
        <f t="shared" si="1"/>
        <v>0</v>
      </c>
      <c r="K22" s="2"/>
      <c r="L22" s="7">
        <f t="shared" si="2"/>
        <v>-374.98000000000047</v>
      </c>
      <c r="M22" s="2"/>
      <c r="N22" s="6">
        <f t="shared" si="3"/>
        <v>-6.3106485673222315E-2</v>
      </c>
      <c r="O22" s="11"/>
      <c r="P22" s="7">
        <v>11134.08</v>
      </c>
      <c r="Q22" s="2"/>
      <c r="R22" s="6">
        <f t="shared" si="4"/>
        <v>0</v>
      </c>
      <c r="S22" s="2"/>
      <c r="T22" s="7">
        <v>11884.04</v>
      </c>
      <c r="U22" s="2"/>
      <c r="V22" s="6">
        <f t="shared" si="5"/>
        <v>0</v>
      </c>
      <c r="W22" s="2"/>
      <c r="X22" s="7">
        <f t="shared" si="6"/>
        <v>-749.96000000000095</v>
      </c>
      <c r="Y22" s="2"/>
      <c r="Z22" s="6">
        <f t="shared" si="7"/>
        <v>-6.3106485673222315E-2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55.14</v>
      </c>
      <c r="E23" s="2"/>
      <c r="F23" s="6">
        <f t="shared" si="0"/>
        <v>0</v>
      </c>
      <c r="G23" s="2"/>
      <c r="H23" s="7">
        <v>77.95</v>
      </c>
      <c r="I23" s="2"/>
      <c r="J23" s="6">
        <f t="shared" si="1"/>
        <v>0</v>
      </c>
      <c r="K23" s="2"/>
      <c r="L23" s="7">
        <f t="shared" si="2"/>
        <v>-22.810000000000002</v>
      </c>
      <c r="M23" s="2"/>
      <c r="N23" s="6">
        <f t="shared" si="3"/>
        <v>-0.29262347658755616</v>
      </c>
      <c r="O23" s="11"/>
      <c r="P23" s="7">
        <v>110.31</v>
      </c>
      <c r="Q23" s="2"/>
      <c r="R23" s="6">
        <f t="shared" si="4"/>
        <v>0</v>
      </c>
      <c r="S23" s="2"/>
      <c r="T23" s="7">
        <v>151.81</v>
      </c>
      <c r="U23" s="2"/>
      <c r="V23" s="6">
        <f t="shared" si="5"/>
        <v>0</v>
      </c>
      <c r="W23" s="2"/>
      <c r="X23" s="7">
        <f t="shared" si="6"/>
        <v>-41.5</v>
      </c>
      <c r="Y23" s="2"/>
      <c r="Z23" s="6">
        <f t="shared" si="7"/>
        <v>-0.27336802582175085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1978.76</v>
      </c>
      <c r="E24" s="2"/>
      <c r="F24" s="6">
        <f t="shared" si="0"/>
        <v>0</v>
      </c>
      <c r="G24" s="2"/>
      <c r="H24" s="7">
        <v>2196.79</v>
      </c>
      <c r="I24" s="2"/>
      <c r="J24" s="6">
        <f t="shared" si="1"/>
        <v>0</v>
      </c>
      <c r="K24" s="2"/>
      <c r="L24" s="7">
        <f t="shared" si="2"/>
        <v>-218.02999999999997</v>
      </c>
      <c r="M24" s="2"/>
      <c r="N24" s="6">
        <f t="shared" si="3"/>
        <v>-9.924935929242211E-2</v>
      </c>
      <c r="O24" s="11"/>
      <c r="P24" s="7">
        <v>4946.91</v>
      </c>
      <c r="Q24" s="2"/>
      <c r="R24" s="6">
        <f t="shared" si="4"/>
        <v>0</v>
      </c>
      <c r="S24" s="2"/>
      <c r="T24" s="7">
        <v>4393.58</v>
      </c>
      <c r="U24" s="2"/>
      <c r="V24" s="6">
        <f t="shared" si="5"/>
        <v>0</v>
      </c>
      <c r="W24" s="2"/>
      <c r="X24" s="7">
        <f t="shared" si="6"/>
        <v>553.32999999999993</v>
      </c>
      <c r="Y24" s="2"/>
      <c r="Z24" s="6">
        <f t="shared" si="7"/>
        <v>0.12594057693270636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1559.44</v>
      </c>
      <c r="E25" s="2"/>
      <c r="F25" s="6">
        <f t="shared" si="0"/>
        <v>0</v>
      </c>
      <c r="G25" s="2"/>
      <c r="H25" s="7">
        <v>1866.76</v>
      </c>
      <c r="I25" s="2"/>
      <c r="J25" s="6">
        <f t="shared" si="1"/>
        <v>0</v>
      </c>
      <c r="K25" s="2"/>
      <c r="L25" s="7">
        <f t="shared" si="2"/>
        <v>-307.31999999999994</v>
      </c>
      <c r="M25" s="2"/>
      <c r="N25" s="6">
        <f t="shared" si="3"/>
        <v>-0.16462748291156867</v>
      </c>
      <c r="O25" s="11"/>
      <c r="P25" s="7">
        <v>3118.88</v>
      </c>
      <c r="Q25" s="2"/>
      <c r="R25" s="6">
        <f t="shared" si="4"/>
        <v>0</v>
      </c>
      <c r="S25" s="2"/>
      <c r="T25" s="7">
        <v>4607.9399999999996</v>
      </c>
      <c r="U25" s="2"/>
      <c r="V25" s="6">
        <f t="shared" si="5"/>
        <v>0</v>
      </c>
      <c r="W25" s="2"/>
      <c r="X25" s="7">
        <f t="shared" si="6"/>
        <v>-1489.0599999999995</v>
      </c>
      <c r="Y25" s="2"/>
      <c r="Z25" s="6">
        <f t="shared" si="7"/>
        <v>-0.32315090908301747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979.42</v>
      </c>
      <c r="E26" s="2"/>
      <c r="F26" s="6">
        <f t="shared" si="0"/>
        <v>0</v>
      </c>
      <c r="G26" s="2"/>
      <c r="H26" s="7">
        <v>1152.2</v>
      </c>
      <c r="I26" s="2"/>
      <c r="J26" s="6">
        <f t="shared" si="1"/>
        <v>0</v>
      </c>
      <c r="K26" s="2"/>
      <c r="L26" s="7">
        <f t="shared" si="2"/>
        <v>-172.78000000000009</v>
      </c>
      <c r="M26" s="2"/>
      <c r="N26" s="6">
        <f t="shared" si="3"/>
        <v>-0.1499566047561188</v>
      </c>
      <c r="O26" s="11"/>
      <c r="P26" s="7">
        <v>1958.84</v>
      </c>
      <c r="Q26" s="2"/>
      <c r="R26" s="6">
        <f t="shared" si="4"/>
        <v>0</v>
      </c>
      <c r="S26" s="2"/>
      <c r="T26" s="7">
        <v>5087.1099999999997</v>
      </c>
      <c r="U26" s="2"/>
      <c r="V26" s="6">
        <f t="shared" si="5"/>
        <v>0</v>
      </c>
      <c r="W26" s="2"/>
      <c r="X26" s="7">
        <f t="shared" si="6"/>
        <v>-3128.2699999999995</v>
      </c>
      <c r="Y26" s="2"/>
      <c r="Z26" s="6">
        <f t="shared" si="7"/>
        <v>-0.61494050649582965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328.57</v>
      </c>
      <c r="E27" s="2"/>
      <c r="F27" s="6">
        <f t="shared" si="0"/>
        <v>0</v>
      </c>
      <c r="G27" s="2"/>
      <c r="H27" s="7">
        <v>747.68</v>
      </c>
      <c r="I27" s="2"/>
      <c r="J27" s="6">
        <f t="shared" si="1"/>
        <v>0</v>
      </c>
      <c r="K27" s="2"/>
      <c r="L27" s="7">
        <f t="shared" si="2"/>
        <v>-419.10999999999996</v>
      </c>
      <c r="M27" s="2"/>
      <c r="N27" s="6">
        <f t="shared" si="3"/>
        <v>-0.56054729295955485</v>
      </c>
      <c r="O27" s="11"/>
      <c r="P27" s="7">
        <v>591.42999999999995</v>
      </c>
      <c r="Q27" s="2"/>
      <c r="R27" s="6">
        <f t="shared" si="4"/>
        <v>0</v>
      </c>
      <c r="S27" s="2"/>
      <c r="T27" s="7">
        <v>1431.2</v>
      </c>
      <c r="U27" s="2"/>
      <c r="V27" s="6">
        <f t="shared" si="5"/>
        <v>0</v>
      </c>
      <c r="W27" s="2"/>
      <c r="X27" s="7">
        <f t="shared" si="6"/>
        <v>-839.7700000000001</v>
      </c>
      <c r="Y27" s="2"/>
      <c r="Z27" s="6">
        <f t="shared" si="7"/>
        <v>-0.58675936277249863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19719.280000000002</v>
      </c>
      <c r="E28" s="1"/>
      <c r="F28" s="5">
        <f t="shared" ref="F28:F32" si="8">IF(D$12=0,0,D28/D$12)</f>
        <v>0</v>
      </c>
      <c r="G28" s="1"/>
      <c r="H28" s="1">
        <f>SUM(OSRRefH22_1x_0)</f>
        <v>27215.329999999998</v>
      </c>
      <c r="I28" s="1"/>
      <c r="J28" s="5">
        <f t="shared" ref="J28:J32" si="9">IF(H$12=0,0,H28/H$12)</f>
        <v>0</v>
      </c>
      <c r="K28" s="1"/>
      <c r="L28" s="1">
        <f t="shared" ref="L28:L32" si="10">+D28-H28</f>
        <v>-7496.0499999999956</v>
      </c>
      <c r="M28" s="1"/>
      <c r="N28" s="5">
        <f t="shared" ref="N28:N32" si="11">IF(H28=0,0,L28/H28)</f>
        <v>-0.27543483764481252</v>
      </c>
      <c r="O28" s="14"/>
      <c r="P28" s="1">
        <f>SUM(OSRRefP22_1x_0)</f>
        <v>42695.74</v>
      </c>
      <c r="Q28" s="1"/>
      <c r="R28" s="5">
        <f t="shared" ref="R28:R32" si="12">IF(P$12=0,0,P28/P$12)</f>
        <v>0</v>
      </c>
      <c r="S28" s="1"/>
      <c r="T28" s="1">
        <f>SUM(OSRRefT22_1x_0)</f>
        <v>60975.83</v>
      </c>
      <c r="U28" s="1"/>
      <c r="V28" s="5">
        <f t="shared" ref="V28:V32" si="13">IF(T$12=0,0,T28/T$12)</f>
        <v>0</v>
      </c>
      <c r="W28" s="1"/>
      <c r="X28" s="1">
        <f t="shared" ref="X28:X32" si="14">+P28-T28</f>
        <v>-18280.090000000004</v>
      </c>
      <c r="Y28" s="1"/>
      <c r="Z28" s="5">
        <f t="shared" ref="Z28:Z32" si="15">IF(T28=0,0,X28/T28)</f>
        <v>-0.29979239314987599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7">
        <v>19633.390000000003</v>
      </c>
      <c r="E29" s="2"/>
      <c r="F29" s="6">
        <f t="shared" si="8"/>
        <v>0</v>
      </c>
      <c r="G29" s="2"/>
      <c r="H29" s="7">
        <v>21687.21</v>
      </c>
      <c r="I29" s="2"/>
      <c r="J29" s="6">
        <f t="shared" si="9"/>
        <v>0</v>
      </c>
      <c r="K29" s="2"/>
      <c r="L29" s="7">
        <f t="shared" si="10"/>
        <v>-2053.8199999999961</v>
      </c>
      <c r="M29" s="2"/>
      <c r="N29" s="6">
        <f t="shared" si="11"/>
        <v>-9.4701900336649852E-2</v>
      </c>
      <c r="O29" s="11"/>
      <c r="P29" s="7">
        <v>42609.85</v>
      </c>
      <c r="Q29" s="2"/>
      <c r="R29" s="6">
        <f t="shared" si="12"/>
        <v>0</v>
      </c>
      <c r="S29" s="2"/>
      <c r="T29" s="7">
        <v>50862.74</v>
      </c>
      <c r="U29" s="2"/>
      <c r="V29" s="6">
        <f t="shared" si="13"/>
        <v>0</v>
      </c>
      <c r="W29" s="2"/>
      <c r="X29" s="7">
        <f t="shared" si="14"/>
        <v>-8252.89</v>
      </c>
      <c r="Y29" s="2"/>
      <c r="Z29" s="6">
        <f t="shared" si="15"/>
        <v>-0.16225806946302931</v>
      </c>
    </row>
    <row r="30" spans="1:26" s="24" customFormat="1" hidden="1" outlineLevel="2" x14ac:dyDescent="0.25">
      <c r="A30" s="29"/>
      <c r="B30" s="11" t="str">
        <f>CONCATENATE("          ", "6005", " - ", "TEMPORARY WAGES-HOURLY")</f>
        <v xml:space="preserve">          6005 - TEMPORARY WAGES-HOURLY</v>
      </c>
      <c r="C30" s="11"/>
      <c r="D30" s="7"/>
      <c r="E30" s="2"/>
      <c r="F30" s="6">
        <f t="shared" si="8"/>
        <v>0</v>
      </c>
      <c r="G30" s="2"/>
      <c r="H30" s="7">
        <v>2440.3000000000002</v>
      </c>
      <c r="I30" s="2"/>
      <c r="J30" s="6">
        <f t="shared" si="9"/>
        <v>0</v>
      </c>
      <c r="K30" s="2"/>
      <c r="L30" s="7">
        <f t="shared" si="10"/>
        <v>-2440.3000000000002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4185.6499999999996</v>
      </c>
      <c r="U30" s="2"/>
      <c r="V30" s="6">
        <f t="shared" si="13"/>
        <v>0</v>
      </c>
      <c r="W30" s="2"/>
      <c r="X30" s="7">
        <f t="shared" si="14"/>
        <v>-4185.6499999999996</v>
      </c>
      <c r="Y30" s="2"/>
      <c r="Z30" s="6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"6007", " - ", "STUDENT HOURLY")</f>
        <v xml:space="preserve">          6007 - STUDENT HOURLY</v>
      </c>
      <c r="C31" s="11"/>
      <c r="D31" s="7">
        <v>85.89</v>
      </c>
      <c r="E31" s="2"/>
      <c r="F31" s="6">
        <f t="shared" si="8"/>
        <v>0</v>
      </c>
      <c r="G31" s="2"/>
      <c r="H31" s="7">
        <v>2583.8200000000002</v>
      </c>
      <c r="I31" s="2"/>
      <c r="J31" s="6">
        <f t="shared" si="9"/>
        <v>0</v>
      </c>
      <c r="K31" s="2"/>
      <c r="L31" s="7">
        <f t="shared" si="10"/>
        <v>-2497.9300000000003</v>
      </c>
      <c r="M31" s="2"/>
      <c r="N31" s="6">
        <f t="shared" si="11"/>
        <v>-0.96675852033036358</v>
      </c>
      <c r="O31" s="11"/>
      <c r="P31" s="7">
        <v>85.89</v>
      </c>
      <c r="Q31" s="2"/>
      <c r="R31" s="6">
        <f t="shared" si="12"/>
        <v>0</v>
      </c>
      <c r="S31" s="2"/>
      <c r="T31" s="7">
        <v>5273.44</v>
      </c>
      <c r="U31" s="2"/>
      <c r="V31" s="6">
        <f t="shared" si="13"/>
        <v>0</v>
      </c>
      <c r="W31" s="2"/>
      <c r="X31" s="7">
        <f t="shared" si="14"/>
        <v>-5187.5499999999993</v>
      </c>
      <c r="Y31" s="2"/>
      <c r="Z31" s="6">
        <f t="shared" si="15"/>
        <v>-0.98371271883248879</v>
      </c>
    </row>
    <row r="32" spans="1:26" s="24" customFormat="1" hidden="1" outlineLevel="2" x14ac:dyDescent="0.25">
      <c r="A32" s="29"/>
      <c r="B32" s="11" t="str">
        <f>CONCATENATE("          ", "6008", " - ", "STUDENT HOURLY-FICA EXEMPT")</f>
        <v xml:space="preserve">          6008 - STUDENT HOURLY-FICA EXEMPT</v>
      </c>
      <c r="C32" s="11"/>
      <c r="D32" s="7"/>
      <c r="E32" s="2"/>
      <c r="F32" s="6">
        <f t="shared" si="8"/>
        <v>0</v>
      </c>
      <c r="G32" s="2"/>
      <c r="H32" s="7">
        <v>504</v>
      </c>
      <c r="I32" s="2"/>
      <c r="J32" s="6">
        <f t="shared" si="9"/>
        <v>0</v>
      </c>
      <c r="K32" s="2"/>
      <c r="L32" s="7">
        <f t="shared" si="10"/>
        <v>-504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654</v>
      </c>
      <c r="U32" s="2"/>
      <c r="V32" s="6">
        <f t="shared" si="13"/>
        <v>0</v>
      </c>
      <c r="W32" s="2"/>
      <c r="X32" s="7">
        <f t="shared" si="14"/>
        <v>-654</v>
      </c>
      <c r="Y32" s="2"/>
      <c r="Z32" s="6">
        <f t="shared" si="15"/>
        <v>-1</v>
      </c>
    </row>
    <row r="33" spans="1:26" s="28" customFormat="1" outlineLevel="1" collapsed="1" x14ac:dyDescent="0.25">
      <c r="A33" s="27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1558.88</v>
      </c>
      <c r="E33" s="1"/>
      <c r="F33" s="5">
        <f t="shared" ref="F33:F39" si="16">IF(D$12=0,0,D33/D$12)</f>
        <v>0</v>
      </c>
      <c r="G33" s="1"/>
      <c r="H33" s="1">
        <f>SUM(OSRRefH22_2x_0)</f>
        <v>1558.88</v>
      </c>
      <c r="I33" s="1"/>
      <c r="J33" s="5">
        <f t="shared" ref="J33:J39" si="17">IF(H$12=0,0,H33/H$12)</f>
        <v>0</v>
      </c>
      <c r="K33" s="1"/>
      <c r="L33" s="1">
        <f t="shared" ref="L33:L39" si="18">+D33-H33</f>
        <v>0</v>
      </c>
      <c r="M33" s="1"/>
      <c r="N33" s="5">
        <f t="shared" ref="N33:N39" si="19">IF(H33=0,0,L33/H33)</f>
        <v>0</v>
      </c>
      <c r="O33" s="14"/>
      <c r="P33" s="1">
        <f>SUM(OSRRefP22_2x_0)</f>
        <v>3117.76</v>
      </c>
      <c r="Q33" s="1"/>
      <c r="R33" s="5">
        <f t="shared" ref="R33:R39" si="20">IF(P$12=0,0,P33/P$12)</f>
        <v>0</v>
      </c>
      <c r="S33" s="1"/>
      <c r="T33" s="1">
        <f>SUM(OSRRefT22_2x_0)</f>
        <v>3117.76</v>
      </c>
      <c r="U33" s="1"/>
      <c r="V33" s="5">
        <f t="shared" ref="V33:V39" si="21">IF(T$12=0,0,T33/T$12)</f>
        <v>0</v>
      </c>
      <c r="W33" s="1"/>
      <c r="X33" s="1">
        <f t="shared" ref="X33:X39" si="22">+P33-T33</f>
        <v>0</v>
      </c>
      <c r="Y33" s="1"/>
      <c r="Z33" s="5">
        <f t="shared" ref="Z33:Z39" si="23">IF(T33=0,0,X33/T33)</f>
        <v>0</v>
      </c>
    </row>
    <row r="34" spans="1:26" s="24" customFormat="1" hidden="1" outlineLevel="2" x14ac:dyDescent="0.25">
      <c r="A34" s="29"/>
      <c r="B34" s="11" t="str">
        <f>CONCATENATE("          ", "6322", " - ", "EQUIPMENT DEPRECIATION EXPENSE")</f>
        <v xml:space="preserve">          6322 - EQUIPMENT DEPRECIATION EXPENSE</v>
      </c>
      <c r="C34" s="11"/>
      <c r="D34" s="7">
        <v>1558.88</v>
      </c>
      <c r="E34" s="2"/>
      <c r="F34" s="6">
        <f t="shared" si="16"/>
        <v>0</v>
      </c>
      <c r="G34" s="2"/>
      <c r="H34" s="7">
        <v>1558.88</v>
      </c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>
        <v>3117.76</v>
      </c>
      <c r="Q34" s="2"/>
      <c r="R34" s="6">
        <f t="shared" si="20"/>
        <v>0</v>
      </c>
      <c r="S34" s="2"/>
      <c r="T34" s="7">
        <v>3117.76</v>
      </c>
      <c r="U34" s="2"/>
      <c r="V34" s="6">
        <f t="shared" si="21"/>
        <v>0</v>
      </c>
      <c r="W34" s="2"/>
      <c r="X34" s="7">
        <f t="shared" si="22"/>
        <v>0</v>
      </c>
      <c r="Y34" s="2"/>
      <c r="Z34" s="6">
        <f t="shared" si="23"/>
        <v>0</v>
      </c>
    </row>
    <row r="35" spans="1:26" s="28" customFormat="1" outlineLevel="1" collapsed="1" x14ac:dyDescent="0.25">
      <c r="A35" s="27"/>
      <c r="B35" s="14" t="str">
        <f>CONCATENATE("     ","Equipment Rental                                  ")</f>
        <v xml:space="preserve">     Equipment Rental                                  </v>
      </c>
      <c r="C35" s="14"/>
      <c r="D35" s="1">
        <f>SUM(OSRRefD22_3x_0)</f>
        <v>91.26</v>
      </c>
      <c r="E35" s="1"/>
      <c r="F35" s="5">
        <f t="shared" si="16"/>
        <v>0</v>
      </c>
      <c r="G35" s="1"/>
      <c r="H35" s="1">
        <f>SUM(OSRRefH22_3x_0)</f>
        <v>91.26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SUM(OSRRefP22_3x_0)</f>
        <v>182.52</v>
      </c>
      <c r="Q35" s="1"/>
      <c r="R35" s="5">
        <f t="shared" si="20"/>
        <v>0</v>
      </c>
      <c r="S35" s="1"/>
      <c r="T35" s="1">
        <f>SUM(OSRRefT22_3x_0)</f>
        <v>182.52</v>
      </c>
      <c r="U35" s="1"/>
      <c r="V35" s="5">
        <f t="shared" si="21"/>
        <v>0</v>
      </c>
      <c r="W35" s="1"/>
      <c r="X35" s="1">
        <f t="shared" si="22"/>
        <v>0</v>
      </c>
      <c r="Y35" s="1"/>
      <c r="Z35" s="5">
        <f t="shared" si="23"/>
        <v>0</v>
      </c>
    </row>
    <row r="36" spans="1:26" s="24" customFormat="1" hidden="1" outlineLevel="2" x14ac:dyDescent="0.25">
      <c r="A36" s="29"/>
      <c r="B36" s="11" t="str">
        <f>CONCATENATE("          ", "6351", " - ", "EQUIPMENT RENTAL")</f>
        <v xml:space="preserve">          6351 - EQUIPMENT RENTAL</v>
      </c>
      <c r="C36" s="11"/>
      <c r="D36" s="7">
        <v>91.26</v>
      </c>
      <c r="E36" s="2"/>
      <c r="F36" s="6">
        <f t="shared" si="16"/>
        <v>0</v>
      </c>
      <c r="G36" s="2"/>
      <c r="H36" s="7">
        <v>91.26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182.52</v>
      </c>
      <c r="Q36" s="2"/>
      <c r="R36" s="6">
        <f t="shared" si="20"/>
        <v>0</v>
      </c>
      <c r="S36" s="2"/>
      <c r="T36" s="7">
        <v>182.52</v>
      </c>
      <c r="U36" s="2"/>
      <c r="V36" s="6">
        <f t="shared" si="21"/>
        <v>0</v>
      </c>
      <c r="W36" s="2"/>
      <c r="X36" s="7">
        <f t="shared" si="22"/>
        <v>0</v>
      </c>
      <c r="Y36" s="2"/>
      <c r="Z36" s="6">
        <f t="shared" si="23"/>
        <v>0</v>
      </c>
    </row>
    <row r="37" spans="1:26" s="28" customFormat="1" outlineLevel="1" collapsed="1" x14ac:dyDescent="0.25">
      <c r="A37" s="27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SUM(OSRRefD22_4x_0)</f>
        <v>137.85999999999999</v>
      </c>
      <c r="E37" s="1"/>
      <c r="F37" s="5">
        <f t="shared" si="16"/>
        <v>0</v>
      </c>
      <c r="G37" s="1"/>
      <c r="H37" s="1">
        <f>SUM(OSRRefH22_4x_0)</f>
        <v>121.8</v>
      </c>
      <c r="I37" s="1"/>
      <c r="J37" s="5">
        <f t="shared" si="17"/>
        <v>0</v>
      </c>
      <c r="K37" s="1"/>
      <c r="L37" s="1">
        <f t="shared" si="18"/>
        <v>16.059999999999988</v>
      </c>
      <c r="M37" s="1"/>
      <c r="N37" s="5">
        <f t="shared" si="19"/>
        <v>0.13185550082101796</v>
      </c>
      <c r="O37" s="14"/>
      <c r="P37" s="1">
        <f>SUM(OSRRefP22_4x_0)</f>
        <v>218.35999999999999</v>
      </c>
      <c r="Q37" s="1"/>
      <c r="R37" s="5">
        <f t="shared" si="20"/>
        <v>0</v>
      </c>
      <c r="S37" s="1"/>
      <c r="T37" s="1">
        <f>SUM(OSRRefT22_4x_0)</f>
        <v>192.8</v>
      </c>
      <c r="U37" s="1"/>
      <c r="V37" s="5">
        <f t="shared" si="21"/>
        <v>0</v>
      </c>
      <c r="W37" s="1"/>
      <c r="X37" s="1">
        <f t="shared" si="22"/>
        <v>25.559999999999974</v>
      </c>
      <c r="Y37" s="1"/>
      <c r="Z37" s="5">
        <f t="shared" si="23"/>
        <v>0.13257261410788368</v>
      </c>
    </row>
    <row r="38" spans="1:26" s="24" customFormat="1" hidden="1" outlineLevel="2" x14ac:dyDescent="0.25">
      <c r="A38" s="29"/>
      <c r="B38" s="11" t="str">
        <f>CONCATENATE("          ", "6305", " - ", "FREIGHT OUT")</f>
        <v xml:space="preserve">          6305 - FREIGHT OUT</v>
      </c>
      <c r="C38" s="11"/>
      <c r="D38" s="7">
        <v>5.41</v>
      </c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5.41</v>
      </c>
      <c r="M38" s="2"/>
      <c r="N38" s="6">
        <f t="shared" si="19"/>
        <v>0</v>
      </c>
      <c r="O38" s="11"/>
      <c r="P38" s="7">
        <v>5.41</v>
      </c>
      <c r="Q38" s="2"/>
      <c r="R38" s="6">
        <f t="shared" si="20"/>
        <v>0</v>
      </c>
      <c r="S38" s="2"/>
      <c r="T38" s="7"/>
      <c r="U38" s="2"/>
      <c r="V38" s="6">
        <f t="shared" si="21"/>
        <v>0</v>
      </c>
      <c r="W38" s="2"/>
      <c r="X38" s="7">
        <f t="shared" si="22"/>
        <v>5.41</v>
      </c>
      <c r="Y38" s="2"/>
      <c r="Z38" s="6">
        <f t="shared" si="23"/>
        <v>0</v>
      </c>
    </row>
    <row r="39" spans="1:26" s="24" customFormat="1" hidden="1" outlineLevel="2" x14ac:dyDescent="0.25">
      <c r="A39" s="29"/>
      <c r="B39" s="11" t="str">
        <f>CONCATENATE("          ", "6307", " - ", "POSTAGE")</f>
        <v xml:space="preserve">          6307 - POSTAGE</v>
      </c>
      <c r="C39" s="11"/>
      <c r="D39" s="7">
        <v>132.44999999999999</v>
      </c>
      <c r="E39" s="2"/>
      <c r="F39" s="6">
        <f t="shared" si="16"/>
        <v>0</v>
      </c>
      <c r="G39" s="2"/>
      <c r="H39" s="7">
        <v>121.8</v>
      </c>
      <c r="I39" s="2"/>
      <c r="J39" s="6">
        <f t="shared" si="17"/>
        <v>0</v>
      </c>
      <c r="K39" s="2"/>
      <c r="L39" s="7">
        <f t="shared" si="18"/>
        <v>10.649999999999991</v>
      </c>
      <c r="M39" s="2"/>
      <c r="N39" s="6">
        <f t="shared" si="19"/>
        <v>8.7438423645320132E-2</v>
      </c>
      <c r="O39" s="11"/>
      <c r="P39" s="7">
        <v>212.95</v>
      </c>
      <c r="Q39" s="2"/>
      <c r="R39" s="6">
        <f t="shared" si="20"/>
        <v>0</v>
      </c>
      <c r="S39" s="2"/>
      <c r="T39" s="7">
        <v>192.8</v>
      </c>
      <c r="U39" s="2"/>
      <c r="V39" s="6">
        <f t="shared" si="21"/>
        <v>0</v>
      </c>
      <c r="W39" s="2"/>
      <c r="X39" s="7">
        <f t="shared" si="22"/>
        <v>20.149999999999977</v>
      </c>
      <c r="Y39" s="2"/>
      <c r="Z39" s="6">
        <f t="shared" si="23"/>
        <v>0.10451244813277996</v>
      </c>
    </row>
    <row r="40" spans="1:26" s="28" customFormat="1" outlineLevel="1" collapsed="1" x14ac:dyDescent="0.25">
      <c r="A40" s="27"/>
      <c r="B40" s="14" t="str">
        <f>CONCATENATE("     ","Insurance                                         ")</f>
        <v xml:space="preserve">     Insurance                                         </v>
      </c>
      <c r="C40" s="14"/>
      <c r="D40" s="1">
        <f>SUM(OSRRefD22_5x_0)</f>
        <v>132.16999999999999</v>
      </c>
      <c r="E40" s="1"/>
      <c r="F40" s="5">
        <f t="shared" ref="F40:F46" si="24">IF(D$12=0,0,D40/D$12)</f>
        <v>0</v>
      </c>
      <c r="G40" s="1"/>
      <c r="H40" s="1">
        <f>SUM(OSRRefH22_5x_0)</f>
        <v>132.16999999999999</v>
      </c>
      <c r="I40" s="1"/>
      <c r="J40" s="5">
        <f t="shared" ref="J40:J46" si="25">IF(H$12=0,0,H40/H$12)</f>
        <v>0</v>
      </c>
      <c r="K40" s="1"/>
      <c r="L40" s="1">
        <f t="shared" ref="L40:L46" si="26">+D40-H40</f>
        <v>0</v>
      </c>
      <c r="M40" s="1"/>
      <c r="N40" s="5">
        <f t="shared" ref="N40:N46" si="27">IF(H40=0,0,L40/H40)</f>
        <v>0</v>
      </c>
      <c r="O40" s="14"/>
      <c r="P40" s="1">
        <f>SUM(OSRRefP22_5x_0)</f>
        <v>264.33999999999997</v>
      </c>
      <c r="Q40" s="1"/>
      <c r="R40" s="5">
        <f t="shared" ref="R40:R46" si="28">IF(P$12=0,0,P40/P$12)</f>
        <v>0</v>
      </c>
      <c r="S40" s="1"/>
      <c r="T40" s="1">
        <f>SUM(OSRRefT22_5x_0)</f>
        <v>264.33999999999997</v>
      </c>
      <c r="U40" s="1"/>
      <c r="V40" s="5">
        <f t="shared" ref="V40:V46" si="29">IF(T$12=0,0,T40/T$12)</f>
        <v>0</v>
      </c>
      <c r="W40" s="1"/>
      <c r="X40" s="1">
        <f t="shared" ref="X40:X46" si="30">+P40-T40</f>
        <v>0</v>
      </c>
      <c r="Y40" s="1"/>
      <c r="Z40" s="5">
        <f t="shared" ref="Z40:Z46" si="31">IF(T40=0,0,X40/T40)</f>
        <v>0</v>
      </c>
    </row>
    <row r="41" spans="1:26" s="24" customFormat="1" hidden="1" outlineLevel="2" x14ac:dyDescent="0.25">
      <c r="A41" s="29"/>
      <c r="B41" s="11" t="str">
        <f>CONCATENATE("          ", "6314", " - ", "LIABILITY INSURANCE")</f>
        <v xml:space="preserve">          6314 - LIABILITY INSURANCE</v>
      </c>
      <c r="C41" s="11"/>
      <c r="D41" s="7">
        <v>132.16999999999999</v>
      </c>
      <c r="E41" s="2"/>
      <c r="F41" s="6">
        <f t="shared" si="24"/>
        <v>0</v>
      </c>
      <c r="G41" s="2"/>
      <c r="H41" s="7">
        <v>132.16999999999999</v>
      </c>
      <c r="I41" s="2"/>
      <c r="J41" s="6">
        <f t="shared" si="25"/>
        <v>0</v>
      </c>
      <c r="K41" s="2"/>
      <c r="L41" s="7">
        <f t="shared" si="26"/>
        <v>0</v>
      </c>
      <c r="M41" s="2"/>
      <c r="N41" s="6">
        <f t="shared" si="27"/>
        <v>0</v>
      </c>
      <c r="O41" s="11"/>
      <c r="P41" s="7">
        <v>264.33999999999997</v>
      </c>
      <c r="Q41" s="2"/>
      <c r="R41" s="6">
        <f t="shared" si="28"/>
        <v>0</v>
      </c>
      <c r="S41" s="2"/>
      <c r="T41" s="7">
        <v>264.33999999999997</v>
      </c>
      <c r="U41" s="2"/>
      <c r="V41" s="6">
        <f t="shared" si="29"/>
        <v>0</v>
      </c>
      <c r="W41" s="2"/>
      <c r="X41" s="7">
        <f t="shared" si="30"/>
        <v>0</v>
      </c>
      <c r="Y41" s="2"/>
      <c r="Z41" s="6">
        <f t="shared" si="31"/>
        <v>0</v>
      </c>
    </row>
    <row r="42" spans="1:26" s="28" customFormat="1" outlineLevel="1" collapsed="1" x14ac:dyDescent="0.25">
      <c r="A42" s="27"/>
      <c r="B42" s="14" t="str">
        <f>CONCATENATE("     ","Professional Services                             ")</f>
        <v xml:space="preserve">     Professional Services                             </v>
      </c>
      <c r="C42" s="14"/>
      <c r="D42" s="1">
        <f>SUM(OSRRefD22_6x_0)</f>
        <v>0</v>
      </c>
      <c r="E42" s="1"/>
      <c r="F42" s="5">
        <f t="shared" si="24"/>
        <v>0</v>
      </c>
      <c r="G42" s="1"/>
      <c r="H42" s="1">
        <f>SUM(OSRRefH22_6x_0)</f>
        <v>0</v>
      </c>
      <c r="I42" s="1"/>
      <c r="J42" s="5">
        <f t="shared" si="25"/>
        <v>0</v>
      </c>
      <c r="K42" s="1"/>
      <c r="L42" s="1">
        <f t="shared" si="26"/>
        <v>0</v>
      </c>
      <c r="M42" s="1"/>
      <c r="N42" s="5">
        <f t="shared" si="27"/>
        <v>0</v>
      </c>
      <c r="O42" s="14"/>
      <c r="P42" s="1">
        <f>SUM(OSRRefP22_6x_0)</f>
        <v>0</v>
      </c>
      <c r="Q42" s="1"/>
      <c r="R42" s="5">
        <f t="shared" si="28"/>
        <v>0</v>
      </c>
      <c r="S42" s="1"/>
      <c r="T42" s="1">
        <f>SUM(OSRRefT22_6x_0)</f>
        <v>82.5</v>
      </c>
      <c r="U42" s="1"/>
      <c r="V42" s="5">
        <f t="shared" si="29"/>
        <v>0</v>
      </c>
      <c r="W42" s="1"/>
      <c r="X42" s="1">
        <f t="shared" si="30"/>
        <v>-82.5</v>
      </c>
      <c r="Y42" s="1"/>
      <c r="Z42" s="5">
        <f t="shared" si="31"/>
        <v>-1</v>
      </c>
    </row>
    <row r="43" spans="1:26" s="24" customFormat="1" hidden="1" outlineLevel="2" x14ac:dyDescent="0.25">
      <c r="A43" s="29"/>
      <c r="B43" s="11" t="str">
        <f>CONCATENATE("          ", "6332", " - ", "CONSULTANT FEES")</f>
        <v xml:space="preserve">          6332 - CONSULTANT FEES</v>
      </c>
      <c r="C43" s="11"/>
      <c r="D43" s="7"/>
      <c r="E43" s="2"/>
      <c r="F43" s="6">
        <f t="shared" si="24"/>
        <v>0</v>
      </c>
      <c r="G43" s="2"/>
      <c r="H43" s="7"/>
      <c r="I43" s="2"/>
      <c r="J43" s="6">
        <f t="shared" si="25"/>
        <v>0</v>
      </c>
      <c r="K43" s="2"/>
      <c r="L43" s="7">
        <f t="shared" si="26"/>
        <v>0</v>
      </c>
      <c r="M43" s="2"/>
      <c r="N43" s="6">
        <f t="shared" si="27"/>
        <v>0</v>
      </c>
      <c r="O43" s="11"/>
      <c r="P43" s="7"/>
      <c r="Q43" s="2"/>
      <c r="R43" s="6">
        <f t="shared" si="28"/>
        <v>0</v>
      </c>
      <c r="S43" s="2"/>
      <c r="T43" s="7">
        <v>82.5</v>
      </c>
      <c r="U43" s="2"/>
      <c r="V43" s="6">
        <f t="shared" si="29"/>
        <v>0</v>
      </c>
      <c r="W43" s="2"/>
      <c r="X43" s="7">
        <f t="shared" si="30"/>
        <v>-82.5</v>
      </c>
      <c r="Y43" s="2"/>
      <c r="Z43" s="6">
        <f t="shared" si="31"/>
        <v>-1</v>
      </c>
    </row>
    <row r="44" spans="1:26" s="28" customFormat="1" outlineLevel="1" collapsed="1" x14ac:dyDescent="0.25">
      <c r="A44" s="27"/>
      <c r="B44" s="14" t="str">
        <f>CONCATENATE("     ","Repair and Maintenance                            ")</f>
        <v xml:space="preserve">     Repair and Maintenance                            </v>
      </c>
      <c r="C44" s="14"/>
      <c r="D44" s="1">
        <f>SUM(OSRRefD22_7x_0)</f>
        <v>266.2</v>
      </c>
      <c r="E44" s="1"/>
      <c r="F44" s="5">
        <f t="shared" si="24"/>
        <v>0</v>
      </c>
      <c r="G44" s="1"/>
      <c r="H44" s="1">
        <f>SUM(OSRRefH22_7x_0)</f>
        <v>20.69</v>
      </c>
      <c r="I44" s="1"/>
      <c r="J44" s="5">
        <f t="shared" si="25"/>
        <v>0</v>
      </c>
      <c r="K44" s="1"/>
      <c r="L44" s="1">
        <f t="shared" si="26"/>
        <v>245.51</v>
      </c>
      <c r="M44" s="1"/>
      <c r="N44" s="5">
        <f t="shared" si="27"/>
        <v>11.866118898018366</v>
      </c>
      <c r="O44" s="14"/>
      <c r="P44" s="1">
        <f>SUM(OSRRefP22_7x_0)</f>
        <v>336.03999999999996</v>
      </c>
      <c r="Q44" s="1"/>
      <c r="R44" s="5">
        <f t="shared" si="28"/>
        <v>0</v>
      </c>
      <c r="S44" s="1"/>
      <c r="T44" s="1">
        <f>SUM(OSRRefT22_7x_0)</f>
        <v>42.69</v>
      </c>
      <c r="U44" s="1"/>
      <c r="V44" s="5">
        <f t="shared" si="29"/>
        <v>0</v>
      </c>
      <c r="W44" s="1"/>
      <c r="X44" s="1">
        <f t="shared" si="30"/>
        <v>293.34999999999997</v>
      </c>
      <c r="Y44" s="1"/>
      <c r="Z44" s="5">
        <f t="shared" si="31"/>
        <v>6.8716327008667131</v>
      </c>
    </row>
    <row r="45" spans="1:26" s="24" customFormat="1" hidden="1" outlineLevel="2" x14ac:dyDescent="0.25">
      <c r="A45" s="29"/>
      <c r="B45" s="11" t="str">
        <f>CONCATENATE("          ", "6371", " - ", "COMPUTER SOFTWARE MAINTENANCE")</f>
        <v xml:space="preserve">          6371 - COMPUTER SOFTWARE MAINTENANCE</v>
      </c>
      <c r="C45" s="11"/>
      <c r="D45" s="7">
        <v>266.2</v>
      </c>
      <c r="E45" s="2"/>
      <c r="F45" s="6">
        <f t="shared" si="24"/>
        <v>0</v>
      </c>
      <c r="G45" s="2"/>
      <c r="H45" s="7"/>
      <c r="I45" s="2"/>
      <c r="J45" s="6">
        <f t="shared" si="25"/>
        <v>0</v>
      </c>
      <c r="K45" s="2"/>
      <c r="L45" s="7">
        <f t="shared" si="26"/>
        <v>266.2</v>
      </c>
      <c r="M45" s="2"/>
      <c r="N45" s="6">
        <f t="shared" si="27"/>
        <v>0</v>
      </c>
      <c r="O45" s="11"/>
      <c r="P45" s="7">
        <v>326.14999999999998</v>
      </c>
      <c r="Q45" s="2"/>
      <c r="R45" s="6">
        <f t="shared" si="28"/>
        <v>0</v>
      </c>
      <c r="S45" s="2"/>
      <c r="T45" s="7"/>
      <c r="U45" s="2"/>
      <c r="V45" s="6">
        <f t="shared" si="29"/>
        <v>0</v>
      </c>
      <c r="W45" s="2"/>
      <c r="X45" s="7">
        <f t="shared" si="30"/>
        <v>326.14999999999998</v>
      </c>
      <c r="Y45" s="2"/>
      <c r="Z45" s="6">
        <f t="shared" si="31"/>
        <v>0</v>
      </c>
    </row>
    <row r="46" spans="1:26" s="24" customFormat="1" hidden="1" outlineLevel="2" x14ac:dyDescent="0.25">
      <c r="A46" s="29"/>
      <c r="B46" s="11" t="str">
        <f>CONCATENATE("          ", "6373", " - ", "MAINTENANCE CONTRACTS")</f>
        <v xml:space="preserve">          6373 - MAINTENANCE CONTRACTS</v>
      </c>
      <c r="C46" s="11"/>
      <c r="D46" s="7"/>
      <c r="E46" s="2"/>
      <c r="F46" s="6">
        <f t="shared" si="24"/>
        <v>0</v>
      </c>
      <c r="G46" s="2"/>
      <c r="H46" s="7">
        <v>20.69</v>
      </c>
      <c r="I46" s="2"/>
      <c r="J46" s="6">
        <f t="shared" si="25"/>
        <v>0</v>
      </c>
      <c r="K46" s="2"/>
      <c r="L46" s="7">
        <f t="shared" si="26"/>
        <v>-20.69</v>
      </c>
      <c r="M46" s="2"/>
      <c r="N46" s="6">
        <f t="shared" si="27"/>
        <v>-1</v>
      </c>
      <c r="O46" s="11"/>
      <c r="P46" s="7">
        <v>9.89</v>
      </c>
      <c r="Q46" s="2"/>
      <c r="R46" s="6">
        <f t="shared" si="28"/>
        <v>0</v>
      </c>
      <c r="S46" s="2"/>
      <c r="T46" s="7">
        <v>42.69</v>
      </c>
      <c r="U46" s="2"/>
      <c r="V46" s="6">
        <f t="shared" si="29"/>
        <v>0</v>
      </c>
      <c r="W46" s="2"/>
      <c r="X46" s="7">
        <f t="shared" si="30"/>
        <v>-32.799999999999997</v>
      </c>
      <c r="Y46" s="2"/>
      <c r="Z46" s="6">
        <f t="shared" si="31"/>
        <v>-0.76832981962988989</v>
      </c>
    </row>
    <row r="47" spans="1:26" s="28" customFormat="1" outlineLevel="1" collapsed="1" x14ac:dyDescent="0.25">
      <c r="A47" s="27"/>
      <c r="B47" s="14" t="str">
        <f>CONCATENATE("     ","Services                                          ")</f>
        <v xml:space="preserve">     Services                                          </v>
      </c>
      <c r="C47" s="14"/>
      <c r="D47" s="1">
        <f>SUM(OSRRefD22_8x_0)</f>
        <v>0</v>
      </c>
      <c r="E47" s="1"/>
      <c r="F47" s="5">
        <f t="shared" ref="F47:F52" si="32">IF(D$12=0,0,D47/D$12)</f>
        <v>0</v>
      </c>
      <c r="G47" s="1"/>
      <c r="H47" s="1">
        <f>SUM(OSRRefH22_8x_0)</f>
        <v>1842.78</v>
      </c>
      <c r="I47" s="1"/>
      <c r="J47" s="5">
        <f t="shared" ref="J47:J52" si="33">IF(H$12=0,0,H47/H$12)</f>
        <v>0</v>
      </c>
      <c r="K47" s="1"/>
      <c r="L47" s="1">
        <f t="shared" ref="L47:L52" si="34">+D47-H47</f>
        <v>-1842.78</v>
      </c>
      <c r="M47" s="1"/>
      <c r="N47" s="5">
        <f t="shared" ref="N47:N52" si="35">IF(H47=0,0,L47/H47)</f>
        <v>-1</v>
      </c>
      <c r="O47" s="14"/>
      <c r="P47" s="1">
        <f>SUM(OSRRefP22_8x_0)</f>
        <v>512.48</v>
      </c>
      <c r="Q47" s="1"/>
      <c r="R47" s="5">
        <f t="shared" ref="R47:R52" si="36">IF(P$12=0,0,P47/P$12)</f>
        <v>0</v>
      </c>
      <c r="S47" s="1"/>
      <c r="T47" s="1">
        <f>SUM(OSRRefT22_8x_0)</f>
        <v>2856.48</v>
      </c>
      <c r="U47" s="1"/>
      <c r="V47" s="5">
        <f t="shared" ref="V47:V52" si="37">IF(T$12=0,0,T47/T$12)</f>
        <v>0</v>
      </c>
      <c r="W47" s="1"/>
      <c r="X47" s="1">
        <f t="shared" ref="X47:X52" si="38">+P47-T47</f>
        <v>-2344</v>
      </c>
      <c r="Y47" s="1"/>
      <c r="Z47" s="5">
        <f t="shared" ref="Z47:Z52" si="39">IF(T47=0,0,X47/T47)</f>
        <v>-0.8205903769674564</v>
      </c>
    </row>
    <row r="48" spans="1:26" s="24" customFormat="1" hidden="1" outlineLevel="2" x14ac:dyDescent="0.25">
      <c r="A48" s="29"/>
      <c r="B48" s="11" t="str">
        <f>CONCATENATE("          ", "6281", " - ", "STORAGE FEE")</f>
        <v xml:space="preserve">          6281 - STORAGE FEE</v>
      </c>
      <c r="C48" s="11"/>
      <c r="D48" s="7"/>
      <c r="E48" s="2"/>
      <c r="F48" s="6">
        <f t="shared" si="32"/>
        <v>0</v>
      </c>
      <c r="G48" s="2"/>
      <c r="H48" s="7">
        <v>1842.78</v>
      </c>
      <c r="I48" s="2"/>
      <c r="J48" s="6">
        <f t="shared" si="33"/>
        <v>0</v>
      </c>
      <c r="K48" s="2"/>
      <c r="L48" s="7">
        <f t="shared" si="34"/>
        <v>-1842.78</v>
      </c>
      <c r="M48" s="2"/>
      <c r="N48" s="6">
        <f t="shared" si="35"/>
        <v>-1</v>
      </c>
      <c r="O48" s="11"/>
      <c r="P48" s="7">
        <v>512.48</v>
      </c>
      <c r="Q48" s="2"/>
      <c r="R48" s="6">
        <f t="shared" si="36"/>
        <v>0</v>
      </c>
      <c r="S48" s="2"/>
      <c r="T48" s="7">
        <v>2856.48</v>
      </c>
      <c r="U48" s="2"/>
      <c r="V48" s="6">
        <f t="shared" si="37"/>
        <v>0</v>
      </c>
      <c r="W48" s="2"/>
      <c r="X48" s="7">
        <f t="shared" si="38"/>
        <v>-2344</v>
      </c>
      <c r="Y48" s="2"/>
      <c r="Z48" s="6">
        <f t="shared" si="39"/>
        <v>-0.8205903769674564</v>
      </c>
    </row>
    <row r="49" spans="1:26" s="28" customFormat="1" outlineLevel="1" collapsed="1" x14ac:dyDescent="0.25">
      <c r="A49" s="27"/>
      <c r="B49" s="14" t="str">
        <f>CONCATENATE("     ","Supplies                                          ")</f>
        <v xml:space="preserve">     Supplies                                          </v>
      </c>
      <c r="C49" s="14"/>
      <c r="D49" s="1">
        <f>SUM(OSRRefD22_9x_0)</f>
        <v>96.12</v>
      </c>
      <c r="E49" s="1"/>
      <c r="F49" s="5">
        <f t="shared" si="32"/>
        <v>0</v>
      </c>
      <c r="G49" s="1"/>
      <c r="H49" s="1">
        <f>SUM(OSRRefH22_9x_0)</f>
        <v>753.2</v>
      </c>
      <c r="I49" s="1"/>
      <c r="J49" s="5">
        <f t="shared" si="33"/>
        <v>0</v>
      </c>
      <c r="K49" s="1"/>
      <c r="L49" s="1">
        <f t="shared" si="34"/>
        <v>-657.08</v>
      </c>
      <c r="M49" s="1"/>
      <c r="N49" s="5">
        <f t="shared" si="35"/>
        <v>-0.8723844928305895</v>
      </c>
      <c r="O49" s="14"/>
      <c r="P49" s="1">
        <f>SUM(OSRRefP22_9x_0)</f>
        <v>558.06000000000006</v>
      </c>
      <c r="Q49" s="1"/>
      <c r="R49" s="5">
        <f t="shared" si="36"/>
        <v>0</v>
      </c>
      <c r="S49" s="1"/>
      <c r="T49" s="1">
        <f>SUM(OSRRefT22_9x_0)</f>
        <v>1112.1100000000001</v>
      </c>
      <c r="U49" s="1"/>
      <c r="V49" s="5">
        <f t="shared" si="37"/>
        <v>0</v>
      </c>
      <c r="W49" s="1"/>
      <c r="X49" s="1">
        <f t="shared" si="38"/>
        <v>-554.05000000000007</v>
      </c>
      <c r="Y49" s="1"/>
      <c r="Z49" s="5">
        <f t="shared" si="39"/>
        <v>-0.49819712078841122</v>
      </c>
    </row>
    <row r="50" spans="1:26" s="24" customFormat="1" hidden="1" outlineLevel="2" x14ac:dyDescent="0.25">
      <c r="A50" s="29"/>
      <c r="B50" s="11" t="str">
        <f>CONCATENATE("          ", "6235", " - ", "COVID-19 EXPENSES")</f>
        <v xml:space="preserve">          6235 - COVID-19 EXPENSES</v>
      </c>
      <c r="C50" s="11"/>
      <c r="D50" s="7"/>
      <c r="E50" s="2"/>
      <c r="F50" s="6">
        <f t="shared" si="32"/>
        <v>0</v>
      </c>
      <c r="G50" s="2"/>
      <c r="H50" s="7"/>
      <c r="I50" s="2"/>
      <c r="J50" s="6">
        <f t="shared" si="33"/>
        <v>0</v>
      </c>
      <c r="K50" s="2"/>
      <c r="L50" s="7">
        <f t="shared" si="34"/>
        <v>0</v>
      </c>
      <c r="M50" s="2"/>
      <c r="N50" s="6">
        <f t="shared" si="35"/>
        <v>0</v>
      </c>
      <c r="O50" s="11"/>
      <c r="P50" s="7">
        <v>426.66</v>
      </c>
      <c r="Q50" s="2"/>
      <c r="R50" s="6">
        <f t="shared" si="36"/>
        <v>0</v>
      </c>
      <c r="S50" s="2"/>
      <c r="T50" s="7"/>
      <c r="U50" s="2"/>
      <c r="V50" s="6">
        <f t="shared" si="37"/>
        <v>0</v>
      </c>
      <c r="W50" s="2"/>
      <c r="X50" s="7">
        <f t="shared" si="38"/>
        <v>426.66</v>
      </c>
      <c r="Y50" s="2"/>
      <c r="Z50" s="6">
        <f t="shared" si="39"/>
        <v>0</v>
      </c>
    </row>
    <row r="51" spans="1:26" s="24" customFormat="1" hidden="1" outlineLevel="2" x14ac:dyDescent="0.25">
      <c r="A51" s="29"/>
      <c r="B51" s="11" t="str">
        <f>CONCATENATE("          ", "6241", " - ", "OFFICE EXPENSE")</f>
        <v xml:space="preserve">          6241 - OFFICE EXPENSE</v>
      </c>
      <c r="C51" s="11"/>
      <c r="D51" s="7">
        <v>96.12</v>
      </c>
      <c r="E51" s="2"/>
      <c r="F51" s="6">
        <f t="shared" si="32"/>
        <v>0</v>
      </c>
      <c r="G51" s="2"/>
      <c r="H51" s="7">
        <v>91.7</v>
      </c>
      <c r="I51" s="2"/>
      <c r="J51" s="6">
        <f t="shared" si="33"/>
        <v>0</v>
      </c>
      <c r="K51" s="2"/>
      <c r="L51" s="7">
        <f t="shared" si="34"/>
        <v>4.4200000000000017</v>
      </c>
      <c r="M51" s="2"/>
      <c r="N51" s="6">
        <f t="shared" si="35"/>
        <v>4.8200654307524557E-2</v>
      </c>
      <c r="O51" s="11"/>
      <c r="P51" s="7">
        <v>131.4</v>
      </c>
      <c r="Q51" s="2"/>
      <c r="R51" s="6">
        <f t="shared" si="36"/>
        <v>0</v>
      </c>
      <c r="S51" s="2"/>
      <c r="T51" s="7">
        <v>450.61</v>
      </c>
      <c r="U51" s="2"/>
      <c r="V51" s="6">
        <f t="shared" si="37"/>
        <v>0</v>
      </c>
      <c r="W51" s="2"/>
      <c r="X51" s="7">
        <f t="shared" si="38"/>
        <v>-319.21000000000004</v>
      </c>
      <c r="Y51" s="2"/>
      <c r="Z51" s="6">
        <f t="shared" si="39"/>
        <v>-0.70839528638956084</v>
      </c>
    </row>
    <row r="52" spans="1:26" s="24" customFormat="1" hidden="1" outlineLevel="2" x14ac:dyDescent="0.25">
      <c r="A52" s="29"/>
      <c r="B52" s="11" t="str">
        <f>CONCATENATE("          ", "6245", " - ", "PRINTING")</f>
        <v xml:space="preserve">          6245 - PRINTING</v>
      </c>
      <c r="C52" s="11"/>
      <c r="D52" s="7"/>
      <c r="E52" s="2"/>
      <c r="F52" s="6">
        <f t="shared" si="32"/>
        <v>0</v>
      </c>
      <c r="G52" s="2"/>
      <c r="H52" s="7">
        <v>661.5</v>
      </c>
      <c r="I52" s="2"/>
      <c r="J52" s="6">
        <f t="shared" si="33"/>
        <v>0</v>
      </c>
      <c r="K52" s="2"/>
      <c r="L52" s="7">
        <f t="shared" si="34"/>
        <v>-661.5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661.5</v>
      </c>
      <c r="U52" s="2"/>
      <c r="V52" s="6">
        <f t="shared" si="37"/>
        <v>0</v>
      </c>
      <c r="W52" s="2"/>
      <c r="X52" s="7">
        <f t="shared" si="38"/>
        <v>-661.5</v>
      </c>
      <c r="Y52" s="2"/>
      <c r="Z52" s="6">
        <f t="shared" si="39"/>
        <v>-1</v>
      </c>
    </row>
    <row r="53" spans="1:26" s="28" customFormat="1" outlineLevel="1" collapsed="1" x14ac:dyDescent="0.25">
      <c r="A53" s="27"/>
      <c r="B53" s="14" t="str">
        <f>CONCATENATE("     ","Telephone/Data Lines                              ")</f>
        <v xml:space="preserve">     Telephone/Data Lines                              </v>
      </c>
      <c r="C53" s="14"/>
      <c r="D53" s="1">
        <f>SUM(OSRRefD22_10x_0)</f>
        <v>420.15</v>
      </c>
      <c r="E53" s="1"/>
      <c r="F53" s="5">
        <f t="shared" ref="F53:F56" si="40">IF(D$12=0,0,D53/D$12)</f>
        <v>0</v>
      </c>
      <c r="G53" s="1"/>
      <c r="H53" s="1">
        <f>SUM(OSRRefH22_10x_0)</f>
        <v>376.35</v>
      </c>
      <c r="I53" s="1"/>
      <c r="J53" s="5">
        <f t="shared" ref="J53:J56" si="41">IF(H$12=0,0,H53/H$12)</f>
        <v>0</v>
      </c>
      <c r="K53" s="1"/>
      <c r="L53" s="1">
        <f t="shared" ref="L53:L56" si="42">+D53-H53</f>
        <v>43.799999999999955</v>
      </c>
      <c r="M53" s="1"/>
      <c r="N53" s="5">
        <f t="shared" ref="N53:N56" si="43">IF(H53=0,0,L53/H53)</f>
        <v>0.11638102829812662</v>
      </c>
      <c r="O53" s="14"/>
      <c r="P53" s="1">
        <f>SUM(OSRRefP22_10x_0)</f>
        <v>841.45</v>
      </c>
      <c r="Q53" s="1"/>
      <c r="R53" s="5">
        <f t="shared" ref="R53:R56" si="44">IF(P$12=0,0,P53/P$12)</f>
        <v>0</v>
      </c>
      <c r="S53" s="1"/>
      <c r="T53" s="1">
        <f>SUM(OSRRefT22_10x_0)</f>
        <v>742.15</v>
      </c>
      <c r="U53" s="1"/>
      <c r="V53" s="5">
        <f t="shared" ref="V53:V56" si="45">IF(T$12=0,0,T53/T$12)</f>
        <v>0</v>
      </c>
      <c r="W53" s="1"/>
      <c r="X53" s="1">
        <f t="shared" ref="X53:X56" si="46">+P53-T53</f>
        <v>99.300000000000068</v>
      </c>
      <c r="Y53" s="1"/>
      <c r="Z53" s="5">
        <f t="shared" ref="Z53:Z56" si="47">IF(T53=0,0,X53/T53)</f>
        <v>0.13380044465404578</v>
      </c>
    </row>
    <row r="54" spans="1:26" s="24" customFormat="1" hidden="1" outlineLevel="2" x14ac:dyDescent="0.25">
      <c r="A54" s="29"/>
      <c r="B54" s="11" t="str">
        <f>CONCATENATE("          ", "6309", " - ", "TELEPHONE")</f>
        <v xml:space="preserve">          6309 - TELEPHONE</v>
      </c>
      <c r="C54" s="11"/>
      <c r="D54" s="7">
        <v>420.15</v>
      </c>
      <c r="E54" s="2"/>
      <c r="F54" s="6">
        <f t="shared" si="40"/>
        <v>0</v>
      </c>
      <c r="G54" s="2"/>
      <c r="H54" s="7">
        <v>376.35</v>
      </c>
      <c r="I54" s="2"/>
      <c r="J54" s="6">
        <f t="shared" si="41"/>
        <v>0</v>
      </c>
      <c r="K54" s="2"/>
      <c r="L54" s="7">
        <f t="shared" si="42"/>
        <v>43.799999999999955</v>
      </c>
      <c r="M54" s="2"/>
      <c r="N54" s="6">
        <f t="shared" si="43"/>
        <v>0.11638102829812662</v>
      </c>
      <c r="O54" s="11"/>
      <c r="P54" s="7">
        <v>841.45</v>
      </c>
      <c r="Q54" s="2"/>
      <c r="R54" s="6">
        <f t="shared" si="44"/>
        <v>0</v>
      </c>
      <c r="S54" s="2"/>
      <c r="T54" s="7">
        <v>742.15</v>
      </c>
      <c r="U54" s="2"/>
      <c r="V54" s="6">
        <f t="shared" si="45"/>
        <v>0</v>
      </c>
      <c r="W54" s="2"/>
      <c r="X54" s="7">
        <f t="shared" si="46"/>
        <v>99.300000000000068</v>
      </c>
      <c r="Y54" s="2"/>
      <c r="Z54" s="6">
        <f t="shared" si="47"/>
        <v>0.13380044465404578</v>
      </c>
    </row>
    <row r="55" spans="1:26" s="28" customFormat="1" outlineLevel="1" collapsed="1" x14ac:dyDescent="0.25">
      <c r="A55" s="27"/>
      <c r="B55" s="14" t="str">
        <f>CONCATENATE("     ","Travel                                            ")</f>
        <v xml:space="preserve">     Travel                                            </v>
      </c>
      <c r="C55" s="14"/>
      <c r="D55" s="1">
        <f>SUM(OSRRefD22_11x_0)</f>
        <v>7.8</v>
      </c>
      <c r="E55" s="1"/>
      <c r="F55" s="5">
        <f t="shared" si="40"/>
        <v>0</v>
      </c>
      <c r="G55" s="1"/>
      <c r="H55" s="1">
        <f>SUM(OSRRefH22_11x_0)</f>
        <v>0</v>
      </c>
      <c r="I55" s="1"/>
      <c r="J55" s="5">
        <f t="shared" si="41"/>
        <v>0</v>
      </c>
      <c r="K55" s="1"/>
      <c r="L55" s="1">
        <f t="shared" si="42"/>
        <v>7.8</v>
      </c>
      <c r="M55" s="1"/>
      <c r="N55" s="5">
        <f t="shared" si="43"/>
        <v>0</v>
      </c>
      <c r="O55" s="14"/>
      <c r="P55" s="1">
        <f>SUM(OSRRefP22_11x_0)</f>
        <v>17.55</v>
      </c>
      <c r="Q55" s="1"/>
      <c r="R55" s="5">
        <f t="shared" si="44"/>
        <v>0</v>
      </c>
      <c r="S55" s="1"/>
      <c r="T55" s="1">
        <f>SUM(OSRRefT22_11x_0)</f>
        <v>0</v>
      </c>
      <c r="U55" s="1"/>
      <c r="V55" s="5">
        <f t="shared" si="45"/>
        <v>0</v>
      </c>
      <c r="W55" s="1"/>
      <c r="X55" s="1">
        <f t="shared" si="46"/>
        <v>17.55</v>
      </c>
      <c r="Y55" s="1"/>
      <c r="Z55" s="5">
        <f t="shared" si="47"/>
        <v>0</v>
      </c>
    </row>
    <row r="56" spans="1:26" s="24" customFormat="1" hidden="1" outlineLevel="2" x14ac:dyDescent="0.25">
      <c r="A56" s="29"/>
      <c r="B56" s="11" t="str">
        <f>CONCATENATE("          ", "6294", " - ", "TRAVEL OPERATIONAL")</f>
        <v xml:space="preserve">          6294 - TRAVEL OPERATIONAL</v>
      </c>
      <c r="C56" s="11"/>
      <c r="D56" s="7">
        <v>7.8</v>
      </c>
      <c r="E56" s="2"/>
      <c r="F56" s="6">
        <f t="shared" si="40"/>
        <v>0</v>
      </c>
      <c r="G56" s="2"/>
      <c r="H56" s="7"/>
      <c r="I56" s="2"/>
      <c r="J56" s="6">
        <f t="shared" si="41"/>
        <v>0</v>
      </c>
      <c r="K56" s="2"/>
      <c r="L56" s="7">
        <f t="shared" si="42"/>
        <v>7.8</v>
      </c>
      <c r="M56" s="2"/>
      <c r="N56" s="6">
        <f t="shared" si="43"/>
        <v>0</v>
      </c>
      <c r="O56" s="11"/>
      <c r="P56" s="7">
        <v>17.55</v>
      </c>
      <c r="Q56" s="2"/>
      <c r="R56" s="6">
        <f t="shared" si="44"/>
        <v>0</v>
      </c>
      <c r="S56" s="2"/>
      <c r="T56" s="7"/>
      <c r="U56" s="2"/>
      <c r="V56" s="6">
        <f t="shared" si="45"/>
        <v>0</v>
      </c>
      <c r="W56" s="2"/>
      <c r="X56" s="7">
        <f t="shared" si="46"/>
        <v>17.55</v>
      </c>
      <c r="Y56" s="2"/>
      <c r="Z56" s="6">
        <f t="shared" si="47"/>
        <v>0</v>
      </c>
    </row>
    <row r="57" spans="1:26" s="52" customFormat="1" x14ac:dyDescent="0.25">
      <c r="A57" s="37"/>
      <c r="B57" s="37"/>
      <c r="C57" s="37"/>
      <c r="D57" s="1"/>
      <c r="E57" s="1"/>
      <c r="F57" s="5"/>
      <c r="G57" s="1"/>
      <c r="H57" s="1"/>
      <c r="I57" s="1"/>
      <c r="J57" s="5"/>
      <c r="K57" s="1"/>
      <c r="L57" s="1"/>
      <c r="M57" s="1"/>
      <c r="N57" s="5"/>
      <c r="O57" s="37"/>
      <c r="P57" s="1"/>
      <c r="Q57" s="1"/>
      <c r="R57" s="5"/>
      <c r="S57" s="1"/>
      <c r="T57" s="1"/>
      <c r="U57" s="1"/>
      <c r="V57" s="5"/>
      <c r="W57" s="1"/>
      <c r="X57" s="1"/>
      <c r="Y57" s="1"/>
      <c r="Z57" s="5"/>
    </row>
    <row r="58" spans="1:26" s="23" customFormat="1" x14ac:dyDescent="0.25">
      <c r="A58" s="10"/>
      <c r="B58" s="25" t="s">
        <v>0</v>
      </c>
      <c r="C58" s="10"/>
      <c r="D58" s="4">
        <f>SUM(0)</f>
        <v>0</v>
      </c>
      <c r="E58" s="4"/>
      <c r="F58" s="12">
        <f>IF(D$12=0,0,D58/D$12)</f>
        <v>0</v>
      </c>
      <c r="G58" s="4"/>
      <c r="H58" s="4">
        <f>SUM(0)</f>
        <v>0</v>
      </c>
      <c r="I58" s="4"/>
      <c r="J58" s="12">
        <f>IF(H$12=0,0,H58/H$12)</f>
        <v>0</v>
      </c>
      <c r="K58" s="4"/>
      <c r="L58" s="4">
        <f>+D58-H58</f>
        <v>0</v>
      </c>
      <c r="M58" s="4"/>
      <c r="N58" s="12">
        <f>IF(H58=0,0,L58/H58)</f>
        <v>0</v>
      </c>
      <c r="O58" s="10"/>
      <c r="P58" s="4">
        <f>SUM(0)</f>
        <v>0</v>
      </c>
      <c r="Q58" s="4"/>
      <c r="R58" s="12">
        <f>IF(P$12=0,0,P58/P$12)</f>
        <v>0</v>
      </c>
      <c r="S58" s="4"/>
      <c r="T58" s="4">
        <f>SUM(0)</f>
        <v>0</v>
      </c>
      <c r="U58" s="4"/>
      <c r="V58" s="12">
        <f>IF(T$12=0,0,T58/T$12)</f>
        <v>0</v>
      </c>
      <c r="W58" s="4"/>
      <c r="X58" s="4">
        <f>+P58-T58</f>
        <v>0</v>
      </c>
      <c r="Y58" s="4"/>
      <c r="Z58" s="12">
        <f>IF(T58=0,0,X58/T58)</f>
        <v>0</v>
      </c>
    </row>
    <row r="59" spans="1:26" x14ac:dyDescent="0.25">
      <c r="A59" s="9"/>
      <c r="B59" s="10"/>
      <c r="C59" s="10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O59" s="10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10"/>
      <c r="B60" s="26" t="s">
        <v>3</v>
      </c>
      <c r="C60" s="26"/>
      <c r="D60" s="22">
        <f>+D16-D18+D58</f>
        <v>-34593.850000000006</v>
      </c>
      <c r="E60" s="13"/>
      <c r="F60" s="21">
        <f>IF(D$12=0,0,D60/D$12)</f>
        <v>0</v>
      </c>
      <c r="G60" s="13"/>
      <c r="H60" s="22">
        <f>+H16-H18+H58</f>
        <v>-46130.020000000004</v>
      </c>
      <c r="I60" s="13"/>
      <c r="J60" s="21">
        <f>IF(H$12=0,0,H60/H$12)</f>
        <v>0</v>
      </c>
      <c r="K60" s="16"/>
      <c r="L60" s="22">
        <f>+D60-H60</f>
        <v>11536.169999999998</v>
      </c>
      <c r="M60" s="16"/>
      <c r="N60" s="21">
        <f>IF(H60=0,0,L60/H60)</f>
        <v>-0.25007944934773491</v>
      </c>
      <c r="O60" s="25"/>
      <c r="P60" s="22">
        <f>+P16-P18+P58</f>
        <v>-73991.889999999985</v>
      </c>
      <c r="Q60" s="13"/>
      <c r="R60" s="21">
        <f>IF(P$12=0,0,P60/P$12)</f>
        <v>0</v>
      </c>
      <c r="S60" s="13"/>
      <c r="T60" s="22">
        <f>+T16-T18+T58</f>
        <v>-101417.27999999998</v>
      </c>
      <c r="U60" s="13"/>
      <c r="V60" s="21">
        <f>IF(T$12=0,0,T60/T$12)</f>
        <v>0</v>
      </c>
      <c r="W60" s="16"/>
      <c r="X60" s="22">
        <f>+P60-T60</f>
        <v>27425.39</v>
      </c>
      <c r="Y60" s="16"/>
      <c r="Z60" s="21">
        <f>IF(T60=0,0,X60/T60)</f>
        <v>-0.27042127337668692</v>
      </c>
    </row>
    <row r="61" spans="1:26" x14ac:dyDescent="0.25">
      <c r="A61" s="9"/>
      <c r="B61" s="10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51"/>
      <c r="B62" s="10" t="s">
        <v>13</v>
      </c>
      <c r="C62" s="10"/>
      <c r="D62" s="4"/>
      <c r="E62" s="4"/>
      <c r="F62" s="12">
        <f>IF(D$12=0,0,D62/D$12)</f>
        <v>0</v>
      </c>
      <c r="G62" s="4"/>
      <c r="H62" s="4"/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/>
      <c r="Q62" s="4"/>
      <c r="R62" s="12">
        <f>IF(P$12=0,0,P62/P$12)</f>
        <v>0</v>
      </c>
      <c r="S62" s="4"/>
      <c r="T62" s="4"/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ht="15.75" thickBot="1" x14ac:dyDescent="0.3">
      <c r="A64" s="10"/>
      <c r="B64" s="26" t="s">
        <v>4</v>
      </c>
      <c r="C64" s="26"/>
      <c r="D64" s="36">
        <f>+D60-D62</f>
        <v>-34593.850000000006</v>
      </c>
      <c r="E64" s="13"/>
      <c r="F64" s="34">
        <f>IF(D$12=0,0,D64/D$12)</f>
        <v>0</v>
      </c>
      <c r="G64" s="13"/>
      <c r="H64" s="36">
        <f>+H60-H62</f>
        <v>-46130.020000000004</v>
      </c>
      <c r="I64" s="13"/>
      <c r="J64" s="34">
        <f>IF(H$12=0,0,H64/H$12)</f>
        <v>0</v>
      </c>
      <c r="K64" s="16"/>
      <c r="L64" s="36">
        <f>D64-H64</f>
        <v>11536.169999999998</v>
      </c>
      <c r="M64" s="16"/>
      <c r="N64" s="34">
        <f>IF(H64=0,0,L64/H64)</f>
        <v>-0.25007944934773491</v>
      </c>
      <c r="O64" s="25"/>
      <c r="P64" s="36">
        <f>+P60-P62</f>
        <v>-73991.889999999985</v>
      </c>
      <c r="Q64" s="13"/>
      <c r="R64" s="34">
        <f>IF(P$12=0,0,P64/P$12)</f>
        <v>0</v>
      </c>
      <c r="S64" s="13"/>
      <c r="T64" s="36">
        <f>+T60-T62</f>
        <v>-101417.27999999998</v>
      </c>
      <c r="U64" s="13"/>
      <c r="V64" s="34">
        <f>IF(T$12=0,0,T64/T$12)</f>
        <v>0</v>
      </c>
      <c r="W64" s="16"/>
      <c r="X64" s="36">
        <f>P64-T64</f>
        <v>27425.39</v>
      </c>
      <c r="Y64" s="16"/>
      <c r="Z64" s="34">
        <f>IF(T64=0,0,X64/T64)</f>
        <v>-0.27042127337668692</v>
      </c>
    </row>
    <row r="65" spans="1:26" ht="15.75" thickTop="1" x14ac:dyDescent="0.25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x14ac:dyDescent="0.25">
      <c r="A66" s="9"/>
      <c r="B66" s="9"/>
      <c r="C66" s="9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5</v>
      </c>
      <c r="C67" s="26"/>
      <c r="D67" s="30">
        <f>SUM(D64:D66)</f>
        <v>-34593.850000000006</v>
      </c>
      <c r="E67" s="13"/>
      <c r="F67" s="31">
        <f>IF(D$12=0,0,D67/D$12)</f>
        <v>0</v>
      </c>
      <c r="G67" s="13"/>
      <c r="H67" s="30">
        <f>SUM(H64:H66)</f>
        <v>-46130.020000000004</v>
      </c>
      <c r="I67" s="13"/>
      <c r="J67" s="31">
        <f>IF(H$12=0,0,H67/H$12)</f>
        <v>0</v>
      </c>
      <c r="K67" s="16"/>
      <c r="L67" s="30">
        <f>+D67-H67</f>
        <v>11536.169999999998</v>
      </c>
      <c r="M67" s="16"/>
      <c r="N67" s="31">
        <f>IF(H67=0,0,L67/H67)</f>
        <v>-0.25007944934773491</v>
      </c>
      <c r="O67" s="25"/>
      <c r="P67" s="30">
        <f>SUM(P64:P66)</f>
        <v>-73991.889999999985</v>
      </c>
      <c r="Q67" s="13"/>
      <c r="R67" s="31">
        <f>IF(P$12=0,0,P67/P$12)</f>
        <v>0</v>
      </c>
      <c r="S67" s="13"/>
      <c r="T67" s="30">
        <f>SUM(T64:T66)</f>
        <v>-101417.27999999998</v>
      </c>
      <c r="U67" s="13"/>
      <c r="V67" s="31">
        <f>IF(T$12=0,0,T67/T$12)</f>
        <v>0</v>
      </c>
      <c r="W67" s="16"/>
      <c r="X67" s="30">
        <f>+P67-T67</f>
        <v>27425.39</v>
      </c>
      <c r="Y67" s="16"/>
      <c r="Z67" s="31">
        <f>IF(T67=0,0,X67/T67)</f>
        <v>-0.27042127337668692</v>
      </c>
    </row>
    <row r="68" spans="1:26" ht="15.75" thickTop="1" x14ac:dyDescent="0.25">
      <c r="A68" s="9"/>
      <c r="C68" s="9"/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61">
        <v>44113.695995717593</v>
      </c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A70" s="9"/>
      <c r="B70" s="56" t="s">
        <v>313</v>
      </c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58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","203", " - ", "Human Resources")</f>
        <v>Department 203 - Human Resources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41292.079999999994</v>
      </c>
      <c r="E18" s="20"/>
      <c r="F18" s="35">
        <f t="shared" ref="F18:F28" si="0">IF(D$12=0,0,D18/D$12)</f>
        <v>0</v>
      </c>
      <c r="G18" s="20"/>
      <c r="H18" s="20">
        <f>SUM(OSRRefH22x_0)</f>
        <v>68393.530000000013</v>
      </c>
      <c r="I18" s="20"/>
      <c r="J18" s="35">
        <f t="shared" ref="J18:J28" si="1">IF(H$12=0,0,H18/H$12)</f>
        <v>0</v>
      </c>
      <c r="K18" s="4"/>
      <c r="L18" s="20">
        <f t="shared" ref="L18:L28" si="2">+D18-H18</f>
        <v>-27101.450000000019</v>
      </c>
      <c r="M18" s="4"/>
      <c r="N18" s="35">
        <f t="shared" ref="N18:N28" si="3">IF(H18=0,0,L18/H18)</f>
        <v>-0.39625751149268085</v>
      </c>
      <c r="O18" s="10"/>
      <c r="P18" s="20">
        <f>SUM(OSRRefP22x_0)</f>
        <v>92335.590000000011</v>
      </c>
      <c r="Q18" s="20"/>
      <c r="R18" s="35">
        <f t="shared" ref="R18:R28" si="4">IF(P$12=0,0,P18/P$12)</f>
        <v>0</v>
      </c>
      <c r="S18" s="20"/>
      <c r="T18" s="20">
        <f>SUM(OSRRefT22x_0)</f>
        <v>134006.37</v>
      </c>
      <c r="U18" s="20"/>
      <c r="V18" s="35">
        <f t="shared" ref="V18:V28" si="5">IF(T$12=0,0,T18/T$12)</f>
        <v>0</v>
      </c>
      <c r="W18" s="4"/>
      <c r="X18" s="20">
        <f t="shared" ref="X18:X28" si="6">+P18-T18</f>
        <v>-41670.779999999984</v>
      </c>
      <c r="Y18" s="4"/>
      <c r="Z18" s="35">
        <f t="shared" ref="Z18:Z28" si="7">IF(T18=0,0,X18/T18)</f>
        <v>-0.31096118788979948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11866.3</v>
      </c>
      <c r="E19" s="1"/>
      <c r="F19" s="5">
        <f t="shared" si="0"/>
        <v>0</v>
      </c>
      <c r="G19" s="1"/>
      <c r="H19" s="1">
        <f>SUM(OSRRefH22_0x_0)</f>
        <v>11573.3</v>
      </c>
      <c r="I19" s="1"/>
      <c r="J19" s="5">
        <f t="shared" si="1"/>
        <v>0</v>
      </c>
      <c r="K19" s="1"/>
      <c r="L19" s="1">
        <f t="shared" si="2"/>
        <v>293</v>
      </c>
      <c r="M19" s="1"/>
      <c r="N19" s="5">
        <f t="shared" si="3"/>
        <v>2.5316893193816803E-2</v>
      </c>
      <c r="O19" s="14"/>
      <c r="P19" s="1">
        <f>SUM(OSRRefP22_0x_0)</f>
        <v>24378.090000000004</v>
      </c>
      <c r="Q19" s="1"/>
      <c r="R19" s="5">
        <f t="shared" si="4"/>
        <v>0</v>
      </c>
      <c r="S19" s="1"/>
      <c r="T19" s="1">
        <f>SUM(OSRRefT22_0x_0)</f>
        <v>27615.299999999996</v>
      </c>
      <c r="U19" s="1"/>
      <c r="V19" s="5">
        <f t="shared" si="5"/>
        <v>0</v>
      </c>
      <c r="W19" s="1"/>
      <c r="X19" s="1">
        <f t="shared" si="6"/>
        <v>-3237.2099999999919</v>
      </c>
      <c r="Y19" s="1"/>
      <c r="Z19" s="5">
        <f t="shared" si="7"/>
        <v>-0.11722523383776356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1951.62</v>
      </c>
      <c r="E20" s="2"/>
      <c r="F20" s="6">
        <f t="shared" si="0"/>
        <v>0</v>
      </c>
      <c r="G20" s="2"/>
      <c r="H20" s="7">
        <v>1783.34</v>
      </c>
      <c r="I20" s="2"/>
      <c r="J20" s="6">
        <f t="shared" si="1"/>
        <v>0</v>
      </c>
      <c r="K20" s="2"/>
      <c r="L20" s="7">
        <f t="shared" si="2"/>
        <v>168.27999999999997</v>
      </c>
      <c r="M20" s="2"/>
      <c r="N20" s="6">
        <f t="shared" si="3"/>
        <v>9.4362264066302548E-2</v>
      </c>
      <c r="O20" s="11"/>
      <c r="P20" s="7">
        <v>3903.33</v>
      </c>
      <c r="Q20" s="2"/>
      <c r="R20" s="6">
        <f t="shared" si="4"/>
        <v>0</v>
      </c>
      <c r="S20" s="2"/>
      <c r="T20" s="7">
        <v>3547.12</v>
      </c>
      <c r="U20" s="2"/>
      <c r="V20" s="6">
        <f t="shared" si="5"/>
        <v>0</v>
      </c>
      <c r="W20" s="2"/>
      <c r="X20" s="7">
        <f t="shared" si="6"/>
        <v>356.21000000000004</v>
      </c>
      <c r="Y20" s="2"/>
      <c r="Z20" s="6">
        <f t="shared" si="7"/>
        <v>0.10042231444101131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84.08</v>
      </c>
      <c r="E21" s="2"/>
      <c r="F21" s="6">
        <f t="shared" si="0"/>
        <v>0</v>
      </c>
      <c r="G21" s="2"/>
      <c r="H21" s="7">
        <v>78.900000000000006</v>
      </c>
      <c r="I21" s="2"/>
      <c r="J21" s="6">
        <f t="shared" si="1"/>
        <v>0</v>
      </c>
      <c r="K21" s="2"/>
      <c r="L21" s="7">
        <f t="shared" si="2"/>
        <v>5.1799999999999926</v>
      </c>
      <c r="M21" s="2"/>
      <c r="N21" s="6">
        <f t="shared" si="3"/>
        <v>6.565272496831423E-2</v>
      </c>
      <c r="O21" s="11"/>
      <c r="P21" s="7">
        <v>168.07</v>
      </c>
      <c r="Q21" s="2"/>
      <c r="R21" s="6">
        <f t="shared" si="4"/>
        <v>0</v>
      </c>
      <c r="S21" s="2"/>
      <c r="T21" s="7">
        <v>157.19</v>
      </c>
      <c r="U21" s="2"/>
      <c r="V21" s="6">
        <f t="shared" si="5"/>
        <v>0</v>
      </c>
      <c r="W21" s="2"/>
      <c r="X21" s="7">
        <f t="shared" si="6"/>
        <v>10.879999999999995</v>
      </c>
      <c r="Y21" s="2"/>
      <c r="Z21" s="6">
        <f t="shared" si="7"/>
        <v>6.9215598956676602E-2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6091.67</v>
      </c>
      <c r="E22" s="2"/>
      <c r="F22" s="6">
        <f t="shared" si="0"/>
        <v>0</v>
      </c>
      <c r="G22" s="2"/>
      <c r="H22" s="7">
        <v>5861.61</v>
      </c>
      <c r="I22" s="2"/>
      <c r="J22" s="6">
        <f t="shared" si="1"/>
        <v>0</v>
      </c>
      <c r="K22" s="2"/>
      <c r="L22" s="7">
        <f t="shared" si="2"/>
        <v>230.0600000000004</v>
      </c>
      <c r="M22" s="2"/>
      <c r="N22" s="6">
        <f t="shared" si="3"/>
        <v>3.9248602346454373E-2</v>
      </c>
      <c r="O22" s="11"/>
      <c r="P22" s="7">
        <v>12183.34</v>
      </c>
      <c r="Q22" s="2"/>
      <c r="R22" s="6">
        <f t="shared" si="4"/>
        <v>0</v>
      </c>
      <c r="S22" s="2"/>
      <c r="T22" s="7">
        <v>11723.22</v>
      </c>
      <c r="U22" s="2"/>
      <c r="V22" s="6">
        <f t="shared" si="5"/>
        <v>0</v>
      </c>
      <c r="W22" s="2"/>
      <c r="X22" s="7">
        <f t="shared" si="6"/>
        <v>460.1200000000008</v>
      </c>
      <c r="Y22" s="2"/>
      <c r="Z22" s="6">
        <f t="shared" si="7"/>
        <v>3.9248602346454373E-2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66.25</v>
      </c>
      <c r="E23" s="2"/>
      <c r="F23" s="6">
        <f t="shared" si="0"/>
        <v>0</v>
      </c>
      <c r="G23" s="2"/>
      <c r="H23" s="7">
        <v>60.34</v>
      </c>
      <c r="I23" s="2"/>
      <c r="J23" s="6">
        <f t="shared" si="1"/>
        <v>0</v>
      </c>
      <c r="K23" s="2"/>
      <c r="L23" s="7">
        <f t="shared" si="2"/>
        <v>5.9099999999999966</v>
      </c>
      <c r="M23" s="2"/>
      <c r="N23" s="6">
        <f t="shared" si="3"/>
        <v>9.7944978455419232E-2</v>
      </c>
      <c r="O23" s="11"/>
      <c r="P23" s="7">
        <v>132.41999999999999</v>
      </c>
      <c r="Q23" s="2"/>
      <c r="R23" s="6">
        <f t="shared" si="4"/>
        <v>0</v>
      </c>
      <c r="S23" s="2"/>
      <c r="T23" s="7">
        <v>120.21</v>
      </c>
      <c r="U23" s="2"/>
      <c r="V23" s="6">
        <f t="shared" si="5"/>
        <v>0</v>
      </c>
      <c r="W23" s="2"/>
      <c r="X23" s="7">
        <f t="shared" si="6"/>
        <v>12.209999999999994</v>
      </c>
      <c r="Y23" s="2"/>
      <c r="Z23" s="6">
        <f t="shared" si="7"/>
        <v>0.10157224856501118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1091.48</v>
      </c>
      <c r="E24" s="2"/>
      <c r="F24" s="6">
        <f t="shared" si="0"/>
        <v>0</v>
      </c>
      <c r="G24" s="2"/>
      <c r="H24" s="7">
        <v>919.4</v>
      </c>
      <c r="I24" s="2"/>
      <c r="J24" s="6">
        <f t="shared" si="1"/>
        <v>0</v>
      </c>
      <c r="K24" s="2"/>
      <c r="L24" s="7">
        <f t="shared" si="2"/>
        <v>172.08000000000004</v>
      </c>
      <c r="M24" s="2"/>
      <c r="N24" s="6">
        <f t="shared" si="3"/>
        <v>0.1871655427452687</v>
      </c>
      <c r="O24" s="11"/>
      <c r="P24" s="7">
        <v>2728.7</v>
      </c>
      <c r="Q24" s="2"/>
      <c r="R24" s="6">
        <f t="shared" si="4"/>
        <v>0</v>
      </c>
      <c r="S24" s="2"/>
      <c r="T24" s="7">
        <v>1838.8</v>
      </c>
      <c r="U24" s="2"/>
      <c r="V24" s="6">
        <f t="shared" si="5"/>
        <v>0</v>
      </c>
      <c r="W24" s="2"/>
      <c r="X24" s="7">
        <f t="shared" si="6"/>
        <v>889.89999999999986</v>
      </c>
      <c r="Y24" s="2"/>
      <c r="Z24" s="6">
        <f t="shared" si="7"/>
        <v>0.48395692843158578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607.24</v>
      </c>
      <c r="E25" s="2"/>
      <c r="F25" s="6">
        <f t="shared" si="0"/>
        <v>0</v>
      </c>
      <c r="G25" s="2"/>
      <c r="H25" s="7">
        <v>445.39</v>
      </c>
      <c r="I25" s="2"/>
      <c r="J25" s="6">
        <f t="shared" si="1"/>
        <v>0</v>
      </c>
      <c r="K25" s="2"/>
      <c r="L25" s="7">
        <f t="shared" si="2"/>
        <v>161.85000000000002</v>
      </c>
      <c r="M25" s="2"/>
      <c r="N25" s="6">
        <f t="shared" si="3"/>
        <v>0.36338938907474355</v>
      </c>
      <c r="O25" s="11"/>
      <c r="P25" s="7">
        <v>1436.46</v>
      </c>
      <c r="Q25" s="2"/>
      <c r="R25" s="6">
        <f t="shared" si="4"/>
        <v>0</v>
      </c>
      <c r="S25" s="2"/>
      <c r="T25" s="7">
        <v>881.11</v>
      </c>
      <c r="U25" s="2"/>
      <c r="V25" s="6">
        <f t="shared" si="5"/>
        <v>0</v>
      </c>
      <c r="W25" s="2"/>
      <c r="X25" s="7">
        <f t="shared" si="6"/>
        <v>555.35</v>
      </c>
      <c r="Y25" s="2"/>
      <c r="Z25" s="6">
        <f t="shared" si="7"/>
        <v>0.63028452747103092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1011.14</v>
      </c>
      <c r="E26" s="2"/>
      <c r="F26" s="6">
        <f t="shared" si="0"/>
        <v>0</v>
      </c>
      <c r="G26" s="2"/>
      <c r="H26" s="7">
        <v>1171.02</v>
      </c>
      <c r="I26" s="2"/>
      <c r="J26" s="6">
        <f t="shared" si="1"/>
        <v>0</v>
      </c>
      <c r="K26" s="2"/>
      <c r="L26" s="7">
        <f t="shared" si="2"/>
        <v>-159.88</v>
      </c>
      <c r="M26" s="2"/>
      <c r="N26" s="6">
        <f t="shared" si="3"/>
        <v>-0.13653054601970932</v>
      </c>
      <c r="O26" s="11"/>
      <c r="P26" s="7">
        <v>1946.83</v>
      </c>
      <c r="Q26" s="2"/>
      <c r="R26" s="6">
        <f t="shared" si="4"/>
        <v>0</v>
      </c>
      <c r="S26" s="2"/>
      <c r="T26" s="7">
        <v>5632.45</v>
      </c>
      <c r="U26" s="2"/>
      <c r="V26" s="6">
        <f t="shared" si="5"/>
        <v>0</v>
      </c>
      <c r="W26" s="2"/>
      <c r="X26" s="7">
        <f t="shared" si="6"/>
        <v>-3685.62</v>
      </c>
      <c r="Y26" s="2"/>
      <c r="Z26" s="6">
        <f t="shared" si="7"/>
        <v>-0.65435467691679461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908.12</v>
      </c>
      <c r="E27" s="2"/>
      <c r="F27" s="6">
        <f t="shared" si="0"/>
        <v>0</v>
      </c>
      <c r="G27" s="2"/>
      <c r="H27" s="7">
        <v>822.34</v>
      </c>
      <c r="I27" s="2"/>
      <c r="J27" s="6">
        <f t="shared" si="1"/>
        <v>0</v>
      </c>
      <c r="K27" s="2"/>
      <c r="L27" s="7">
        <f t="shared" si="2"/>
        <v>85.779999999999973</v>
      </c>
      <c r="M27" s="2"/>
      <c r="N27" s="6">
        <f t="shared" si="3"/>
        <v>0.10431208502565845</v>
      </c>
      <c r="O27" s="11"/>
      <c r="P27" s="7">
        <v>1816.24</v>
      </c>
      <c r="Q27" s="2"/>
      <c r="R27" s="6">
        <f t="shared" si="4"/>
        <v>0</v>
      </c>
      <c r="S27" s="2"/>
      <c r="T27" s="7">
        <v>2925.03</v>
      </c>
      <c r="U27" s="2"/>
      <c r="V27" s="6">
        <f t="shared" si="5"/>
        <v>0</v>
      </c>
      <c r="W27" s="2"/>
      <c r="X27" s="7">
        <f t="shared" si="6"/>
        <v>-1108.7900000000002</v>
      </c>
      <c r="Y27" s="2"/>
      <c r="Z27" s="6">
        <f t="shared" si="7"/>
        <v>-0.37906961638000297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54.7</v>
      </c>
      <c r="E28" s="2"/>
      <c r="F28" s="6">
        <f t="shared" si="0"/>
        <v>0</v>
      </c>
      <c r="G28" s="2"/>
      <c r="H28" s="7">
        <v>430.96</v>
      </c>
      <c r="I28" s="2"/>
      <c r="J28" s="6">
        <f t="shared" si="1"/>
        <v>0</v>
      </c>
      <c r="K28" s="2"/>
      <c r="L28" s="7">
        <f t="shared" si="2"/>
        <v>-376.26</v>
      </c>
      <c r="M28" s="2"/>
      <c r="N28" s="6">
        <f t="shared" si="3"/>
        <v>-0.87307406719881198</v>
      </c>
      <c r="O28" s="11"/>
      <c r="P28" s="7">
        <v>62.7</v>
      </c>
      <c r="Q28" s="2"/>
      <c r="R28" s="6">
        <f t="shared" si="4"/>
        <v>0</v>
      </c>
      <c r="S28" s="2"/>
      <c r="T28" s="7">
        <v>790.17</v>
      </c>
      <c r="U28" s="2"/>
      <c r="V28" s="6">
        <f t="shared" si="5"/>
        <v>0</v>
      </c>
      <c r="W28" s="2"/>
      <c r="X28" s="7">
        <f t="shared" si="6"/>
        <v>-727.46999999999991</v>
      </c>
      <c r="Y28" s="2"/>
      <c r="Z28" s="6">
        <f t="shared" si="7"/>
        <v>-0.92064998671172016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25084.33</v>
      </c>
      <c r="E29" s="1"/>
      <c r="F29" s="5">
        <f t="shared" ref="F29:F33" si="8">IF(D$12=0,0,D29/D$12)</f>
        <v>0</v>
      </c>
      <c r="G29" s="1"/>
      <c r="H29" s="1">
        <f>SUM(OSRRefH22_1x_0)</f>
        <v>21238.840000000004</v>
      </c>
      <c r="I29" s="1"/>
      <c r="J29" s="5">
        <f t="shared" ref="J29:J33" si="9">IF(H$12=0,0,H29/H$12)</f>
        <v>0</v>
      </c>
      <c r="K29" s="1"/>
      <c r="L29" s="1">
        <f t="shared" ref="L29:L33" si="10">+D29-H29</f>
        <v>3845.489999999998</v>
      </c>
      <c r="M29" s="1"/>
      <c r="N29" s="5">
        <f t="shared" ref="N29:N33" si="11">IF(H29=0,0,L29/H29)</f>
        <v>0.18105932339054287</v>
      </c>
      <c r="O29" s="14"/>
      <c r="P29" s="1">
        <f>SUM(OSRRefP22_1x_0)</f>
        <v>56535.33</v>
      </c>
      <c r="Q29" s="1"/>
      <c r="R29" s="5">
        <f t="shared" ref="R29:R33" si="12">IF(P$12=0,0,P29/P$12)</f>
        <v>0</v>
      </c>
      <c r="S29" s="1"/>
      <c r="T29" s="1">
        <f>SUM(OSRRefT22_1x_0)</f>
        <v>49569.789999999994</v>
      </c>
      <c r="U29" s="1"/>
      <c r="V29" s="5">
        <f t="shared" ref="V29:V33" si="13">IF(T$12=0,0,T29/T$12)</f>
        <v>0</v>
      </c>
      <c r="W29" s="1"/>
      <c r="X29" s="1">
        <f t="shared" ref="X29:X33" si="14">+P29-T29</f>
        <v>6965.5400000000081</v>
      </c>
      <c r="Y29" s="1"/>
      <c r="Z29" s="5">
        <f t="shared" ref="Z29:Z33" si="15">IF(T29=0,0,X29/T29)</f>
        <v>0.14051986098791239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9399.9500000000007</v>
      </c>
      <c r="E30" s="2"/>
      <c r="F30" s="6">
        <f t="shared" si="8"/>
        <v>0</v>
      </c>
      <c r="G30" s="2"/>
      <c r="H30" s="7">
        <v>7645.89</v>
      </c>
      <c r="I30" s="2"/>
      <c r="J30" s="6">
        <f t="shared" si="9"/>
        <v>0</v>
      </c>
      <c r="K30" s="2"/>
      <c r="L30" s="7">
        <f t="shared" si="10"/>
        <v>1754.0600000000004</v>
      </c>
      <c r="M30" s="2"/>
      <c r="N30" s="6">
        <f t="shared" si="11"/>
        <v>0.22941214168657936</v>
      </c>
      <c r="O30" s="11"/>
      <c r="P30" s="7">
        <v>21273.9</v>
      </c>
      <c r="Q30" s="2"/>
      <c r="R30" s="6">
        <f t="shared" si="12"/>
        <v>0</v>
      </c>
      <c r="S30" s="2"/>
      <c r="T30" s="7">
        <v>18890.05</v>
      </c>
      <c r="U30" s="2"/>
      <c r="V30" s="6">
        <f t="shared" si="13"/>
        <v>0</v>
      </c>
      <c r="W30" s="2"/>
      <c r="X30" s="7">
        <f t="shared" si="14"/>
        <v>2383.8500000000022</v>
      </c>
      <c r="Y30" s="2"/>
      <c r="Z30" s="6">
        <f t="shared" si="15"/>
        <v>0.12619606618299065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>
        <v>9487.64</v>
      </c>
      <c r="E31" s="2"/>
      <c r="F31" s="6">
        <f t="shared" si="8"/>
        <v>0</v>
      </c>
      <c r="G31" s="2"/>
      <c r="H31" s="7">
        <v>8524.35</v>
      </c>
      <c r="I31" s="2"/>
      <c r="J31" s="6">
        <f t="shared" si="9"/>
        <v>0</v>
      </c>
      <c r="K31" s="2"/>
      <c r="L31" s="7">
        <f t="shared" si="10"/>
        <v>963.28999999999905</v>
      </c>
      <c r="M31" s="2"/>
      <c r="N31" s="6">
        <f t="shared" si="11"/>
        <v>0.11300451060784682</v>
      </c>
      <c r="O31" s="11"/>
      <c r="P31" s="7">
        <v>19241.350000000002</v>
      </c>
      <c r="Q31" s="2"/>
      <c r="R31" s="6">
        <f t="shared" si="12"/>
        <v>0</v>
      </c>
      <c r="S31" s="2"/>
      <c r="T31" s="7">
        <v>17161.21</v>
      </c>
      <c r="U31" s="2"/>
      <c r="V31" s="6">
        <f t="shared" si="13"/>
        <v>0</v>
      </c>
      <c r="W31" s="2"/>
      <c r="X31" s="7">
        <f t="shared" si="14"/>
        <v>2080.1400000000031</v>
      </c>
      <c r="Y31" s="2"/>
      <c r="Z31" s="6">
        <f t="shared" si="15"/>
        <v>0.12121173273912522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>
        <v>5756.74</v>
      </c>
      <c r="E32" s="2"/>
      <c r="F32" s="6">
        <f t="shared" si="8"/>
        <v>0</v>
      </c>
      <c r="G32" s="2"/>
      <c r="H32" s="7">
        <v>5350.6</v>
      </c>
      <c r="I32" s="2"/>
      <c r="J32" s="6">
        <f t="shared" si="9"/>
        <v>0</v>
      </c>
      <c r="K32" s="2"/>
      <c r="L32" s="7">
        <f t="shared" si="10"/>
        <v>406.13999999999942</v>
      </c>
      <c r="M32" s="2"/>
      <c r="N32" s="6">
        <f t="shared" si="11"/>
        <v>7.59055059245691E-2</v>
      </c>
      <c r="O32" s="11"/>
      <c r="P32" s="7">
        <v>11640.08</v>
      </c>
      <c r="Q32" s="2"/>
      <c r="R32" s="6">
        <f t="shared" si="12"/>
        <v>0</v>
      </c>
      <c r="S32" s="2"/>
      <c r="T32" s="7">
        <v>10514.53</v>
      </c>
      <c r="U32" s="2"/>
      <c r="V32" s="6">
        <f t="shared" si="13"/>
        <v>0</v>
      </c>
      <c r="W32" s="2"/>
      <c r="X32" s="7">
        <f t="shared" si="14"/>
        <v>1125.5499999999993</v>
      </c>
      <c r="Y32" s="2"/>
      <c r="Z32" s="6">
        <f t="shared" si="15"/>
        <v>0.10704710529143949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440</v>
      </c>
      <c r="E33" s="2"/>
      <c r="F33" s="6">
        <f t="shared" si="8"/>
        <v>0</v>
      </c>
      <c r="G33" s="2"/>
      <c r="H33" s="7">
        <v>-282</v>
      </c>
      <c r="I33" s="2"/>
      <c r="J33" s="6">
        <f t="shared" si="9"/>
        <v>0</v>
      </c>
      <c r="K33" s="2"/>
      <c r="L33" s="7">
        <f t="shared" si="10"/>
        <v>722</v>
      </c>
      <c r="M33" s="2"/>
      <c r="N33" s="6">
        <f t="shared" si="11"/>
        <v>-2.5602836879432624</v>
      </c>
      <c r="O33" s="11"/>
      <c r="P33" s="7">
        <v>4380</v>
      </c>
      <c r="Q33" s="2"/>
      <c r="R33" s="6">
        <f t="shared" si="12"/>
        <v>0</v>
      </c>
      <c r="S33" s="2"/>
      <c r="T33" s="7">
        <v>3004</v>
      </c>
      <c r="U33" s="2"/>
      <c r="V33" s="6">
        <f t="shared" si="13"/>
        <v>0</v>
      </c>
      <c r="W33" s="2"/>
      <c r="X33" s="7">
        <f t="shared" si="14"/>
        <v>1376</v>
      </c>
      <c r="Y33" s="2"/>
      <c r="Z33" s="6">
        <f t="shared" si="15"/>
        <v>0.45805592543275631</v>
      </c>
    </row>
    <row r="34" spans="1:26" s="28" customFormat="1" outlineLevel="1" collapsed="1" x14ac:dyDescent="0.25">
      <c r="A34" s="27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0</v>
      </c>
      <c r="E34" s="1"/>
      <c r="F34" s="5">
        <f t="shared" ref="F34:F50" si="16">IF(D$12=0,0,D34/D$12)</f>
        <v>0</v>
      </c>
      <c r="G34" s="1"/>
      <c r="H34" s="1">
        <f>SUM(OSRRefH22_2x_0)</f>
        <v>0</v>
      </c>
      <c r="I34" s="1"/>
      <c r="J34" s="5">
        <f t="shared" ref="J34:J50" si="17">IF(H$12=0,0,H34/H$12)</f>
        <v>0</v>
      </c>
      <c r="K34" s="1"/>
      <c r="L34" s="1">
        <f t="shared" ref="L34:L50" si="18">+D34-H34</f>
        <v>0</v>
      </c>
      <c r="M34" s="1"/>
      <c r="N34" s="5">
        <f t="shared" ref="N34:N50" si="19">IF(H34=0,0,L34/H34)</f>
        <v>0</v>
      </c>
      <c r="O34" s="14"/>
      <c r="P34" s="1">
        <f>SUM(OSRRefP22_2x_0)</f>
        <v>0</v>
      </c>
      <c r="Q34" s="1"/>
      <c r="R34" s="5">
        <f t="shared" ref="R34:R50" si="20">IF(P$12=0,0,P34/P$12)</f>
        <v>0</v>
      </c>
      <c r="S34" s="1"/>
      <c r="T34" s="1">
        <f>SUM(OSRRefT22_2x_0)</f>
        <v>588.74</v>
      </c>
      <c r="U34" s="1"/>
      <c r="V34" s="5">
        <f t="shared" ref="V34:V50" si="21">IF(T$12=0,0,T34/T$12)</f>
        <v>0</v>
      </c>
      <c r="W34" s="1"/>
      <c r="X34" s="1">
        <f t="shared" ref="X34:X50" si="22">+P34-T34</f>
        <v>-588.74</v>
      </c>
      <c r="Y34" s="1"/>
      <c r="Z34" s="5">
        <f t="shared" ref="Z34:Z50" si="23">IF(T34=0,0,X34/T34)</f>
        <v>-1</v>
      </c>
    </row>
    <row r="35" spans="1:26" s="24" customFormat="1" hidden="1" outlineLevel="2" x14ac:dyDescent="0.25">
      <c r="A35" s="29"/>
      <c r="B35" s="11" t="str">
        <f>CONCATENATE("          ", "6362", " - ", "ADVERTISING EXPENSE")</f>
        <v xml:space="preserve">          6362 - ADVERTISING EXPENSE</v>
      </c>
      <c r="C35" s="11"/>
      <c r="D35" s="7"/>
      <c r="E35" s="2"/>
      <c r="F35" s="6">
        <f t="shared" si="16"/>
        <v>0</v>
      </c>
      <c r="G35" s="2"/>
      <c r="H35" s="7"/>
      <c r="I35" s="2"/>
      <c r="J35" s="6">
        <f t="shared" si="17"/>
        <v>0</v>
      </c>
      <c r="K35" s="2"/>
      <c r="L35" s="7">
        <f t="shared" si="18"/>
        <v>0</v>
      </c>
      <c r="M35" s="2"/>
      <c r="N35" s="6">
        <f t="shared" si="19"/>
        <v>0</v>
      </c>
      <c r="O35" s="11"/>
      <c r="P35" s="7"/>
      <c r="Q35" s="2"/>
      <c r="R35" s="6">
        <f t="shared" si="20"/>
        <v>0</v>
      </c>
      <c r="S35" s="2"/>
      <c r="T35" s="7">
        <v>588.74</v>
      </c>
      <c r="U35" s="2"/>
      <c r="V35" s="6">
        <f t="shared" si="21"/>
        <v>0</v>
      </c>
      <c r="W35" s="2"/>
      <c r="X35" s="7">
        <f t="shared" si="22"/>
        <v>-588.74</v>
      </c>
      <c r="Y35" s="2"/>
      <c r="Z35" s="6">
        <f t="shared" si="23"/>
        <v>-1</v>
      </c>
    </row>
    <row r="36" spans="1:26" s="28" customFormat="1" outlineLevel="1" collapsed="1" x14ac:dyDescent="0.25">
      <c r="A36" s="27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0</v>
      </c>
      <c r="E36" s="1"/>
      <c r="F36" s="5">
        <f t="shared" si="16"/>
        <v>0</v>
      </c>
      <c r="G36" s="1"/>
      <c r="H36" s="1">
        <f>SUM(OSRRefH22_3x_0)</f>
        <v>224.18</v>
      </c>
      <c r="I36" s="1"/>
      <c r="J36" s="5">
        <f t="shared" si="17"/>
        <v>0</v>
      </c>
      <c r="K36" s="1"/>
      <c r="L36" s="1">
        <f t="shared" si="18"/>
        <v>-224.18</v>
      </c>
      <c r="M36" s="1"/>
      <c r="N36" s="5">
        <f t="shared" si="19"/>
        <v>-1</v>
      </c>
      <c r="O36" s="14"/>
      <c r="P36" s="1">
        <f>SUM(OSRRefP22_3x_0)</f>
        <v>0</v>
      </c>
      <c r="Q36" s="1"/>
      <c r="R36" s="5">
        <f t="shared" si="20"/>
        <v>0</v>
      </c>
      <c r="S36" s="1"/>
      <c r="T36" s="1">
        <f>SUM(OSRRefT22_3x_0)</f>
        <v>448.36</v>
      </c>
      <c r="U36" s="1"/>
      <c r="V36" s="5">
        <f t="shared" si="21"/>
        <v>0</v>
      </c>
      <c r="W36" s="1"/>
      <c r="X36" s="1">
        <f t="shared" si="22"/>
        <v>-448.36</v>
      </c>
      <c r="Y36" s="1"/>
      <c r="Z36" s="5">
        <f t="shared" si="23"/>
        <v>-1</v>
      </c>
    </row>
    <row r="37" spans="1:26" s="24" customFormat="1" hidden="1" outlineLevel="2" x14ac:dyDescent="0.25">
      <c r="A37" s="29"/>
      <c r="B37" s="11" t="str">
        <f>CONCATENATE("          ", "6322", " - ", "EQUIPMENT DEPRECIATION EXPENSE")</f>
        <v xml:space="preserve">          6322 - EQUIPMENT DEPRECIATION EXPENSE</v>
      </c>
      <c r="C37" s="11"/>
      <c r="D37" s="7"/>
      <c r="E37" s="2"/>
      <c r="F37" s="6">
        <f t="shared" si="16"/>
        <v>0</v>
      </c>
      <c r="G37" s="2"/>
      <c r="H37" s="7">
        <v>224.18</v>
      </c>
      <c r="I37" s="2"/>
      <c r="J37" s="6">
        <f t="shared" si="17"/>
        <v>0</v>
      </c>
      <c r="K37" s="2"/>
      <c r="L37" s="7">
        <f t="shared" si="18"/>
        <v>-224.18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448.36</v>
      </c>
      <c r="U37" s="2"/>
      <c r="V37" s="6">
        <f t="shared" si="21"/>
        <v>0</v>
      </c>
      <c r="W37" s="2"/>
      <c r="X37" s="7">
        <f t="shared" si="22"/>
        <v>-448.36</v>
      </c>
      <c r="Y37" s="2"/>
      <c r="Z37" s="6">
        <f t="shared" si="23"/>
        <v>-1</v>
      </c>
    </row>
    <row r="38" spans="1:26" s="28" customFormat="1" outlineLevel="1" collapsed="1" x14ac:dyDescent="0.25">
      <c r="A38" s="27"/>
      <c r="B38" s="14" t="str">
        <f>CONCATENATE("     ","Employees' Appreciation                           ")</f>
        <v xml:space="preserve">     Employees' Appreciation                           </v>
      </c>
      <c r="C38" s="14"/>
      <c r="D38" s="1">
        <f>SUM(OSRRefD22_4x_0)</f>
        <v>81.56</v>
      </c>
      <c r="E38" s="1"/>
      <c r="F38" s="5">
        <f t="shared" si="16"/>
        <v>0</v>
      </c>
      <c r="G38" s="1"/>
      <c r="H38" s="1">
        <f>SUM(OSRRefH22_4x_0)</f>
        <v>5979.54</v>
      </c>
      <c r="I38" s="1"/>
      <c r="J38" s="5">
        <f t="shared" si="17"/>
        <v>0</v>
      </c>
      <c r="K38" s="1"/>
      <c r="L38" s="1">
        <f t="shared" si="18"/>
        <v>-5897.98</v>
      </c>
      <c r="M38" s="1"/>
      <c r="N38" s="5">
        <f t="shared" si="19"/>
        <v>-0.98636015479451589</v>
      </c>
      <c r="O38" s="14"/>
      <c r="P38" s="1">
        <f>SUM(OSRRefP22_4x_0)</f>
        <v>81.56</v>
      </c>
      <c r="Q38" s="1"/>
      <c r="R38" s="5">
        <f t="shared" si="20"/>
        <v>0</v>
      </c>
      <c r="S38" s="1"/>
      <c r="T38" s="1">
        <f>SUM(OSRRefT22_4x_0)</f>
        <v>11127.12</v>
      </c>
      <c r="U38" s="1"/>
      <c r="V38" s="5">
        <f t="shared" si="21"/>
        <v>0</v>
      </c>
      <c r="W38" s="1"/>
      <c r="X38" s="1">
        <f t="shared" si="22"/>
        <v>-11045.560000000001</v>
      </c>
      <c r="Y38" s="1"/>
      <c r="Z38" s="5">
        <f t="shared" si="23"/>
        <v>-0.99267016083227289</v>
      </c>
    </row>
    <row r="39" spans="1:26" s="24" customFormat="1" hidden="1" outlineLevel="2" x14ac:dyDescent="0.25">
      <c r="A39" s="29"/>
      <c r="B39" s="11" t="str">
        <f>CONCATENATE("          ", "6277", " - ", "EMPLOYEE APPRECIATION")</f>
        <v xml:space="preserve">          6277 - EMPLOYEE APPRECIATION</v>
      </c>
      <c r="C39" s="11"/>
      <c r="D39" s="7">
        <v>81.56</v>
      </c>
      <c r="E39" s="2"/>
      <c r="F39" s="6">
        <f t="shared" si="16"/>
        <v>0</v>
      </c>
      <c r="G39" s="2"/>
      <c r="H39" s="7">
        <v>5979.54</v>
      </c>
      <c r="I39" s="2"/>
      <c r="J39" s="6">
        <f t="shared" si="17"/>
        <v>0</v>
      </c>
      <c r="K39" s="2"/>
      <c r="L39" s="7">
        <f t="shared" si="18"/>
        <v>-5897.98</v>
      </c>
      <c r="M39" s="2"/>
      <c r="N39" s="6">
        <f t="shared" si="19"/>
        <v>-0.98636015479451589</v>
      </c>
      <c r="O39" s="11"/>
      <c r="P39" s="7">
        <v>81.56</v>
      </c>
      <c r="Q39" s="2"/>
      <c r="R39" s="6">
        <f t="shared" si="20"/>
        <v>0</v>
      </c>
      <c r="S39" s="2"/>
      <c r="T39" s="7">
        <v>11127.12</v>
      </c>
      <c r="U39" s="2"/>
      <c r="V39" s="6">
        <f t="shared" si="21"/>
        <v>0</v>
      </c>
      <c r="W39" s="2"/>
      <c r="X39" s="7">
        <f t="shared" si="22"/>
        <v>-11045.560000000001</v>
      </c>
      <c r="Y39" s="2"/>
      <c r="Z39" s="6">
        <f t="shared" si="23"/>
        <v>-0.99267016083227289</v>
      </c>
    </row>
    <row r="40" spans="1:26" s="28" customFormat="1" outlineLevel="1" collapsed="1" x14ac:dyDescent="0.25">
      <c r="A40" s="27"/>
      <c r="B40" s="14" t="str">
        <f>CONCATENATE("     ","Equipment Rental                                  ")</f>
        <v xml:space="preserve">     Equipment Rental                                  </v>
      </c>
      <c r="C40" s="14"/>
      <c r="D40" s="1">
        <f>SUM(OSRRefD22_5x_0)</f>
        <v>0</v>
      </c>
      <c r="E40" s="1"/>
      <c r="F40" s="5">
        <f t="shared" si="16"/>
        <v>0</v>
      </c>
      <c r="G40" s="1"/>
      <c r="H40" s="1">
        <f>SUM(OSRRefH22_5x_0)</f>
        <v>91.26</v>
      </c>
      <c r="I40" s="1"/>
      <c r="J40" s="5">
        <f t="shared" si="17"/>
        <v>0</v>
      </c>
      <c r="K40" s="1"/>
      <c r="L40" s="1">
        <f t="shared" si="18"/>
        <v>-91.26</v>
      </c>
      <c r="M40" s="1"/>
      <c r="N40" s="5">
        <f t="shared" si="19"/>
        <v>-1</v>
      </c>
      <c r="O40" s="14"/>
      <c r="P40" s="1">
        <f>SUM(OSRRefP22_5x_0)</f>
        <v>0</v>
      </c>
      <c r="Q40" s="1"/>
      <c r="R40" s="5">
        <f t="shared" si="20"/>
        <v>0</v>
      </c>
      <c r="S40" s="1"/>
      <c r="T40" s="1">
        <f>SUM(OSRRefT22_5x_0)</f>
        <v>182.52</v>
      </c>
      <c r="U40" s="1"/>
      <c r="V40" s="5">
        <f t="shared" si="21"/>
        <v>0</v>
      </c>
      <c r="W40" s="1"/>
      <c r="X40" s="1">
        <f t="shared" si="22"/>
        <v>-182.52</v>
      </c>
      <c r="Y40" s="1"/>
      <c r="Z40" s="5">
        <f t="shared" si="23"/>
        <v>-1</v>
      </c>
    </row>
    <row r="41" spans="1:26" s="24" customFormat="1" hidden="1" outlineLevel="2" x14ac:dyDescent="0.25">
      <c r="A41" s="29"/>
      <c r="B41" s="11" t="str">
        <f>CONCATENATE("          ", "6351", " - ", "EQUIPMENT RENTAL")</f>
        <v xml:space="preserve">          6351 - EQUIPMENT RENTAL</v>
      </c>
      <c r="C41" s="11"/>
      <c r="D41" s="7"/>
      <c r="E41" s="2"/>
      <c r="F41" s="6">
        <f t="shared" si="16"/>
        <v>0</v>
      </c>
      <c r="G41" s="2"/>
      <c r="H41" s="7">
        <v>91.26</v>
      </c>
      <c r="I41" s="2"/>
      <c r="J41" s="6">
        <f t="shared" si="17"/>
        <v>0</v>
      </c>
      <c r="K41" s="2"/>
      <c r="L41" s="7">
        <f t="shared" si="18"/>
        <v>-91.26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182.52</v>
      </c>
      <c r="U41" s="2"/>
      <c r="V41" s="6">
        <f t="shared" si="21"/>
        <v>0</v>
      </c>
      <c r="W41" s="2"/>
      <c r="X41" s="7">
        <f t="shared" si="22"/>
        <v>-182.52</v>
      </c>
      <c r="Y41" s="2"/>
      <c r="Z41" s="6">
        <f t="shared" si="23"/>
        <v>-1</v>
      </c>
    </row>
    <row r="42" spans="1:26" s="28" customFormat="1" outlineLevel="1" collapsed="1" x14ac:dyDescent="0.25">
      <c r="A42" s="27"/>
      <c r="B42" s="14" t="str">
        <f>CONCATENATE("     ","Freight out/Postage                               ")</f>
        <v xml:space="preserve">     Freight out/Postage                               </v>
      </c>
      <c r="C42" s="14"/>
      <c r="D42" s="1">
        <f>SUM(OSRRefD22_6x_0)</f>
        <v>36.15</v>
      </c>
      <c r="E42" s="1"/>
      <c r="F42" s="5">
        <f t="shared" si="16"/>
        <v>0</v>
      </c>
      <c r="G42" s="1"/>
      <c r="H42" s="1">
        <f>SUM(OSRRefH22_6x_0)</f>
        <v>117.05</v>
      </c>
      <c r="I42" s="1"/>
      <c r="J42" s="5">
        <f t="shared" si="17"/>
        <v>0</v>
      </c>
      <c r="K42" s="1"/>
      <c r="L42" s="1">
        <f t="shared" si="18"/>
        <v>-80.900000000000006</v>
      </c>
      <c r="M42" s="1"/>
      <c r="N42" s="5">
        <f t="shared" si="19"/>
        <v>-0.69115762494660404</v>
      </c>
      <c r="O42" s="14"/>
      <c r="P42" s="1">
        <f>SUM(OSRRefP22_6x_0)</f>
        <v>39.65</v>
      </c>
      <c r="Q42" s="1"/>
      <c r="R42" s="5">
        <f t="shared" si="20"/>
        <v>0</v>
      </c>
      <c r="S42" s="1"/>
      <c r="T42" s="1">
        <f>SUM(OSRRefT22_6x_0)</f>
        <v>154.69999999999999</v>
      </c>
      <c r="U42" s="1"/>
      <c r="V42" s="5">
        <f t="shared" si="21"/>
        <v>0</v>
      </c>
      <c r="W42" s="1"/>
      <c r="X42" s="1">
        <f t="shared" si="22"/>
        <v>-115.04999999999998</v>
      </c>
      <c r="Y42" s="1"/>
      <c r="Z42" s="5">
        <f t="shared" si="23"/>
        <v>-0.74369747899159655</v>
      </c>
    </row>
    <row r="43" spans="1:26" s="24" customFormat="1" hidden="1" outlineLevel="2" x14ac:dyDescent="0.25">
      <c r="A43" s="29"/>
      <c r="B43" s="11" t="str">
        <f>CONCATENATE("          ", "6307", " - ", "POSTAGE")</f>
        <v xml:space="preserve">          6307 - POSTAGE</v>
      </c>
      <c r="C43" s="11"/>
      <c r="D43" s="7">
        <v>36.15</v>
      </c>
      <c r="E43" s="2"/>
      <c r="F43" s="6">
        <f t="shared" si="16"/>
        <v>0</v>
      </c>
      <c r="G43" s="2"/>
      <c r="H43" s="7">
        <v>117.05</v>
      </c>
      <c r="I43" s="2"/>
      <c r="J43" s="6">
        <f t="shared" si="17"/>
        <v>0</v>
      </c>
      <c r="K43" s="2"/>
      <c r="L43" s="7">
        <f t="shared" si="18"/>
        <v>-80.900000000000006</v>
      </c>
      <c r="M43" s="2"/>
      <c r="N43" s="6">
        <f t="shared" si="19"/>
        <v>-0.69115762494660404</v>
      </c>
      <c r="O43" s="11"/>
      <c r="P43" s="7">
        <v>39.65</v>
      </c>
      <c r="Q43" s="2"/>
      <c r="R43" s="6">
        <f t="shared" si="20"/>
        <v>0</v>
      </c>
      <c r="S43" s="2"/>
      <c r="T43" s="7">
        <v>154.69999999999999</v>
      </c>
      <c r="U43" s="2"/>
      <c r="V43" s="6">
        <f t="shared" si="21"/>
        <v>0</v>
      </c>
      <c r="W43" s="2"/>
      <c r="X43" s="7">
        <f t="shared" si="22"/>
        <v>-115.04999999999998</v>
      </c>
      <c r="Y43" s="2"/>
      <c r="Z43" s="6">
        <f t="shared" si="23"/>
        <v>-0.74369747899159655</v>
      </c>
    </row>
    <row r="44" spans="1:26" s="28" customFormat="1" outlineLevel="1" collapsed="1" x14ac:dyDescent="0.25">
      <c r="A44" s="27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SUM(OSRRefD22_7x_0)</f>
        <v>-684</v>
      </c>
      <c r="E44" s="1"/>
      <c r="F44" s="5">
        <f t="shared" si="16"/>
        <v>0</v>
      </c>
      <c r="G44" s="1"/>
      <c r="H44" s="1">
        <f>SUM(OSRRefH22_7x_0)</f>
        <v>0</v>
      </c>
      <c r="I44" s="1"/>
      <c r="J44" s="5">
        <f t="shared" si="17"/>
        <v>0</v>
      </c>
      <c r="K44" s="1"/>
      <c r="L44" s="1">
        <f t="shared" si="18"/>
        <v>-684</v>
      </c>
      <c r="M44" s="1"/>
      <c r="N44" s="5">
        <f t="shared" si="19"/>
        <v>0</v>
      </c>
      <c r="O44" s="14"/>
      <c r="P44" s="1">
        <f>SUM(OSRRefP22_7x_0)</f>
        <v>-684</v>
      </c>
      <c r="Q44" s="1"/>
      <c r="R44" s="5">
        <f t="shared" si="20"/>
        <v>0</v>
      </c>
      <c r="S44" s="1"/>
      <c r="T44" s="1">
        <f>SUM(OSRRefT22_7x_0)</f>
        <v>0</v>
      </c>
      <c r="U44" s="1"/>
      <c r="V44" s="5">
        <f t="shared" si="21"/>
        <v>0</v>
      </c>
      <c r="W44" s="1"/>
      <c r="X44" s="1">
        <f t="shared" si="22"/>
        <v>-684</v>
      </c>
      <c r="Y44" s="1"/>
      <c r="Z44" s="5">
        <f t="shared" si="23"/>
        <v>0</v>
      </c>
    </row>
    <row r="45" spans="1:26" s="24" customFormat="1" hidden="1" outlineLevel="2" x14ac:dyDescent="0.25">
      <c r="A45" s="29"/>
      <c r="B45" s="11" t="str">
        <f>CONCATENATE("          ", "6279", " - ", "GENERAL EXPENSE")</f>
        <v xml:space="preserve">          6279 - GENERAL EXPENSE</v>
      </c>
      <c r="C45" s="11"/>
      <c r="D45" s="7">
        <v>-684</v>
      </c>
      <c r="E45" s="2"/>
      <c r="F45" s="6">
        <f t="shared" si="16"/>
        <v>0</v>
      </c>
      <c r="G45" s="2"/>
      <c r="H45" s="7"/>
      <c r="I45" s="2"/>
      <c r="J45" s="6">
        <f t="shared" si="17"/>
        <v>0</v>
      </c>
      <c r="K45" s="2"/>
      <c r="L45" s="7">
        <f t="shared" si="18"/>
        <v>-684</v>
      </c>
      <c r="M45" s="2"/>
      <c r="N45" s="6">
        <f t="shared" si="19"/>
        <v>0</v>
      </c>
      <c r="O45" s="11"/>
      <c r="P45" s="7">
        <v>-684</v>
      </c>
      <c r="Q45" s="2"/>
      <c r="R45" s="6">
        <f t="shared" si="20"/>
        <v>0</v>
      </c>
      <c r="S45" s="2"/>
      <c r="T45" s="7"/>
      <c r="U45" s="2"/>
      <c r="V45" s="6">
        <f t="shared" si="21"/>
        <v>0</v>
      </c>
      <c r="W45" s="2"/>
      <c r="X45" s="7">
        <f t="shared" si="22"/>
        <v>-684</v>
      </c>
      <c r="Y45" s="2"/>
      <c r="Z45" s="6">
        <f t="shared" si="23"/>
        <v>0</v>
      </c>
    </row>
    <row r="46" spans="1:26" s="28" customFormat="1" outlineLevel="1" collapsed="1" x14ac:dyDescent="0.25">
      <c r="A46" s="27"/>
      <c r="B46" s="14" t="str">
        <f>CONCATENATE("     ","Insurance                                         ")</f>
        <v xml:space="preserve">     Insurance                                         </v>
      </c>
      <c r="C46" s="14"/>
      <c r="D46" s="1">
        <f>SUM(OSRRefD22_8x_0)</f>
        <v>65.47</v>
      </c>
      <c r="E46" s="1"/>
      <c r="F46" s="5">
        <f t="shared" si="16"/>
        <v>0</v>
      </c>
      <c r="G46" s="1"/>
      <c r="H46" s="1">
        <f>SUM(OSRRefH22_8x_0)</f>
        <v>65.47</v>
      </c>
      <c r="I46" s="1"/>
      <c r="J46" s="5">
        <f t="shared" si="17"/>
        <v>0</v>
      </c>
      <c r="K46" s="1"/>
      <c r="L46" s="1">
        <f t="shared" si="18"/>
        <v>0</v>
      </c>
      <c r="M46" s="1"/>
      <c r="N46" s="5">
        <f t="shared" si="19"/>
        <v>0</v>
      </c>
      <c r="O46" s="14"/>
      <c r="P46" s="1">
        <f>SUM(OSRRefP22_8x_0)</f>
        <v>130.94</v>
      </c>
      <c r="Q46" s="1"/>
      <c r="R46" s="5">
        <f t="shared" si="20"/>
        <v>0</v>
      </c>
      <c r="S46" s="1"/>
      <c r="T46" s="1">
        <f>SUM(OSRRefT22_8x_0)</f>
        <v>130.94</v>
      </c>
      <c r="U46" s="1"/>
      <c r="V46" s="5">
        <f t="shared" si="21"/>
        <v>0</v>
      </c>
      <c r="W46" s="1"/>
      <c r="X46" s="1">
        <f t="shared" si="22"/>
        <v>0</v>
      </c>
      <c r="Y46" s="1"/>
      <c r="Z46" s="5">
        <f t="shared" si="23"/>
        <v>0</v>
      </c>
    </row>
    <row r="47" spans="1:26" s="24" customFormat="1" hidden="1" outlineLevel="2" x14ac:dyDescent="0.25">
      <c r="A47" s="29"/>
      <c r="B47" s="11" t="str">
        <f>CONCATENATE("          ", "6314", " - ", "LIABILITY INSURANCE")</f>
        <v xml:space="preserve">          6314 - LIABILITY INSURANCE</v>
      </c>
      <c r="C47" s="11"/>
      <c r="D47" s="7">
        <v>65.47</v>
      </c>
      <c r="E47" s="2"/>
      <c r="F47" s="6">
        <f t="shared" si="16"/>
        <v>0</v>
      </c>
      <c r="G47" s="2"/>
      <c r="H47" s="7">
        <v>65.47</v>
      </c>
      <c r="I47" s="2"/>
      <c r="J47" s="6">
        <f t="shared" si="17"/>
        <v>0</v>
      </c>
      <c r="K47" s="2"/>
      <c r="L47" s="7">
        <f t="shared" si="18"/>
        <v>0</v>
      </c>
      <c r="M47" s="2"/>
      <c r="N47" s="6">
        <f t="shared" si="19"/>
        <v>0</v>
      </c>
      <c r="O47" s="11"/>
      <c r="P47" s="7">
        <v>130.94</v>
      </c>
      <c r="Q47" s="2"/>
      <c r="R47" s="6">
        <f t="shared" si="20"/>
        <v>0</v>
      </c>
      <c r="S47" s="2"/>
      <c r="T47" s="7">
        <v>130.94</v>
      </c>
      <c r="U47" s="2"/>
      <c r="V47" s="6">
        <f t="shared" si="21"/>
        <v>0</v>
      </c>
      <c r="W47" s="2"/>
      <c r="X47" s="7">
        <f t="shared" si="22"/>
        <v>0</v>
      </c>
      <c r="Y47" s="2"/>
      <c r="Z47" s="6">
        <f t="shared" si="23"/>
        <v>0</v>
      </c>
    </row>
    <row r="48" spans="1:26" s="28" customFormat="1" outlineLevel="1" collapsed="1" x14ac:dyDescent="0.25">
      <c r="A48" s="27"/>
      <c r="B48" s="14" t="str">
        <f>CONCATENATE("     ","Professional Services                             ")</f>
        <v xml:space="preserve">     Professional Services                             </v>
      </c>
      <c r="C48" s="14"/>
      <c r="D48" s="1">
        <f>SUM(OSRRefD22_9x_0)</f>
        <v>347.09</v>
      </c>
      <c r="E48" s="1"/>
      <c r="F48" s="5">
        <f t="shared" si="16"/>
        <v>0</v>
      </c>
      <c r="G48" s="1"/>
      <c r="H48" s="1">
        <f>SUM(OSRRefH22_9x_0)</f>
        <v>8352</v>
      </c>
      <c r="I48" s="1"/>
      <c r="J48" s="5">
        <f t="shared" si="17"/>
        <v>0</v>
      </c>
      <c r="K48" s="1"/>
      <c r="L48" s="1">
        <f t="shared" si="18"/>
        <v>-8004.91</v>
      </c>
      <c r="M48" s="1"/>
      <c r="N48" s="5">
        <f t="shared" si="19"/>
        <v>-0.95844228927203068</v>
      </c>
      <c r="O48" s="14"/>
      <c r="P48" s="1">
        <f>SUM(OSRRefP22_9x_0)</f>
        <v>2002.09</v>
      </c>
      <c r="Q48" s="1"/>
      <c r="R48" s="5">
        <f t="shared" si="20"/>
        <v>0</v>
      </c>
      <c r="S48" s="1"/>
      <c r="T48" s="1">
        <f>SUM(OSRRefT22_9x_0)</f>
        <v>9005.74</v>
      </c>
      <c r="U48" s="1"/>
      <c r="V48" s="5">
        <f t="shared" si="21"/>
        <v>0</v>
      </c>
      <c r="W48" s="1"/>
      <c r="X48" s="1">
        <f t="shared" si="22"/>
        <v>-7003.65</v>
      </c>
      <c r="Y48" s="1"/>
      <c r="Z48" s="5">
        <f t="shared" si="23"/>
        <v>-0.77768734162878339</v>
      </c>
    </row>
    <row r="49" spans="1:26" s="24" customFormat="1" hidden="1" outlineLevel="2" x14ac:dyDescent="0.25">
      <c r="A49" s="29"/>
      <c r="B49" s="11" t="str">
        <f>CONCATENATE("          ", "6334", " - ", "LEGAL COUNCIL EXPENSE")</f>
        <v xml:space="preserve">          6334 - LEGAL COUNCIL EXPENSE</v>
      </c>
      <c r="C49" s="11"/>
      <c r="D49" s="7"/>
      <c r="E49" s="2"/>
      <c r="F49" s="6">
        <f t="shared" si="16"/>
        <v>0</v>
      </c>
      <c r="G49" s="2"/>
      <c r="H49" s="7">
        <v>6615</v>
      </c>
      <c r="I49" s="2"/>
      <c r="J49" s="6">
        <f t="shared" si="17"/>
        <v>0</v>
      </c>
      <c r="K49" s="2"/>
      <c r="L49" s="7">
        <f t="shared" si="18"/>
        <v>-6615</v>
      </c>
      <c r="M49" s="2"/>
      <c r="N49" s="6">
        <f t="shared" si="19"/>
        <v>-1</v>
      </c>
      <c r="O49" s="11"/>
      <c r="P49" s="7"/>
      <c r="Q49" s="2"/>
      <c r="R49" s="6">
        <f t="shared" si="20"/>
        <v>0</v>
      </c>
      <c r="S49" s="2"/>
      <c r="T49" s="7">
        <v>6615</v>
      </c>
      <c r="U49" s="2"/>
      <c r="V49" s="6">
        <f t="shared" si="21"/>
        <v>0</v>
      </c>
      <c r="W49" s="2"/>
      <c r="X49" s="7">
        <f t="shared" si="22"/>
        <v>-6615</v>
      </c>
      <c r="Y49" s="2"/>
      <c r="Z49" s="6">
        <f t="shared" si="23"/>
        <v>-1</v>
      </c>
    </row>
    <row r="50" spans="1:26" s="24" customFormat="1" hidden="1" outlineLevel="2" x14ac:dyDescent="0.25">
      <c r="A50" s="29"/>
      <c r="B50" s="11" t="str">
        <f>CONCATENATE("          ", "6336", " - ", "PROFESSIONAL SERVICES")</f>
        <v xml:space="preserve">          6336 - PROFESSIONAL SERVICES</v>
      </c>
      <c r="C50" s="11"/>
      <c r="D50" s="7">
        <v>347.09</v>
      </c>
      <c r="E50" s="2"/>
      <c r="F50" s="6">
        <f t="shared" si="16"/>
        <v>0</v>
      </c>
      <c r="G50" s="2"/>
      <c r="H50" s="7">
        <v>1737</v>
      </c>
      <c r="I50" s="2"/>
      <c r="J50" s="6">
        <f t="shared" si="17"/>
        <v>0</v>
      </c>
      <c r="K50" s="2"/>
      <c r="L50" s="7">
        <f t="shared" si="18"/>
        <v>-1389.91</v>
      </c>
      <c r="M50" s="2"/>
      <c r="N50" s="6">
        <f t="shared" si="19"/>
        <v>-0.8001784686240645</v>
      </c>
      <c r="O50" s="11"/>
      <c r="P50" s="7">
        <v>2002.09</v>
      </c>
      <c r="Q50" s="2"/>
      <c r="R50" s="6">
        <f t="shared" si="20"/>
        <v>0</v>
      </c>
      <c r="S50" s="2"/>
      <c r="T50" s="7">
        <v>2390.7399999999998</v>
      </c>
      <c r="U50" s="2"/>
      <c r="V50" s="6">
        <f t="shared" si="21"/>
        <v>0</v>
      </c>
      <c r="W50" s="2"/>
      <c r="X50" s="7">
        <f t="shared" si="22"/>
        <v>-388.64999999999986</v>
      </c>
      <c r="Y50" s="2"/>
      <c r="Z50" s="6">
        <f t="shared" si="23"/>
        <v>-0.16256472891238691</v>
      </c>
    </row>
    <row r="51" spans="1:26" s="28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SUM(OSRRefD22_10x_0)</f>
        <v>3679.46</v>
      </c>
      <c r="E51" s="1"/>
      <c r="F51" s="5">
        <f t="shared" ref="F51:F53" si="24">IF(D$12=0,0,D51/D$12)</f>
        <v>0</v>
      </c>
      <c r="G51" s="1"/>
      <c r="H51" s="1">
        <f>SUM(OSRRefH22_10x_0)</f>
        <v>9554.7200000000012</v>
      </c>
      <c r="I51" s="1"/>
      <c r="J51" s="5">
        <f t="shared" ref="J51:J53" si="25">IF(H$12=0,0,H51/H$12)</f>
        <v>0</v>
      </c>
      <c r="K51" s="1"/>
      <c r="L51" s="1">
        <f t="shared" ref="L51:L53" si="26">+D51-H51</f>
        <v>-5875.2600000000011</v>
      </c>
      <c r="M51" s="1"/>
      <c r="N51" s="5">
        <f t="shared" ref="N51:N53" si="27">IF(H51=0,0,L51/H51)</f>
        <v>-0.61490655927122939</v>
      </c>
      <c r="O51" s="14"/>
      <c r="P51" s="1">
        <f>SUM(OSRRefP22_10x_0)</f>
        <v>8151.71</v>
      </c>
      <c r="Q51" s="1"/>
      <c r="R51" s="5">
        <f t="shared" ref="R51:R53" si="28">IF(P$12=0,0,P51/P$12)</f>
        <v>0</v>
      </c>
      <c r="S51" s="1"/>
      <c r="T51" s="1">
        <f>SUM(OSRRefT22_10x_0)</f>
        <v>20249.02</v>
      </c>
      <c r="U51" s="1"/>
      <c r="V51" s="5">
        <f t="shared" ref="V51:V53" si="29">IF(T$12=0,0,T51/T$12)</f>
        <v>0</v>
      </c>
      <c r="W51" s="1"/>
      <c r="X51" s="1">
        <f t="shared" ref="X51:X53" si="30">+P51-T51</f>
        <v>-12097.310000000001</v>
      </c>
      <c r="Y51" s="1"/>
      <c r="Z51" s="5">
        <f t="shared" ref="Z51:Z53" si="31">IF(T51=0,0,X51/T51)</f>
        <v>-0.59742693720486229</v>
      </c>
    </row>
    <row r="52" spans="1:26" s="24" customFormat="1" hidden="1" outlineLevel="2" x14ac:dyDescent="0.25">
      <c r="A52" s="29"/>
      <c r="B52" s="11" t="str">
        <f>CONCATENATE("          ", "6371", " - ", "COMPUTER SOFTWARE MAINTENANCE")</f>
        <v xml:space="preserve">          6371 - COMPUTER SOFTWARE MAINTENANCE</v>
      </c>
      <c r="C52" s="11"/>
      <c r="D52" s="7">
        <v>3679.46</v>
      </c>
      <c r="E52" s="2"/>
      <c r="F52" s="6">
        <f t="shared" si="24"/>
        <v>0</v>
      </c>
      <c r="G52" s="2"/>
      <c r="H52" s="7">
        <v>9530.6</v>
      </c>
      <c r="I52" s="2"/>
      <c r="J52" s="6">
        <f t="shared" si="25"/>
        <v>0</v>
      </c>
      <c r="K52" s="2"/>
      <c r="L52" s="7">
        <f t="shared" si="26"/>
        <v>-5851.14</v>
      </c>
      <c r="M52" s="2"/>
      <c r="N52" s="6">
        <f t="shared" si="27"/>
        <v>-0.61393196650787984</v>
      </c>
      <c r="O52" s="11"/>
      <c r="P52" s="7">
        <v>8151.71</v>
      </c>
      <c r="Q52" s="2"/>
      <c r="R52" s="6">
        <f t="shared" si="28"/>
        <v>0</v>
      </c>
      <c r="S52" s="2"/>
      <c r="T52" s="7">
        <v>20195.560000000001</v>
      </c>
      <c r="U52" s="2"/>
      <c r="V52" s="6">
        <f t="shared" si="29"/>
        <v>0</v>
      </c>
      <c r="W52" s="2"/>
      <c r="X52" s="7">
        <f t="shared" si="30"/>
        <v>-12043.850000000002</v>
      </c>
      <c r="Y52" s="2"/>
      <c r="Z52" s="6">
        <f t="shared" si="31"/>
        <v>-0.59636127940992978</v>
      </c>
    </row>
    <row r="53" spans="1:26" s="24" customFormat="1" hidden="1" outlineLevel="2" x14ac:dyDescent="0.25">
      <c r="A53" s="29"/>
      <c r="B53" s="11" t="str">
        <f>CONCATENATE("          ", "6373", " - ", "MAINTENANCE CONTRACTS")</f>
        <v xml:space="preserve">          6373 - MAINTENANCE CONTRACTS</v>
      </c>
      <c r="C53" s="11"/>
      <c r="D53" s="7"/>
      <c r="E53" s="2"/>
      <c r="F53" s="6">
        <f t="shared" si="24"/>
        <v>0</v>
      </c>
      <c r="G53" s="2"/>
      <c r="H53" s="7">
        <v>24.12</v>
      </c>
      <c r="I53" s="2"/>
      <c r="J53" s="6">
        <f t="shared" si="25"/>
        <v>0</v>
      </c>
      <c r="K53" s="2"/>
      <c r="L53" s="7">
        <f t="shared" si="26"/>
        <v>-24.12</v>
      </c>
      <c r="M53" s="2"/>
      <c r="N53" s="6">
        <f t="shared" si="27"/>
        <v>-1</v>
      </c>
      <c r="O53" s="11"/>
      <c r="P53" s="7"/>
      <c r="Q53" s="2"/>
      <c r="R53" s="6">
        <f t="shared" si="28"/>
        <v>0</v>
      </c>
      <c r="S53" s="2"/>
      <c r="T53" s="7">
        <v>53.46</v>
      </c>
      <c r="U53" s="2"/>
      <c r="V53" s="6">
        <f t="shared" si="29"/>
        <v>0</v>
      </c>
      <c r="W53" s="2"/>
      <c r="X53" s="7">
        <f t="shared" si="30"/>
        <v>-53.46</v>
      </c>
      <c r="Y53" s="2"/>
      <c r="Z53" s="6">
        <f t="shared" si="31"/>
        <v>-1</v>
      </c>
    </row>
    <row r="54" spans="1:26" s="28" customFormat="1" outlineLevel="1" collapsed="1" x14ac:dyDescent="0.25">
      <c r="A54" s="27"/>
      <c r="B54" s="14" t="str">
        <f>CONCATENATE("     ","Subscriptions &amp; Dues                              ")</f>
        <v xml:space="preserve">     Subscriptions &amp; Dues                              </v>
      </c>
      <c r="C54" s="14"/>
      <c r="D54" s="1">
        <f>SUM(OSRRefD22_11x_0)</f>
        <v>0</v>
      </c>
      <c r="E54" s="1"/>
      <c r="F54" s="5">
        <f t="shared" ref="F54:F60" si="32">IF(D$12=0,0,D54/D$12)</f>
        <v>0</v>
      </c>
      <c r="G54" s="1"/>
      <c r="H54" s="1">
        <f>SUM(OSRRefH22_11x_0)</f>
        <v>587</v>
      </c>
      <c r="I54" s="1"/>
      <c r="J54" s="5">
        <f t="shared" ref="J54:J60" si="33">IF(H$12=0,0,H54/H$12)</f>
        <v>0</v>
      </c>
      <c r="K54" s="1"/>
      <c r="L54" s="1">
        <f t="shared" ref="L54:L60" si="34">+D54-H54</f>
        <v>-587</v>
      </c>
      <c r="M54" s="1"/>
      <c r="N54" s="5">
        <f t="shared" ref="N54:N60" si="35">IF(H54=0,0,L54/H54)</f>
        <v>-1</v>
      </c>
      <c r="O54" s="14"/>
      <c r="P54" s="1">
        <f>SUM(OSRRefP22_11x_0)</f>
        <v>0</v>
      </c>
      <c r="Q54" s="1"/>
      <c r="R54" s="5">
        <f t="shared" ref="R54:R60" si="36">IF(P$12=0,0,P54/P$12)</f>
        <v>0</v>
      </c>
      <c r="S54" s="1"/>
      <c r="T54" s="1">
        <f>SUM(OSRRefT22_11x_0)</f>
        <v>587</v>
      </c>
      <c r="U54" s="1"/>
      <c r="V54" s="5">
        <f t="shared" ref="V54:V60" si="37">IF(T$12=0,0,T54/T$12)</f>
        <v>0</v>
      </c>
      <c r="W54" s="1"/>
      <c r="X54" s="1">
        <f t="shared" ref="X54:X60" si="38">+P54-T54</f>
        <v>-587</v>
      </c>
      <c r="Y54" s="1"/>
      <c r="Z54" s="5">
        <f t="shared" ref="Z54:Z60" si="39">IF(T54=0,0,X54/T54)</f>
        <v>-1</v>
      </c>
    </row>
    <row r="55" spans="1:26" s="24" customFormat="1" hidden="1" outlineLevel="2" x14ac:dyDescent="0.25">
      <c r="A55" s="29"/>
      <c r="B55" s="11" t="str">
        <f>CONCATENATE("          ", "6258", " - ", "MEMBERSHIP DUES")</f>
        <v xml:space="preserve">          6258 - MEMBERSHIP DUES</v>
      </c>
      <c r="C55" s="11"/>
      <c r="D55" s="7"/>
      <c r="E55" s="2"/>
      <c r="F55" s="6">
        <f t="shared" si="32"/>
        <v>0</v>
      </c>
      <c r="G55" s="2"/>
      <c r="H55" s="7">
        <v>587</v>
      </c>
      <c r="I55" s="2"/>
      <c r="J55" s="6">
        <f t="shared" si="33"/>
        <v>0</v>
      </c>
      <c r="K55" s="2"/>
      <c r="L55" s="7">
        <f t="shared" si="34"/>
        <v>-587</v>
      </c>
      <c r="M55" s="2"/>
      <c r="N55" s="6">
        <f t="shared" si="35"/>
        <v>-1</v>
      </c>
      <c r="O55" s="11"/>
      <c r="P55" s="7"/>
      <c r="Q55" s="2"/>
      <c r="R55" s="6">
        <f t="shared" si="36"/>
        <v>0</v>
      </c>
      <c r="S55" s="2"/>
      <c r="T55" s="7">
        <v>587</v>
      </c>
      <c r="U55" s="2"/>
      <c r="V55" s="6">
        <f t="shared" si="37"/>
        <v>0</v>
      </c>
      <c r="W55" s="2"/>
      <c r="X55" s="7">
        <f t="shared" si="38"/>
        <v>-587</v>
      </c>
      <c r="Y55" s="2"/>
      <c r="Z55" s="6">
        <f t="shared" si="39"/>
        <v>-1</v>
      </c>
    </row>
    <row r="56" spans="1:26" s="28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SUM(OSRRefD22_12x_0)</f>
        <v>476.52000000000004</v>
      </c>
      <c r="E56" s="1"/>
      <c r="F56" s="5">
        <f t="shared" si="32"/>
        <v>0</v>
      </c>
      <c r="G56" s="1"/>
      <c r="H56" s="1">
        <f>SUM(OSRRefH22_12x_0)</f>
        <v>4943.2299999999996</v>
      </c>
      <c r="I56" s="1"/>
      <c r="J56" s="5">
        <f t="shared" si="33"/>
        <v>0</v>
      </c>
      <c r="K56" s="1"/>
      <c r="L56" s="1">
        <f t="shared" si="34"/>
        <v>-4466.7099999999991</v>
      </c>
      <c r="M56" s="1"/>
      <c r="N56" s="5">
        <f t="shared" si="35"/>
        <v>-0.90360149133259016</v>
      </c>
      <c r="O56" s="14"/>
      <c r="P56" s="1">
        <f>SUM(OSRRefP22_12x_0)</f>
        <v>1036.82</v>
      </c>
      <c r="Q56" s="1"/>
      <c r="R56" s="5">
        <f t="shared" si="36"/>
        <v>0</v>
      </c>
      <c r="S56" s="1"/>
      <c r="T56" s="1">
        <f>SUM(OSRRefT22_12x_0)</f>
        <v>7394.5700000000006</v>
      </c>
      <c r="U56" s="1"/>
      <c r="V56" s="5">
        <f t="shared" si="37"/>
        <v>0</v>
      </c>
      <c r="W56" s="1"/>
      <c r="X56" s="1">
        <f t="shared" si="38"/>
        <v>-6357.7500000000009</v>
      </c>
      <c r="Y56" s="1"/>
      <c r="Z56" s="5">
        <f t="shared" si="39"/>
        <v>-0.85978630265181077</v>
      </c>
    </row>
    <row r="57" spans="1:26" s="24" customFormat="1" hidden="1" outlineLevel="2" x14ac:dyDescent="0.25">
      <c r="A57" s="29"/>
      <c r="B57" s="11" t="str">
        <f>CONCATENATE("          ", "6235", " - ", "COVID-19 EXPENSES")</f>
        <v xml:space="preserve">          6235 - COVID-19 EXPENSES</v>
      </c>
      <c r="C57" s="11"/>
      <c r="D57" s="7"/>
      <c r="E57" s="2"/>
      <c r="F57" s="6">
        <f t="shared" si="32"/>
        <v>0</v>
      </c>
      <c r="G57" s="2"/>
      <c r="H57" s="7"/>
      <c r="I57" s="2"/>
      <c r="J57" s="6">
        <f t="shared" si="33"/>
        <v>0</v>
      </c>
      <c r="K57" s="2"/>
      <c r="L57" s="7">
        <f t="shared" si="34"/>
        <v>0</v>
      </c>
      <c r="M57" s="2"/>
      <c r="N57" s="6">
        <f t="shared" si="35"/>
        <v>0</v>
      </c>
      <c r="O57" s="11"/>
      <c r="P57" s="7">
        <v>210.58</v>
      </c>
      <c r="Q57" s="2"/>
      <c r="R57" s="6">
        <f t="shared" si="36"/>
        <v>0</v>
      </c>
      <c r="S57" s="2"/>
      <c r="T57" s="7"/>
      <c r="U57" s="2"/>
      <c r="V57" s="6">
        <f t="shared" si="37"/>
        <v>0</v>
      </c>
      <c r="W57" s="2"/>
      <c r="X57" s="7">
        <f t="shared" si="38"/>
        <v>210.58</v>
      </c>
      <c r="Y57" s="2"/>
      <c r="Z57" s="6">
        <f t="shared" si="39"/>
        <v>0</v>
      </c>
    </row>
    <row r="58" spans="1:26" s="24" customFormat="1" hidden="1" outlineLevel="2" x14ac:dyDescent="0.25">
      <c r="A58" s="29"/>
      <c r="B58" s="11" t="str">
        <f>CONCATENATE("          ", "6241", " - ", "OFFICE EXPENSE")</f>
        <v xml:space="preserve">          6241 - OFFICE EXPENSE</v>
      </c>
      <c r="C58" s="11"/>
      <c r="D58" s="7">
        <v>430.48</v>
      </c>
      <c r="E58" s="2"/>
      <c r="F58" s="6">
        <f t="shared" si="32"/>
        <v>0</v>
      </c>
      <c r="G58" s="2"/>
      <c r="H58" s="7">
        <v>3149.72</v>
      </c>
      <c r="I58" s="2"/>
      <c r="J58" s="6">
        <f t="shared" si="33"/>
        <v>0</v>
      </c>
      <c r="K58" s="2"/>
      <c r="L58" s="7">
        <f t="shared" si="34"/>
        <v>-2719.24</v>
      </c>
      <c r="M58" s="2"/>
      <c r="N58" s="6">
        <f t="shared" si="35"/>
        <v>-0.86332753387602701</v>
      </c>
      <c r="O58" s="11"/>
      <c r="P58" s="7">
        <v>678.53</v>
      </c>
      <c r="Q58" s="2"/>
      <c r="R58" s="6">
        <f t="shared" si="36"/>
        <v>0</v>
      </c>
      <c r="S58" s="2"/>
      <c r="T58" s="7">
        <v>4896.3100000000004</v>
      </c>
      <c r="U58" s="2"/>
      <c r="V58" s="6">
        <f t="shared" si="37"/>
        <v>0</v>
      </c>
      <c r="W58" s="2"/>
      <c r="X58" s="7">
        <f t="shared" si="38"/>
        <v>-4217.7800000000007</v>
      </c>
      <c r="Y58" s="2"/>
      <c r="Z58" s="6">
        <f t="shared" si="39"/>
        <v>-0.86142013066983103</v>
      </c>
    </row>
    <row r="59" spans="1:26" s="24" customFormat="1" hidden="1" outlineLevel="2" x14ac:dyDescent="0.25">
      <c r="A59" s="29"/>
      <c r="B59" s="11" t="str">
        <f>CONCATENATE("          ", "6244", " - ", "SAFETY SUPPLY EXPENSE")</f>
        <v xml:space="preserve">          6244 - SAFETY SUPPLY EXPENSE</v>
      </c>
      <c r="C59" s="11"/>
      <c r="D59" s="7">
        <v>46.04</v>
      </c>
      <c r="E59" s="2"/>
      <c r="F59" s="6">
        <f t="shared" si="32"/>
        <v>0</v>
      </c>
      <c r="G59" s="2"/>
      <c r="H59" s="7">
        <v>750</v>
      </c>
      <c r="I59" s="2"/>
      <c r="J59" s="6">
        <f t="shared" si="33"/>
        <v>0</v>
      </c>
      <c r="K59" s="2"/>
      <c r="L59" s="7">
        <f t="shared" si="34"/>
        <v>-703.96</v>
      </c>
      <c r="M59" s="2"/>
      <c r="N59" s="6">
        <f t="shared" si="35"/>
        <v>-0.93861333333333341</v>
      </c>
      <c r="O59" s="11"/>
      <c r="P59" s="7">
        <v>147.71</v>
      </c>
      <c r="Q59" s="2"/>
      <c r="R59" s="6">
        <f t="shared" si="36"/>
        <v>0</v>
      </c>
      <c r="S59" s="2"/>
      <c r="T59" s="7">
        <v>877.92</v>
      </c>
      <c r="U59" s="2"/>
      <c r="V59" s="6">
        <f t="shared" si="37"/>
        <v>0</v>
      </c>
      <c r="W59" s="2"/>
      <c r="X59" s="7">
        <f t="shared" si="38"/>
        <v>-730.20999999999992</v>
      </c>
      <c r="Y59" s="2"/>
      <c r="Z59" s="6">
        <f t="shared" si="39"/>
        <v>-0.83175004556223797</v>
      </c>
    </row>
    <row r="60" spans="1:26" s="24" customFormat="1" hidden="1" outlineLevel="2" x14ac:dyDescent="0.25">
      <c r="A60" s="29"/>
      <c r="B60" s="11" t="str">
        <f>CONCATENATE("          ", "6245", " - ", "PRINTING")</f>
        <v xml:space="preserve">          6245 - PRINTING</v>
      </c>
      <c r="C60" s="11"/>
      <c r="D60" s="7"/>
      <c r="E60" s="2"/>
      <c r="F60" s="6">
        <f t="shared" si="32"/>
        <v>0</v>
      </c>
      <c r="G60" s="2"/>
      <c r="H60" s="7">
        <v>1043.51</v>
      </c>
      <c r="I60" s="2"/>
      <c r="J60" s="6">
        <f t="shared" si="33"/>
        <v>0</v>
      </c>
      <c r="K60" s="2"/>
      <c r="L60" s="7">
        <f t="shared" si="34"/>
        <v>-1043.51</v>
      </c>
      <c r="M60" s="2"/>
      <c r="N60" s="6">
        <f t="shared" si="35"/>
        <v>-1</v>
      </c>
      <c r="O60" s="11"/>
      <c r="P60" s="7"/>
      <c r="Q60" s="2"/>
      <c r="R60" s="6">
        <f t="shared" si="36"/>
        <v>0</v>
      </c>
      <c r="S60" s="2"/>
      <c r="T60" s="7">
        <v>1620.34</v>
      </c>
      <c r="U60" s="2"/>
      <c r="V60" s="6">
        <f t="shared" si="37"/>
        <v>0</v>
      </c>
      <c r="W60" s="2"/>
      <c r="X60" s="7">
        <f t="shared" si="38"/>
        <v>-1620.34</v>
      </c>
      <c r="Y60" s="2"/>
      <c r="Z60" s="6">
        <f t="shared" si="39"/>
        <v>-1</v>
      </c>
    </row>
    <row r="61" spans="1:26" s="28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SUM(OSRRefD22_13x_0)</f>
        <v>339.2</v>
      </c>
      <c r="E61" s="1"/>
      <c r="F61" s="5">
        <f t="shared" ref="F61:F66" si="40">IF(D$12=0,0,D61/D$12)</f>
        <v>0</v>
      </c>
      <c r="G61" s="1"/>
      <c r="H61" s="1">
        <f>SUM(OSRRefH22_13x_0)</f>
        <v>347.8</v>
      </c>
      <c r="I61" s="1"/>
      <c r="J61" s="5">
        <f t="shared" ref="J61:J66" si="41">IF(H$12=0,0,H61/H$12)</f>
        <v>0</v>
      </c>
      <c r="K61" s="1"/>
      <c r="L61" s="1">
        <f t="shared" ref="L61:L66" si="42">+D61-H61</f>
        <v>-8.6000000000000227</v>
      </c>
      <c r="M61" s="1"/>
      <c r="N61" s="5">
        <f t="shared" ref="N61:N66" si="43">IF(H61=0,0,L61/H61)</f>
        <v>-2.4726854514088622E-2</v>
      </c>
      <c r="O61" s="14"/>
      <c r="P61" s="1">
        <f>SUM(OSRRefP22_13x_0)</f>
        <v>663.4</v>
      </c>
      <c r="Q61" s="1"/>
      <c r="R61" s="5">
        <f t="shared" ref="R61:R66" si="44">IF(P$12=0,0,P61/P$12)</f>
        <v>0</v>
      </c>
      <c r="S61" s="1"/>
      <c r="T61" s="1">
        <f>SUM(OSRRefT22_13x_0)</f>
        <v>687.65</v>
      </c>
      <c r="U61" s="1"/>
      <c r="V61" s="5">
        <f t="shared" ref="V61:V66" si="45">IF(T$12=0,0,T61/T$12)</f>
        <v>0</v>
      </c>
      <c r="W61" s="1"/>
      <c r="X61" s="1">
        <f t="shared" ref="X61:X66" si="46">+P61-T61</f>
        <v>-24.25</v>
      </c>
      <c r="Y61" s="1"/>
      <c r="Z61" s="5">
        <f t="shared" ref="Z61:Z66" si="47">IF(T61=0,0,X61/T61)</f>
        <v>-3.5265033083690833E-2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7">
        <v>339.2</v>
      </c>
      <c r="E62" s="2"/>
      <c r="F62" s="6">
        <f t="shared" si="40"/>
        <v>0</v>
      </c>
      <c r="G62" s="2"/>
      <c r="H62" s="7">
        <v>347.8</v>
      </c>
      <c r="I62" s="2"/>
      <c r="J62" s="6">
        <f t="shared" si="41"/>
        <v>0</v>
      </c>
      <c r="K62" s="2"/>
      <c r="L62" s="7">
        <f t="shared" si="42"/>
        <v>-8.6000000000000227</v>
      </c>
      <c r="M62" s="2"/>
      <c r="N62" s="6">
        <f t="shared" si="43"/>
        <v>-2.4726854514088622E-2</v>
      </c>
      <c r="O62" s="11"/>
      <c r="P62" s="7">
        <v>663.4</v>
      </c>
      <c r="Q62" s="2"/>
      <c r="R62" s="6">
        <f t="shared" si="44"/>
        <v>0</v>
      </c>
      <c r="S62" s="2"/>
      <c r="T62" s="7">
        <v>687.65</v>
      </c>
      <c r="U62" s="2"/>
      <c r="V62" s="6">
        <f t="shared" si="45"/>
        <v>0</v>
      </c>
      <c r="W62" s="2"/>
      <c r="X62" s="7">
        <f t="shared" si="46"/>
        <v>-24.25</v>
      </c>
      <c r="Y62" s="2"/>
      <c r="Z62" s="6">
        <f t="shared" si="47"/>
        <v>-3.5265033083690833E-2</v>
      </c>
    </row>
    <row r="63" spans="1:26" s="28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SUM(OSRRefD22_14x_0)</f>
        <v>0</v>
      </c>
      <c r="E63" s="1"/>
      <c r="F63" s="5">
        <f t="shared" si="40"/>
        <v>0</v>
      </c>
      <c r="G63" s="1"/>
      <c r="H63" s="1">
        <f>SUM(OSRRefH22_14x_0)</f>
        <v>4203.3599999999997</v>
      </c>
      <c r="I63" s="1"/>
      <c r="J63" s="5">
        <f t="shared" si="41"/>
        <v>0</v>
      </c>
      <c r="K63" s="1"/>
      <c r="L63" s="1">
        <f t="shared" si="42"/>
        <v>-4203.3599999999997</v>
      </c>
      <c r="M63" s="1"/>
      <c r="N63" s="5">
        <f t="shared" si="43"/>
        <v>-1</v>
      </c>
      <c r="O63" s="14"/>
      <c r="P63" s="1">
        <f>SUM(OSRRefP22_14x_0)</f>
        <v>0</v>
      </c>
      <c r="Q63" s="1"/>
      <c r="R63" s="5">
        <f t="shared" si="44"/>
        <v>0</v>
      </c>
      <c r="S63" s="1"/>
      <c r="T63" s="1">
        <f>SUM(OSRRefT22_14x_0)</f>
        <v>4900.9799999999996</v>
      </c>
      <c r="U63" s="1"/>
      <c r="V63" s="5">
        <f t="shared" si="45"/>
        <v>0</v>
      </c>
      <c r="W63" s="1"/>
      <c r="X63" s="1">
        <f t="shared" si="46"/>
        <v>-4900.9799999999996</v>
      </c>
      <c r="Y63" s="1"/>
      <c r="Z63" s="5">
        <f t="shared" si="47"/>
        <v>-1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7"/>
      <c r="E64" s="2"/>
      <c r="F64" s="6">
        <f t="shared" si="40"/>
        <v>0</v>
      </c>
      <c r="G64" s="2"/>
      <c r="H64" s="7">
        <v>4203.3599999999997</v>
      </c>
      <c r="I64" s="2"/>
      <c r="J64" s="6">
        <f t="shared" si="41"/>
        <v>0</v>
      </c>
      <c r="K64" s="2"/>
      <c r="L64" s="7">
        <f t="shared" si="42"/>
        <v>-4203.3599999999997</v>
      </c>
      <c r="M64" s="2"/>
      <c r="N64" s="6">
        <f t="shared" si="43"/>
        <v>-1</v>
      </c>
      <c r="O64" s="11"/>
      <c r="P64" s="7"/>
      <c r="Q64" s="2"/>
      <c r="R64" s="6">
        <f t="shared" si="44"/>
        <v>0</v>
      </c>
      <c r="S64" s="2"/>
      <c r="T64" s="7">
        <v>4900.9799999999996</v>
      </c>
      <c r="U64" s="2"/>
      <c r="V64" s="6">
        <f t="shared" si="45"/>
        <v>0</v>
      </c>
      <c r="W64" s="2"/>
      <c r="X64" s="7">
        <f t="shared" si="46"/>
        <v>-4900.9799999999996</v>
      </c>
      <c r="Y64" s="2"/>
      <c r="Z64" s="6">
        <f t="shared" si="47"/>
        <v>-1</v>
      </c>
    </row>
    <row r="65" spans="1:26" s="28" customFormat="1" outlineLevel="1" collapsed="1" x14ac:dyDescent="0.25">
      <c r="A65" s="27"/>
      <c r="B65" s="14" t="str">
        <f>CONCATENATE("     ","Travel                                            ")</f>
        <v xml:space="preserve">     Travel                                            </v>
      </c>
      <c r="C65" s="14"/>
      <c r="D65" s="1">
        <f>SUM(OSRRefD22_15x_0)</f>
        <v>0</v>
      </c>
      <c r="E65" s="1"/>
      <c r="F65" s="5">
        <f t="shared" si="40"/>
        <v>0</v>
      </c>
      <c r="G65" s="1"/>
      <c r="H65" s="1">
        <f>SUM(OSRRefH22_15x_0)</f>
        <v>1115.78</v>
      </c>
      <c r="I65" s="1"/>
      <c r="J65" s="5">
        <f t="shared" si="41"/>
        <v>0</v>
      </c>
      <c r="K65" s="1"/>
      <c r="L65" s="1">
        <f t="shared" si="42"/>
        <v>-1115.78</v>
      </c>
      <c r="M65" s="1"/>
      <c r="N65" s="5">
        <f t="shared" si="43"/>
        <v>-1</v>
      </c>
      <c r="O65" s="14"/>
      <c r="P65" s="1">
        <f>SUM(OSRRefP22_15x_0)</f>
        <v>0</v>
      </c>
      <c r="Q65" s="1"/>
      <c r="R65" s="5">
        <f t="shared" si="44"/>
        <v>0</v>
      </c>
      <c r="S65" s="1"/>
      <c r="T65" s="1">
        <f>SUM(OSRRefT22_15x_0)</f>
        <v>1363.94</v>
      </c>
      <c r="U65" s="1"/>
      <c r="V65" s="5">
        <f t="shared" si="45"/>
        <v>0</v>
      </c>
      <c r="W65" s="1"/>
      <c r="X65" s="1">
        <f t="shared" si="46"/>
        <v>-1363.94</v>
      </c>
      <c r="Y65" s="1"/>
      <c r="Z65" s="5">
        <f t="shared" si="47"/>
        <v>-1</v>
      </c>
    </row>
    <row r="66" spans="1:26" s="24" customFormat="1" hidden="1" outlineLevel="2" x14ac:dyDescent="0.25">
      <c r="A66" s="29"/>
      <c r="B66" s="11" t="str">
        <f>CONCATENATE("          ", "6292", " - ", "TRAVEL/CONFERENCE")</f>
        <v xml:space="preserve">          6292 - TRAVEL/CONFERENCE</v>
      </c>
      <c r="C66" s="11"/>
      <c r="D66" s="7"/>
      <c r="E66" s="2"/>
      <c r="F66" s="6">
        <f t="shared" si="40"/>
        <v>0</v>
      </c>
      <c r="G66" s="2"/>
      <c r="H66" s="7">
        <v>1115.78</v>
      </c>
      <c r="I66" s="2"/>
      <c r="J66" s="6">
        <f t="shared" si="41"/>
        <v>0</v>
      </c>
      <c r="K66" s="2"/>
      <c r="L66" s="7">
        <f t="shared" si="42"/>
        <v>-1115.78</v>
      </c>
      <c r="M66" s="2"/>
      <c r="N66" s="6">
        <f t="shared" si="43"/>
        <v>-1</v>
      </c>
      <c r="O66" s="11"/>
      <c r="P66" s="7"/>
      <c r="Q66" s="2"/>
      <c r="R66" s="6">
        <f t="shared" si="44"/>
        <v>0</v>
      </c>
      <c r="S66" s="2"/>
      <c r="T66" s="7">
        <v>1363.94</v>
      </c>
      <c r="U66" s="2"/>
      <c r="V66" s="6">
        <f t="shared" si="45"/>
        <v>0</v>
      </c>
      <c r="W66" s="2"/>
      <c r="X66" s="7">
        <f t="shared" si="46"/>
        <v>-1363.94</v>
      </c>
      <c r="Y66" s="2"/>
      <c r="Z66" s="6">
        <f t="shared" si="47"/>
        <v>-1</v>
      </c>
    </row>
    <row r="67" spans="1:26" s="5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3</v>
      </c>
      <c r="C70" s="26"/>
      <c r="D70" s="22">
        <f>+D16-D18+D68</f>
        <v>-41292.079999999994</v>
      </c>
      <c r="E70" s="13"/>
      <c r="F70" s="21">
        <f>IF(D$12=0,0,D70/D$12)</f>
        <v>0</v>
      </c>
      <c r="G70" s="13"/>
      <c r="H70" s="22">
        <f>+H16-H18+H68</f>
        <v>-68393.530000000013</v>
      </c>
      <c r="I70" s="13"/>
      <c r="J70" s="21">
        <f>IF(H$12=0,0,H70/H$12)</f>
        <v>0</v>
      </c>
      <c r="K70" s="16"/>
      <c r="L70" s="22">
        <f>+D70-H70</f>
        <v>27101.450000000019</v>
      </c>
      <c r="M70" s="16"/>
      <c r="N70" s="21">
        <f>IF(H70=0,0,L70/H70)</f>
        <v>-0.39625751149268085</v>
      </c>
      <c r="O70" s="25"/>
      <c r="P70" s="22">
        <f>+P16-P18+P68</f>
        <v>-92335.590000000011</v>
      </c>
      <c r="Q70" s="13"/>
      <c r="R70" s="21">
        <f>IF(P$12=0,0,P70/P$12)</f>
        <v>0</v>
      </c>
      <c r="S70" s="13"/>
      <c r="T70" s="22">
        <f>+T16-T18+T68</f>
        <v>-134006.37</v>
      </c>
      <c r="U70" s="13"/>
      <c r="V70" s="21">
        <f>IF(T$12=0,0,T70/T$12)</f>
        <v>0</v>
      </c>
      <c r="W70" s="16"/>
      <c r="X70" s="22">
        <f>+P70-T70</f>
        <v>41670.779999999984</v>
      </c>
      <c r="Y70" s="16"/>
      <c r="Z70" s="21">
        <f>IF(T70=0,0,X70/T70)</f>
        <v>-0.31096118788979948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/>
      <c r="E72" s="4"/>
      <c r="F72" s="12">
        <f>IF(D$12=0,0,D72/D$12)</f>
        <v>0</v>
      </c>
      <c r="G72" s="4"/>
      <c r="H72" s="4"/>
      <c r="I72" s="4"/>
      <c r="J72" s="12">
        <f>IF(H$12=0,0,H72/H$12)</f>
        <v>0</v>
      </c>
      <c r="K72" s="4"/>
      <c r="L72" s="4">
        <f>+D72-H72</f>
        <v>0</v>
      </c>
      <c r="M72" s="4"/>
      <c r="N72" s="12">
        <f>IF(H72=0,0,L72/H72)</f>
        <v>0</v>
      </c>
      <c r="O72" s="10"/>
      <c r="P72" s="4"/>
      <c r="Q72" s="4"/>
      <c r="R72" s="12">
        <f>IF(P$12=0,0,P72/P$12)</f>
        <v>0</v>
      </c>
      <c r="S72" s="4"/>
      <c r="T72" s="4"/>
      <c r="U72" s="4"/>
      <c r="V72" s="12">
        <f>IF(T$12=0,0,T72/T$12)</f>
        <v>0</v>
      </c>
      <c r="W72" s="4"/>
      <c r="X72" s="4">
        <f>+P72-T72</f>
        <v>0</v>
      </c>
      <c r="Y72" s="4"/>
      <c r="Z72" s="12">
        <f>IF(T72=0,0,X72/T72)</f>
        <v>0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4</v>
      </c>
      <c r="C74" s="26"/>
      <c r="D74" s="36">
        <f>+D70-D72</f>
        <v>-41292.079999999994</v>
      </c>
      <c r="E74" s="13"/>
      <c r="F74" s="34">
        <f>IF(D$12=0,0,D74/D$12)</f>
        <v>0</v>
      </c>
      <c r="G74" s="13"/>
      <c r="H74" s="36">
        <f>+H70-H72</f>
        <v>-68393.530000000013</v>
      </c>
      <c r="I74" s="13"/>
      <c r="J74" s="34">
        <f>IF(H$12=0,0,H74/H$12)</f>
        <v>0</v>
      </c>
      <c r="K74" s="16"/>
      <c r="L74" s="36">
        <f>D74-H74</f>
        <v>27101.450000000019</v>
      </c>
      <c r="M74" s="16"/>
      <c r="N74" s="34">
        <f>IF(H74=0,0,L74/H74)</f>
        <v>-0.39625751149268085</v>
      </c>
      <c r="O74" s="25"/>
      <c r="P74" s="36">
        <f>+P70-P72</f>
        <v>-92335.590000000011</v>
      </c>
      <c r="Q74" s="13"/>
      <c r="R74" s="34">
        <f>IF(P$12=0,0,P74/P$12)</f>
        <v>0</v>
      </c>
      <c r="S74" s="13"/>
      <c r="T74" s="36">
        <f>+T70-T72</f>
        <v>-134006.37</v>
      </c>
      <c r="U74" s="13"/>
      <c r="V74" s="34">
        <f>IF(T$12=0,0,T74/T$12)</f>
        <v>0</v>
      </c>
      <c r="W74" s="16"/>
      <c r="X74" s="36">
        <f>P74-T74</f>
        <v>41670.779999999984</v>
      </c>
      <c r="Y74" s="16"/>
      <c r="Z74" s="34">
        <f>IF(T74=0,0,X74/T74)</f>
        <v>-0.31096118788979948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5</v>
      </c>
      <c r="C77" s="26"/>
      <c r="D77" s="30">
        <f>SUM(D74:D76)</f>
        <v>-41292.079999999994</v>
      </c>
      <c r="E77" s="13"/>
      <c r="F77" s="31">
        <f>IF(D$12=0,0,D77/D$12)</f>
        <v>0</v>
      </c>
      <c r="G77" s="13"/>
      <c r="H77" s="30">
        <f>SUM(H74:H76)</f>
        <v>-68393.530000000013</v>
      </c>
      <c r="I77" s="13"/>
      <c r="J77" s="31">
        <f>IF(H$12=0,0,H77/H$12)</f>
        <v>0</v>
      </c>
      <c r="K77" s="16"/>
      <c r="L77" s="30">
        <f>+D77-H77</f>
        <v>27101.450000000019</v>
      </c>
      <c r="M77" s="16"/>
      <c r="N77" s="31">
        <f>IF(H77=0,0,L77/H77)</f>
        <v>-0.39625751149268085</v>
      </c>
      <c r="O77" s="25"/>
      <c r="P77" s="30">
        <f>SUM(P74:P76)</f>
        <v>-92335.590000000011</v>
      </c>
      <c r="Q77" s="13"/>
      <c r="R77" s="31">
        <f>IF(P$12=0,0,P77/P$12)</f>
        <v>0</v>
      </c>
      <c r="S77" s="13"/>
      <c r="T77" s="30">
        <f>SUM(T74:T76)</f>
        <v>-134006.37</v>
      </c>
      <c r="U77" s="13"/>
      <c r="V77" s="31">
        <f>IF(T$12=0,0,T77/T$12)</f>
        <v>0</v>
      </c>
      <c r="W77" s="16"/>
      <c r="X77" s="30">
        <f>+P77-T77</f>
        <v>41670.779999999984</v>
      </c>
      <c r="Y77" s="16"/>
      <c r="Z77" s="31">
        <f>IF(T77=0,0,X77/T77)</f>
        <v>-0.31096118788979948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1">
        <v>44113.696012384258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 t="s">
        <v>313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8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","204", " - ", "Information Technology")</f>
        <v>Department 204 - Information Technology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49895.869999999995</v>
      </c>
      <c r="E18" s="20"/>
      <c r="F18" s="35">
        <f t="shared" ref="F18:F28" si="0">IF(D$12=0,0,D18/D$12)</f>
        <v>0</v>
      </c>
      <c r="G18" s="20"/>
      <c r="H18" s="20">
        <f>SUM(OSRRefH22x_0)</f>
        <v>56780.079999999994</v>
      </c>
      <c r="I18" s="20"/>
      <c r="J18" s="35">
        <f t="shared" ref="J18:J28" si="1">IF(H$12=0,0,H18/H$12)</f>
        <v>0</v>
      </c>
      <c r="K18" s="4"/>
      <c r="L18" s="20">
        <f t="shared" ref="L18:L28" si="2">+D18-H18</f>
        <v>-6884.2099999999991</v>
      </c>
      <c r="M18" s="4"/>
      <c r="N18" s="35">
        <f t="shared" ref="N18:N28" si="3">IF(H18=0,0,L18/H18)</f>
        <v>-0.12124340085466592</v>
      </c>
      <c r="O18" s="10"/>
      <c r="P18" s="20">
        <f>SUM(OSRRefP22x_0)</f>
        <v>106804.62999999998</v>
      </c>
      <c r="Q18" s="20"/>
      <c r="R18" s="35">
        <f t="shared" ref="R18:R28" si="4">IF(P$12=0,0,P18/P$12)</f>
        <v>0</v>
      </c>
      <c r="S18" s="20"/>
      <c r="T18" s="20">
        <f>SUM(OSRRefT22x_0)</f>
        <v>124455.92999999998</v>
      </c>
      <c r="U18" s="20"/>
      <c r="V18" s="35">
        <f t="shared" ref="V18:V28" si="5">IF(T$12=0,0,T18/T$12)</f>
        <v>0</v>
      </c>
      <c r="W18" s="4"/>
      <c r="X18" s="20">
        <f t="shared" ref="X18:X28" si="6">+P18-T18</f>
        <v>-17651.300000000003</v>
      </c>
      <c r="Y18" s="4"/>
      <c r="Z18" s="35">
        <f t="shared" ref="Z18:Z28" si="7">IF(T18=0,0,X18/T18)</f>
        <v>-0.14182771363325158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12084.119999999999</v>
      </c>
      <c r="E19" s="1"/>
      <c r="F19" s="5">
        <f t="shared" si="0"/>
        <v>0</v>
      </c>
      <c r="G19" s="1"/>
      <c r="H19" s="1">
        <f>SUM(OSRRefH22_0x_0)</f>
        <v>12054.33</v>
      </c>
      <c r="I19" s="1"/>
      <c r="J19" s="5">
        <f t="shared" si="1"/>
        <v>0</v>
      </c>
      <c r="K19" s="1"/>
      <c r="L19" s="1">
        <f t="shared" si="2"/>
        <v>29.789999999999054</v>
      </c>
      <c r="M19" s="1"/>
      <c r="N19" s="5">
        <f t="shared" si="3"/>
        <v>2.4713111388189185E-3</v>
      </c>
      <c r="O19" s="14"/>
      <c r="P19" s="1">
        <f>SUM(OSRRefP22_0x_0)</f>
        <v>25134.670000000002</v>
      </c>
      <c r="Q19" s="1"/>
      <c r="R19" s="5">
        <f t="shared" si="4"/>
        <v>0</v>
      </c>
      <c r="S19" s="1"/>
      <c r="T19" s="1">
        <f>SUM(OSRRefT22_0x_0)</f>
        <v>24705.190000000006</v>
      </c>
      <c r="U19" s="1"/>
      <c r="V19" s="5">
        <f t="shared" si="5"/>
        <v>0</v>
      </c>
      <c r="W19" s="1"/>
      <c r="X19" s="1">
        <f t="shared" si="6"/>
        <v>429.47999999999593</v>
      </c>
      <c r="Y19" s="1"/>
      <c r="Z19" s="5">
        <f t="shared" si="7"/>
        <v>1.7384201457264478E-2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1651.98</v>
      </c>
      <c r="E20" s="2"/>
      <c r="F20" s="6">
        <f t="shared" si="0"/>
        <v>0</v>
      </c>
      <c r="G20" s="2"/>
      <c r="H20" s="7">
        <v>1991.9</v>
      </c>
      <c r="I20" s="2"/>
      <c r="J20" s="6">
        <f t="shared" si="1"/>
        <v>0</v>
      </c>
      <c r="K20" s="2"/>
      <c r="L20" s="7">
        <f t="shared" si="2"/>
        <v>-339.92000000000007</v>
      </c>
      <c r="M20" s="2"/>
      <c r="N20" s="6">
        <f t="shared" si="3"/>
        <v>-0.17065113710527641</v>
      </c>
      <c r="O20" s="11"/>
      <c r="P20" s="7">
        <v>3306.08</v>
      </c>
      <c r="Q20" s="2"/>
      <c r="R20" s="6">
        <f t="shared" si="4"/>
        <v>0</v>
      </c>
      <c r="S20" s="2"/>
      <c r="T20" s="7">
        <v>3730.97</v>
      </c>
      <c r="U20" s="2"/>
      <c r="V20" s="6">
        <f t="shared" si="5"/>
        <v>0</v>
      </c>
      <c r="W20" s="2"/>
      <c r="X20" s="7">
        <f t="shared" si="6"/>
        <v>-424.88999999999987</v>
      </c>
      <c r="Y20" s="2"/>
      <c r="Z20" s="6">
        <f t="shared" si="7"/>
        <v>-0.11388191274655114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71.260000000000005</v>
      </c>
      <c r="E21" s="2"/>
      <c r="F21" s="6">
        <f t="shared" si="0"/>
        <v>0</v>
      </c>
      <c r="G21" s="2"/>
      <c r="H21" s="7">
        <v>90.17</v>
      </c>
      <c r="I21" s="2"/>
      <c r="J21" s="6">
        <f t="shared" si="1"/>
        <v>0</v>
      </c>
      <c r="K21" s="2"/>
      <c r="L21" s="7">
        <f t="shared" si="2"/>
        <v>-18.909999999999997</v>
      </c>
      <c r="M21" s="2"/>
      <c r="N21" s="6">
        <f t="shared" si="3"/>
        <v>-0.20971498281024728</v>
      </c>
      <c r="O21" s="11"/>
      <c r="P21" s="7">
        <v>142.61000000000001</v>
      </c>
      <c r="Q21" s="2"/>
      <c r="R21" s="6">
        <f t="shared" si="4"/>
        <v>0</v>
      </c>
      <c r="S21" s="2"/>
      <c r="T21" s="7">
        <v>173.17</v>
      </c>
      <c r="U21" s="2"/>
      <c r="V21" s="6">
        <f t="shared" si="5"/>
        <v>0</v>
      </c>
      <c r="W21" s="2"/>
      <c r="X21" s="7">
        <f t="shared" si="6"/>
        <v>-30.559999999999974</v>
      </c>
      <c r="Y21" s="2"/>
      <c r="Z21" s="6">
        <f t="shared" si="7"/>
        <v>-0.17647398510134535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5567.87</v>
      </c>
      <c r="E22" s="2"/>
      <c r="F22" s="6">
        <f t="shared" si="0"/>
        <v>0</v>
      </c>
      <c r="G22" s="2"/>
      <c r="H22" s="7">
        <v>5268.48</v>
      </c>
      <c r="I22" s="2"/>
      <c r="J22" s="6">
        <f t="shared" si="1"/>
        <v>0</v>
      </c>
      <c r="K22" s="2"/>
      <c r="L22" s="7">
        <f t="shared" si="2"/>
        <v>299.39000000000033</v>
      </c>
      <c r="M22" s="2"/>
      <c r="N22" s="6">
        <f t="shared" si="3"/>
        <v>5.6826636904761973E-2</v>
      </c>
      <c r="O22" s="11"/>
      <c r="P22" s="7">
        <v>11135.74</v>
      </c>
      <c r="Q22" s="2"/>
      <c r="R22" s="6">
        <f t="shared" si="4"/>
        <v>0</v>
      </c>
      <c r="S22" s="2"/>
      <c r="T22" s="7">
        <v>9901.86</v>
      </c>
      <c r="U22" s="2"/>
      <c r="V22" s="6">
        <f t="shared" si="5"/>
        <v>0</v>
      </c>
      <c r="W22" s="2"/>
      <c r="X22" s="7">
        <f t="shared" si="6"/>
        <v>1233.8799999999992</v>
      </c>
      <c r="Y22" s="2"/>
      <c r="Z22" s="6">
        <f t="shared" si="7"/>
        <v>0.12461093168354219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56.14</v>
      </c>
      <c r="E23" s="2"/>
      <c r="F23" s="6">
        <f t="shared" si="0"/>
        <v>0</v>
      </c>
      <c r="G23" s="2"/>
      <c r="H23" s="7">
        <v>68.95</v>
      </c>
      <c r="I23" s="2"/>
      <c r="J23" s="6">
        <f t="shared" si="1"/>
        <v>0</v>
      </c>
      <c r="K23" s="2"/>
      <c r="L23" s="7">
        <f t="shared" si="2"/>
        <v>-12.810000000000002</v>
      </c>
      <c r="M23" s="2"/>
      <c r="N23" s="6">
        <f t="shared" si="3"/>
        <v>-0.18578680203045689</v>
      </c>
      <c r="O23" s="11"/>
      <c r="P23" s="7">
        <v>112.36</v>
      </c>
      <c r="Q23" s="2"/>
      <c r="R23" s="6">
        <f t="shared" si="4"/>
        <v>0</v>
      </c>
      <c r="S23" s="2"/>
      <c r="T23" s="7">
        <v>132.41999999999999</v>
      </c>
      <c r="U23" s="2"/>
      <c r="V23" s="6">
        <f t="shared" si="5"/>
        <v>0</v>
      </c>
      <c r="W23" s="2"/>
      <c r="X23" s="7">
        <f t="shared" si="6"/>
        <v>-20.059999999999988</v>
      </c>
      <c r="Y23" s="2"/>
      <c r="Z23" s="6">
        <f t="shared" si="7"/>
        <v>-0.15148769068116591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1861.21</v>
      </c>
      <c r="E24" s="2"/>
      <c r="F24" s="6">
        <f t="shared" si="0"/>
        <v>0</v>
      </c>
      <c r="G24" s="2"/>
      <c r="H24" s="7">
        <v>1339.05</v>
      </c>
      <c r="I24" s="2"/>
      <c r="J24" s="6">
        <f t="shared" si="1"/>
        <v>0</v>
      </c>
      <c r="K24" s="2"/>
      <c r="L24" s="7">
        <f t="shared" si="2"/>
        <v>522.16000000000008</v>
      </c>
      <c r="M24" s="2"/>
      <c r="N24" s="6">
        <f t="shared" si="3"/>
        <v>0.38994809753183235</v>
      </c>
      <c r="O24" s="11"/>
      <c r="P24" s="7">
        <v>4653.0200000000004</v>
      </c>
      <c r="Q24" s="2"/>
      <c r="R24" s="6">
        <f t="shared" si="4"/>
        <v>0</v>
      </c>
      <c r="S24" s="2"/>
      <c r="T24" s="7">
        <v>2678.1</v>
      </c>
      <c r="U24" s="2"/>
      <c r="V24" s="6">
        <f t="shared" si="5"/>
        <v>0</v>
      </c>
      <c r="W24" s="2"/>
      <c r="X24" s="7">
        <f t="shared" si="6"/>
        <v>1974.9200000000005</v>
      </c>
      <c r="Y24" s="2"/>
      <c r="Z24" s="6">
        <f t="shared" si="7"/>
        <v>0.73743325491953271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>
        <v>167.53</v>
      </c>
      <c r="E25" s="2"/>
      <c r="F25" s="6">
        <f t="shared" si="0"/>
        <v>0</v>
      </c>
      <c r="G25" s="2"/>
      <c r="H25" s="7">
        <v>363.06</v>
      </c>
      <c r="I25" s="2"/>
      <c r="J25" s="6">
        <f t="shared" si="1"/>
        <v>0</v>
      </c>
      <c r="K25" s="2"/>
      <c r="L25" s="7">
        <f t="shared" si="2"/>
        <v>-195.53</v>
      </c>
      <c r="M25" s="2"/>
      <c r="N25" s="6">
        <f t="shared" si="3"/>
        <v>-0.53856111937420814</v>
      </c>
      <c r="O25" s="11"/>
      <c r="P25" s="7">
        <v>419.05</v>
      </c>
      <c r="Q25" s="2"/>
      <c r="R25" s="6">
        <f t="shared" si="4"/>
        <v>0</v>
      </c>
      <c r="S25" s="2"/>
      <c r="T25" s="7">
        <v>559.66</v>
      </c>
      <c r="U25" s="2"/>
      <c r="V25" s="6">
        <f t="shared" si="5"/>
        <v>0</v>
      </c>
      <c r="W25" s="2"/>
      <c r="X25" s="7">
        <f t="shared" si="6"/>
        <v>-140.60999999999996</v>
      </c>
      <c r="Y25" s="2"/>
      <c r="Z25" s="6">
        <f t="shared" si="7"/>
        <v>-0.25124182539398915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1474.64</v>
      </c>
      <c r="E26" s="2"/>
      <c r="F26" s="6">
        <f t="shared" si="0"/>
        <v>0</v>
      </c>
      <c r="G26" s="2"/>
      <c r="H26" s="7">
        <v>1408.62</v>
      </c>
      <c r="I26" s="2"/>
      <c r="J26" s="6">
        <f t="shared" si="1"/>
        <v>0</v>
      </c>
      <c r="K26" s="2"/>
      <c r="L26" s="7">
        <f t="shared" si="2"/>
        <v>66.020000000000209</v>
      </c>
      <c r="M26" s="2"/>
      <c r="N26" s="6">
        <f t="shared" si="3"/>
        <v>4.6868566398319073E-2</v>
      </c>
      <c r="O26" s="11"/>
      <c r="P26" s="7">
        <v>2949.28</v>
      </c>
      <c r="Q26" s="2"/>
      <c r="R26" s="6">
        <f t="shared" si="4"/>
        <v>0</v>
      </c>
      <c r="S26" s="2"/>
      <c r="T26" s="7">
        <v>3832.01</v>
      </c>
      <c r="U26" s="2"/>
      <c r="V26" s="6">
        <f t="shared" si="5"/>
        <v>0</v>
      </c>
      <c r="W26" s="2"/>
      <c r="X26" s="7">
        <f t="shared" si="6"/>
        <v>-882.73</v>
      </c>
      <c r="Y26" s="2"/>
      <c r="Z26" s="6">
        <f t="shared" si="7"/>
        <v>-0.23035691451744644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999.04</v>
      </c>
      <c r="E27" s="2"/>
      <c r="F27" s="6">
        <f t="shared" si="0"/>
        <v>0</v>
      </c>
      <c r="G27" s="2"/>
      <c r="H27" s="7">
        <v>941.7</v>
      </c>
      <c r="I27" s="2"/>
      <c r="J27" s="6">
        <f t="shared" si="1"/>
        <v>0</v>
      </c>
      <c r="K27" s="2"/>
      <c r="L27" s="7">
        <f t="shared" si="2"/>
        <v>57.339999999999918</v>
      </c>
      <c r="M27" s="2"/>
      <c r="N27" s="6">
        <f t="shared" si="3"/>
        <v>6.0889880004247547E-2</v>
      </c>
      <c r="O27" s="11"/>
      <c r="P27" s="7">
        <v>1998.08</v>
      </c>
      <c r="Q27" s="2"/>
      <c r="R27" s="6">
        <f t="shared" si="4"/>
        <v>0</v>
      </c>
      <c r="S27" s="2"/>
      <c r="T27" s="7">
        <v>2569.0100000000002</v>
      </c>
      <c r="U27" s="2"/>
      <c r="V27" s="6">
        <f t="shared" si="5"/>
        <v>0</v>
      </c>
      <c r="W27" s="2"/>
      <c r="X27" s="7">
        <f t="shared" si="6"/>
        <v>-570.93000000000029</v>
      </c>
      <c r="Y27" s="2"/>
      <c r="Z27" s="6">
        <f t="shared" si="7"/>
        <v>-0.22223735991685523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234.45</v>
      </c>
      <c r="E28" s="2"/>
      <c r="F28" s="6">
        <f t="shared" si="0"/>
        <v>0</v>
      </c>
      <c r="G28" s="2"/>
      <c r="H28" s="7">
        <v>582.4</v>
      </c>
      <c r="I28" s="2"/>
      <c r="J28" s="6">
        <f t="shared" si="1"/>
        <v>0</v>
      </c>
      <c r="K28" s="2"/>
      <c r="L28" s="7">
        <f t="shared" si="2"/>
        <v>-347.95</v>
      </c>
      <c r="M28" s="2"/>
      <c r="N28" s="6">
        <f t="shared" si="3"/>
        <v>-0.59744162087912089</v>
      </c>
      <c r="O28" s="11"/>
      <c r="P28" s="7">
        <v>418.45</v>
      </c>
      <c r="Q28" s="2"/>
      <c r="R28" s="6">
        <f t="shared" si="4"/>
        <v>0</v>
      </c>
      <c r="S28" s="2"/>
      <c r="T28" s="7">
        <v>1127.99</v>
      </c>
      <c r="U28" s="2"/>
      <c r="V28" s="6">
        <f t="shared" si="5"/>
        <v>0</v>
      </c>
      <c r="W28" s="2"/>
      <c r="X28" s="7">
        <f t="shared" si="6"/>
        <v>-709.54</v>
      </c>
      <c r="Y28" s="2"/>
      <c r="Z28" s="6">
        <f t="shared" si="7"/>
        <v>-0.62903039920566672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19282.840000000004</v>
      </c>
      <c r="E29" s="1"/>
      <c r="F29" s="5">
        <f t="shared" ref="F29:F34" si="8">IF(D$12=0,0,D29/D$12)</f>
        <v>0</v>
      </c>
      <c r="G29" s="1"/>
      <c r="H29" s="1">
        <f>SUM(OSRRefH22_1x_0)</f>
        <v>24537.84</v>
      </c>
      <c r="I29" s="1"/>
      <c r="J29" s="5">
        <f t="shared" ref="J29:J34" si="9">IF(H$12=0,0,H29/H$12)</f>
        <v>0</v>
      </c>
      <c r="K29" s="1"/>
      <c r="L29" s="1">
        <f t="shared" ref="L29:L34" si="10">+D29-H29</f>
        <v>-5254.9999999999964</v>
      </c>
      <c r="M29" s="1"/>
      <c r="N29" s="5">
        <f t="shared" ref="N29:N34" si="11">IF(H29=0,0,L29/H29)</f>
        <v>-0.21415902948262749</v>
      </c>
      <c r="O29" s="14"/>
      <c r="P29" s="1">
        <f>SUM(OSRRefP22_1x_0)</f>
        <v>44829.26</v>
      </c>
      <c r="Q29" s="1"/>
      <c r="R29" s="5">
        <f t="shared" ref="R29:R34" si="12">IF(P$12=0,0,P29/P$12)</f>
        <v>0</v>
      </c>
      <c r="S29" s="1"/>
      <c r="T29" s="1">
        <f>SUM(OSRRefT22_1x_0)</f>
        <v>52981.9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-8152.6399999999994</v>
      </c>
      <c r="Y29" s="1"/>
      <c r="Z29" s="5">
        <f t="shared" ref="Z29:Z34" si="15">IF(T29=0,0,X29/T29)</f>
        <v>-0.1538759463137411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>
        <v>17443.390000000003</v>
      </c>
      <c r="E30" s="2"/>
      <c r="F30" s="6">
        <f t="shared" si="8"/>
        <v>0</v>
      </c>
      <c r="G30" s="2"/>
      <c r="H30" s="7">
        <v>11135.82</v>
      </c>
      <c r="I30" s="2"/>
      <c r="J30" s="6">
        <f t="shared" si="9"/>
        <v>0</v>
      </c>
      <c r="K30" s="2"/>
      <c r="L30" s="7">
        <f t="shared" si="10"/>
        <v>6307.5700000000033</v>
      </c>
      <c r="M30" s="2"/>
      <c r="N30" s="6">
        <f t="shared" si="11"/>
        <v>0.56642169144257037</v>
      </c>
      <c r="O30" s="11"/>
      <c r="P30" s="7">
        <v>38800.47</v>
      </c>
      <c r="Q30" s="2"/>
      <c r="R30" s="6">
        <f t="shared" si="12"/>
        <v>0</v>
      </c>
      <c r="S30" s="2"/>
      <c r="T30" s="7">
        <v>25013.22</v>
      </c>
      <c r="U30" s="2"/>
      <c r="V30" s="6">
        <f t="shared" si="13"/>
        <v>0</v>
      </c>
      <c r="W30" s="2"/>
      <c r="X30" s="7">
        <f t="shared" si="14"/>
        <v>13787.25</v>
      </c>
      <c r="Y30" s="2"/>
      <c r="Z30" s="6">
        <f t="shared" si="15"/>
        <v>0.55119852621933518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>
        <v>2678.45</v>
      </c>
      <c r="E31" s="2"/>
      <c r="F31" s="6">
        <f t="shared" si="8"/>
        <v>0</v>
      </c>
      <c r="G31" s="2"/>
      <c r="H31" s="7">
        <v>7470.27</v>
      </c>
      <c r="I31" s="2"/>
      <c r="J31" s="6">
        <f t="shared" si="9"/>
        <v>0</v>
      </c>
      <c r="K31" s="2"/>
      <c r="L31" s="7">
        <f t="shared" si="10"/>
        <v>-4791.8200000000006</v>
      </c>
      <c r="M31" s="2"/>
      <c r="N31" s="6">
        <f t="shared" si="11"/>
        <v>-0.6414520492565865</v>
      </c>
      <c r="O31" s="11"/>
      <c r="P31" s="7">
        <v>6028.79</v>
      </c>
      <c r="Q31" s="2"/>
      <c r="R31" s="6">
        <f t="shared" si="12"/>
        <v>0</v>
      </c>
      <c r="S31" s="2"/>
      <c r="T31" s="7">
        <v>13743.68</v>
      </c>
      <c r="U31" s="2"/>
      <c r="V31" s="6">
        <f t="shared" si="13"/>
        <v>0</v>
      </c>
      <c r="W31" s="2"/>
      <c r="X31" s="7">
        <f t="shared" si="14"/>
        <v>-7714.89</v>
      </c>
      <c r="Y31" s="2"/>
      <c r="Z31" s="6">
        <f t="shared" si="15"/>
        <v>-0.5613409217909614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/>
      <c r="E32" s="2"/>
      <c r="F32" s="6">
        <f t="shared" si="8"/>
        <v>0</v>
      </c>
      <c r="G32" s="2"/>
      <c r="H32" s="7">
        <v>2389.75</v>
      </c>
      <c r="I32" s="2"/>
      <c r="J32" s="6">
        <f t="shared" si="9"/>
        <v>0</v>
      </c>
      <c r="K32" s="2"/>
      <c r="L32" s="7">
        <f t="shared" si="10"/>
        <v>-2389.75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3836.5</v>
      </c>
      <c r="U32" s="2"/>
      <c r="V32" s="6">
        <f t="shared" si="13"/>
        <v>0</v>
      </c>
      <c r="W32" s="2"/>
      <c r="X32" s="7">
        <f t="shared" si="14"/>
        <v>-3836.5</v>
      </c>
      <c r="Y32" s="2"/>
      <c r="Z32" s="6">
        <f t="shared" si="15"/>
        <v>-1</v>
      </c>
    </row>
    <row r="33" spans="1:26" s="24" customFormat="1" hidden="1" outlineLevel="2" x14ac:dyDescent="0.25">
      <c r="A33" s="29"/>
      <c r="B33" s="11" t="str">
        <f>CONCATENATE("          ", "6007", " - ", "STUDENT HOURLY")</f>
        <v xml:space="preserve">          6007 - STUDENT HOURLY</v>
      </c>
      <c r="C33" s="11"/>
      <c r="D33" s="7">
        <v>-839</v>
      </c>
      <c r="E33" s="2"/>
      <c r="F33" s="6">
        <f t="shared" si="8"/>
        <v>0</v>
      </c>
      <c r="G33" s="2"/>
      <c r="H33" s="7">
        <v>2814.5</v>
      </c>
      <c r="I33" s="2"/>
      <c r="J33" s="6">
        <f t="shared" si="9"/>
        <v>0</v>
      </c>
      <c r="K33" s="2"/>
      <c r="L33" s="7">
        <f t="shared" si="10"/>
        <v>-3653.5</v>
      </c>
      <c r="M33" s="2"/>
      <c r="N33" s="6">
        <f t="shared" si="11"/>
        <v>-1.2980991295079054</v>
      </c>
      <c r="O33" s="11"/>
      <c r="P33" s="7">
        <v>0</v>
      </c>
      <c r="Q33" s="2"/>
      <c r="R33" s="6">
        <f t="shared" si="12"/>
        <v>0</v>
      </c>
      <c r="S33" s="2"/>
      <c r="T33" s="7">
        <v>7868.5</v>
      </c>
      <c r="U33" s="2"/>
      <c r="V33" s="6">
        <f t="shared" si="13"/>
        <v>0</v>
      </c>
      <c r="W33" s="2"/>
      <c r="X33" s="7">
        <f t="shared" si="14"/>
        <v>-7868.5</v>
      </c>
      <c r="Y33" s="2"/>
      <c r="Z33" s="6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"6008", " - ", "STUDENT HOURLY-FICA EXEMPT")</f>
        <v xml:space="preserve">          6008 - STUDENT HOURLY-FICA EXEMPT</v>
      </c>
      <c r="C34" s="11"/>
      <c r="D34" s="7"/>
      <c r="E34" s="2"/>
      <c r="F34" s="6">
        <f t="shared" si="8"/>
        <v>0</v>
      </c>
      <c r="G34" s="2"/>
      <c r="H34" s="7">
        <v>727.5</v>
      </c>
      <c r="I34" s="2"/>
      <c r="J34" s="6">
        <f t="shared" si="9"/>
        <v>0</v>
      </c>
      <c r="K34" s="2"/>
      <c r="L34" s="7">
        <f t="shared" si="10"/>
        <v>-727.5</v>
      </c>
      <c r="M34" s="2"/>
      <c r="N34" s="6">
        <f t="shared" si="11"/>
        <v>-1</v>
      </c>
      <c r="O34" s="11"/>
      <c r="P34" s="7"/>
      <c r="Q34" s="2"/>
      <c r="R34" s="6">
        <f t="shared" si="12"/>
        <v>0</v>
      </c>
      <c r="S34" s="2"/>
      <c r="T34" s="7">
        <v>2520</v>
      </c>
      <c r="U34" s="2"/>
      <c r="V34" s="6">
        <f t="shared" si="13"/>
        <v>0</v>
      </c>
      <c r="W34" s="2"/>
      <c r="X34" s="7">
        <f t="shared" si="14"/>
        <v>-2520</v>
      </c>
      <c r="Y34" s="2"/>
      <c r="Z34" s="6">
        <f t="shared" si="15"/>
        <v>-1</v>
      </c>
    </row>
    <row r="35" spans="1:26" s="28" customFormat="1" outlineLevel="1" collapsed="1" x14ac:dyDescent="0.25">
      <c r="A35" s="27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SUM(OSRRefD22_2x_0)</f>
        <v>5462.14</v>
      </c>
      <c r="E35" s="1"/>
      <c r="F35" s="5">
        <f t="shared" ref="F35:F42" si="16">IF(D$12=0,0,D35/D$12)</f>
        <v>0</v>
      </c>
      <c r="G35" s="1"/>
      <c r="H35" s="1">
        <f>SUM(OSRRefH22_2x_0)</f>
        <v>6175.97</v>
      </c>
      <c r="I35" s="1"/>
      <c r="J35" s="5">
        <f t="shared" ref="J35:J42" si="17">IF(H$12=0,0,H35/H$12)</f>
        <v>0</v>
      </c>
      <c r="K35" s="1"/>
      <c r="L35" s="1">
        <f t="shared" ref="L35:L42" si="18">+D35-H35</f>
        <v>-713.82999999999993</v>
      </c>
      <c r="M35" s="1"/>
      <c r="N35" s="5">
        <f t="shared" ref="N35:N42" si="19">IF(H35=0,0,L35/H35)</f>
        <v>-0.11558184382372322</v>
      </c>
      <c r="O35" s="14"/>
      <c r="P35" s="1">
        <f>SUM(OSRRefP22_2x_0)</f>
        <v>10924.28</v>
      </c>
      <c r="Q35" s="1"/>
      <c r="R35" s="5">
        <f t="shared" ref="R35:R42" si="20">IF(P$12=0,0,P35/P$12)</f>
        <v>0</v>
      </c>
      <c r="S35" s="1"/>
      <c r="T35" s="1">
        <f>SUM(OSRRefT22_2x_0)</f>
        <v>12351.94</v>
      </c>
      <c r="U35" s="1"/>
      <c r="V35" s="5">
        <f t="shared" ref="V35:V42" si="21">IF(T$12=0,0,T35/T$12)</f>
        <v>0</v>
      </c>
      <c r="W35" s="1"/>
      <c r="X35" s="1">
        <f t="shared" ref="X35:X42" si="22">+P35-T35</f>
        <v>-1427.6599999999999</v>
      </c>
      <c r="Y35" s="1"/>
      <c r="Z35" s="5">
        <f t="shared" ref="Z35:Z42" si="23">IF(T35=0,0,X35/T35)</f>
        <v>-0.11558184382372322</v>
      </c>
    </row>
    <row r="36" spans="1:26" s="24" customFormat="1" hidden="1" outlineLevel="2" x14ac:dyDescent="0.25">
      <c r="A36" s="29"/>
      <c r="B36" s="11" t="str">
        <f>CONCATENATE("          ", "6322", " - ", "EQUIPMENT DEPRECIATION EXPENSE")</f>
        <v xml:space="preserve">          6322 - EQUIPMENT DEPRECIATION EXPENSE</v>
      </c>
      <c r="C36" s="11"/>
      <c r="D36" s="7">
        <v>5462.14</v>
      </c>
      <c r="E36" s="2"/>
      <c r="F36" s="6">
        <f t="shared" si="16"/>
        <v>0</v>
      </c>
      <c r="G36" s="2"/>
      <c r="H36" s="7">
        <v>6175.97</v>
      </c>
      <c r="I36" s="2"/>
      <c r="J36" s="6">
        <f t="shared" si="17"/>
        <v>0</v>
      </c>
      <c r="K36" s="2"/>
      <c r="L36" s="7">
        <f t="shared" si="18"/>
        <v>-713.82999999999993</v>
      </c>
      <c r="M36" s="2"/>
      <c r="N36" s="6">
        <f t="shared" si="19"/>
        <v>-0.11558184382372322</v>
      </c>
      <c r="O36" s="11"/>
      <c r="P36" s="7">
        <v>10924.28</v>
      </c>
      <c r="Q36" s="2"/>
      <c r="R36" s="6">
        <f t="shared" si="20"/>
        <v>0</v>
      </c>
      <c r="S36" s="2"/>
      <c r="T36" s="7">
        <v>12351.94</v>
      </c>
      <c r="U36" s="2"/>
      <c r="V36" s="6">
        <f t="shared" si="21"/>
        <v>0</v>
      </c>
      <c r="W36" s="2"/>
      <c r="X36" s="7">
        <f t="shared" si="22"/>
        <v>-1427.6599999999999</v>
      </c>
      <c r="Y36" s="2"/>
      <c r="Z36" s="6">
        <f t="shared" si="23"/>
        <v>-0.11558184382372322</v>
      </c>
    </row>
    <row r="37" spans="1:26" s="28" customFormat="1" outlineLevel="1" collapsed="1" x14ac:dyDescent="0.25">
      <c r="A37" s="27"/>
      <c r="B37" s="14" t="str">
        <f>CONCATENATE("     ","Insurance                                         ")</f>
        <v xml:space="preserve">     Insurance                                         </v>
      </c>
      <c r="C37" s="14"/>
      <c r="D37" s="1">
        <f>SUM(OSRRefD22_3x_0)</f>
        <v>56.34</v>
      </c>
      <c r="E37" s="1"/>
      <c r="F37" s="5">
        <f t="shared" si="16"/>
        <v>0</v>
      </c>
      <c r="G37" s="1"/>
      <c r="H37" s="1">
        <f>SUM(OSRRefH22_3x_0)</f>
        <v>56.34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4"/>
      <c r="P37" s="1">
        <f>SUM(OSRRefP22_3x_0)</f>
        <v>112.68</v>
      </c>
      <c r="Q37" s="1"/>
      <c r="R37" s="5">
        <f t="shared" si="20"/>
        <v>0</v>
      </c>
      <c r="S37" s="1"/>
      <c r="T37" s="1">
        <f>SUM(OSRRefT22_3x_0)</f>
        <v>112.68</v>
      </c>
      <c r="U37" s="1"/>
      <c r="V37" s="5">
        <f t="shared" si="21"/>
        <v>0</v>
      </c>
      <c r="W37" s="1"/>
      <c r="X37" s="1">
        <f t="shared" si="22"/>
        <v>0</v>
      </c>
      <c r="Y37" s="1"/>
      <c r="Z37" s="5">
        <f t="shared" si="23"/>
        <v>0</v>
      </c>
    </row>
    <row r="38" spans="1:26" s="24" customFormat="1" hidden="1" outlineLevel="2" x14ac:dyDescent="0.25">
      <c r="A38" s="29"/>
      <c r="B38" s="11" t="str">
        <f>CONCATENATE("          ", "6314", " - ", "LIABILITY INSURANCE")</f>
        <v xml:space="preserve">          6314 - LIABILITY INSURANCE</v>
      </c>
      <c r="C38" s="11"/>
      <c r="D38" s="7">
        <v>56.34</v>
      </c>
      <c r="E38" s="2"/>
      <c r="F38" s="6">
        <f t="shared" si="16"/>
        <v>0</v>
      </c>
      <c r="G38" s="2"/>
      <c r="H38" s="7">
        <v>56.34</v>
      </c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>
        <v>112.68</v>
      </c>
      <c r="Q38" s="2"/>
      <c r="R38" s="6">
        <f t="shared" si="20"/>
        <v>0</v>
      </c>
      <c r="S38" s="2"/>
      <c r="T38" s="7">
        <v>112.68</v>
      </c>
      <c r="U38" s="2"/>
      <c r="V38" s="6">
        <f t="shared" si="21"/>
        <v>0</v>
      </c>
      <c r="W38" s="2"/>
      <c r="X38" s="7">
        <f t="shared" si="22"/>
        <v>0</v>
      </c>
      <c r="Y38" s="2"/>
      <c r="Z38" s="6">
        <f t="shared" si="23"/>
        <v>0</v>
      </c>
    </row>
    <row r="39" spans="1:26" s="28" customFormat="1" outlineLevel="1" collapsed="1" x14ac:dyDescent="0.25">
      <c r="A39" s="27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SUM(OSRRefD22_4x_0)</f>
        <v>11992</v>
      </c>
      <c r="E39" s="1"/>
      <c r="F39" s="5">
        <f t="shared" si="16"/>
        <v>0</v>
      </c>
      <c r="G39" s="1"/>
      <c r="H39" s="1">
        <f>SUM(OSRRefH22_4x_0)</f>
        <v>9497.9500000000007</v>
      </c>
      <c r="I39" s="1"/>
      <c r="J39" s="5">
        <f t="shared" si="17"/>
        <v>0</v>
      </c>
      <c r="K39" s="1"/>
      <c r="L39" s="1">
        <f t="shared" si="18"/>
        <v>2494.0499999999993</v>
      </c>
      <c r="M39" s="1"/>
      <c r="N39" s="5">
        <f t="shared" si="19"/>
        <v>0.26258824272606185</v>
      </c>
      <c r="O39" s="14"/>
      <c r="P39" s="1">
        <f>SUM(OSRRefP22_4x_0)</f>
        <v>23984</v>
      </c>
      <c r="Q39" s="1"/>
      <c r="R39" s="5">
        <f t="shared" si="20"/>
        <v>0</v>
      </c>
      <c r="S39" s="1"/>
      <c r="T39" s="1">
        <f>SUM(OSRRefT22_4x_0)</f>
        <v>19136.730000000003</v>
      </c>
      <c r="U39" s="1"/>
      <c r="V39" s="5">
        <f t="shared" si="21"/>
        <v>0</v>
      </c>
      <c r="W39" s="1"/>
      <c r="X39" s="1">
        <f t="shared" si="22"/>
        <v>4847.2699999999968</v>
      </c>
      <c r="Y39" s="1"/>
      <c r="Z39" s="5">
        <f t="shared" si="23"/>
        <v>0.25329667085233454</v>
      </c>
    </row>
    <row r="40" spans="1:26" s="24" customFormat="1" hidden="1" outlineLevel="2" x14ac:dyDescent="0.25">
      <c r="A40" s="29"/>
      <c r="B40" s="11" t="str">
        <f>CONCATENATE("          ", "6371", " - ", "COMPUTER SOFTWARE MAINTENANCE")</f>
        <v xml:space="preserve">          6371 - COMPUTER SOFTWARE MAINTENANCE</v>
      </c>
      <c r="C40" s="11"/>
      <c r="D40" s="7"/>
      <c r="E40" s="2"/>
      <c r="F40" s="6">
        <f t="shared" si="16"/>
        <v>0</v>
      </c>
      <c r="G40" s="2"/>
      <c r="H40" s="7">
        <v>90.95</v>
      </c>
      <c r="I40" s="2"/>
      <c r="J40" s="6">
        <f t="shared" si="17"/>
        <v>0</v>
      </c>
      <c r="K40" s="2"/>
      <c r="L40" s="7">
        <f t="shared" si="18"/>
        <v>-90.95</v>
      </c>
      <c r="M40" s="2"/>
      <c r="N40" s="6">
        <f t="shared" si="19"/>
        <v>-1</v>
      </c>
      <c r="O40" s="11"/>
      <c r="P40" s="7"/>
      <c r="Q40" s="2"/>
      <c r="R40" s="6">
        <f t="shared" si="20"/>
        <v>0</v>
      </c>
      <c r="S40" s="2"/>
      <c r="T40" s="7">
        <v>181.9</v>
      </c>
      <c r="U40" s="2"/>
      <c r="V40" s="6">
        <f t="shared" si="21"/>
        <v>0</v>
      </c>
      <c r="W40" s="2"/>
      <c r="X40" s="7">
        <f t="shared" si="22"/>
        <v>-181.9</v>
      </c>
      <c r="Y40" s="2"/>
      <c r="Z40" s="6">
        <f t="shared" si="23"/>
        <v>-1</v>
      </c>
    </row>
    <row r="41" spans="1:26" s="24" customFormat="1" hidden="1" outlineLevel="2" x14ac:dyDescent="0.25">
      <c r="A41" s="29"/>
      <c r="B41" s="11" t="str">
        <f>CONCATENATE("          ", "6373", " - ", "MAINTENANCE CONTRACTS")</f>
        <v xml:space="preserve">          6373 - MAINTENANCE CONTRACTS</v>
      </c>
      <c r="C41" s="11"/>
      <c r="D41" s="7">
        <v>11992</v>
      </c>
      <c r="E41" s="2"/>
      <c r="F41" s="6">
        <f t="shared" si="16"/>
        <v>0</v>
      </c>
      <c r="G41" s="2"/>
      <c r="H41" s="7">
        <v>9407</v>
      </c>
      <c r="I41" s="2"/>
      <c r="J41" s="6">
        <f t="shared" si="17"/>
        <v>0</v>
      </c>
      <c r="K41" s="2"/>
      <c r="L41" s="7">
        <f t="shared" si="18"/>
        <v>2585</v>
      </c>
      <c r="M41" s="2"/>
      <c r="N41" s="6">
        <f t="shared" si="19"/>
        <v>0.27479536515360903</v>
      </c>
      <c r="O41" s="11"/>
      <c r="P41" s="7">
        <v>23984</v>
      </c>
      <c r="Q41" s="2"/>
      <c r="R41" s="6">
        <f t="shared" si="20"/>
        <v>0</v>
      </c>
      <c r="S41" s="2"/>
      <c r="T41" s="7">
        <v>18923.150000000001</v>
      </c>
      <c r="U41" s="2"/>
      <c r="V41" s="6">
        <f t="shared" si="21"/>
        <v>0</v>
      </c>
      <c r="W41" s="2"/>
      <c r="X41" s="7">
        <f t="shared" si="22"/>
        <v>5060.8499999999985</v>
      </c>
      <c r="Y41" s="2"/>
      <c r="Z41" s="6">
        <f t="shared" si="23"/>
        <v>0.26744225987745157</v>
      </c>
    </row>
    <row r="42" spans="1:26" s="24" customFormat="1" hidden="1" outlineLevel="2" x14ac:dyDescent="0.25">
      <c r="A42" s="29"/>
      <c r="B42" s="11" t="str">
        <f>CONCATENATE("          ", "6375", " - ", "OUTSIDE REPAIRS &amp; MAINTENANCE")</f>
        <v xml:space="preserve">          6375 - OUTSIDE REPAIRS &amp; MAINTENANCE</v>
      </c>
      <c r="C42" s="11"/>
      <c r="D42" s="7"/>
      <c r="E42" s="2"/>
      <c r="F42" s="6">
        <f t="shared" si="16"/>
        <v>0</v>
      </c>
      <c r="G42" s="2"/>
      <c r="H42" s="7"/>
      <c r="I42" s="2"/>
      <c r="J42" s="6">
        <f t="shared" si="17"/>
        <v>0</v>
      </c>
      <c r="K42" s="2"/>
      <c r="L42" s="7">
        <f t="shared" si="18"/>
        <v>0</v>
      </c>
      <c r="M42" s="2"/>
      <c r="N42" s="6">
        <f t="shared" si="19"/>
        <v>0</v>
      </c>
      <c r="O42" s="11"/>
      <c r="P42" s="7"/>
      <c r="Q42" s="2"/>
      <c r="R42" s="6">
        <f t="shared" si="20"/>
        <v>0</v>
      </c>
      <c r="S42" s="2"/>
      <c r="T42" s="7">
        <v>31.68</v>
      </c>
      <c r="U42" s="2"/>
      <c r="V42" s="6">
        <f t="shared" si="21"/>
        <v>0</v>
      </c>
      <c r="W42" s="2"/>
      <c r="X42" s="7">
        <f t="shared" si="22"/>
        <v>-31.68</v>
      </c>
      <c r="Y42" s="2"/>
      <c r="Z42" s="6">
        <f t="shared" si="23"/>
        <v>-1</v>
      </c>
    </row>
    <row r="43" spans="1:26" s="28" customFormat="1" outlineLevel="1" collapsed="1" x14ac:dyDescent="0.25">
      <c r="A43" s="27"/>
      <c r="B43" s="14" t="str">
        <f>CONCATENATE("     ","Supplies                                          ")</f>
        <v xml:space="preserve">     Supplies                                          </v>
      </c>
      <c r="C43" s="14"/>
      <c r="D43" s="1">
        <f>SUM(OSRRefD22_5x_0)</f>
        <v>11.38</v>
      </c>
      <c r="E43" s="1"/>
      <c r="F43" s="5">
        <f t="shared" ref="F43:F47" si="24">IF(D$12=0,0,D43/D$12)</f>
        <v>0</v>
      </c>
      <c r="G43" s="1"/>
      <c r="H43" s="1">
        <f>SUM(OSRRefH22_5x_0)</f>
        <v>3455.18</v>
      </c>
      <c r="I43" s="1"/>
      <c r="J43" s="5">
        <f t="shared" ref="J43:J47" si="25">IF(H$12=0,0,H43/H$12)</f>
        <v>0</v>
      </c>
      <c r="K43" s="1"/>
      <c r="L43" s="1">
        <f t="shared" ref="L43:L47" si="26">+D43-H43</f>
        <v>-3443.7999999999997</v>
      </c>
      <c r="M43" s="1"/>
      <c r="N43" s="5">
        <f t="shared" ref="N43:N47" si="27">IF(H43=0,0,L43/H43)</f>
        <v>-0.99670639445701814</v>
      </c>
      <c r="O43" s="14"/>
      <c r="P43" s="1">
        <f>SUM(OSRRefP22_5x_0)</f>
        <v>-44.08</v>
      </c>
      <c r="Q43" s="1"/>
      <c r="R43" s="5">
        <f t="shared" ref="R43:R47" si="28">IF(P$12=0,0,P43/P$12)</f>
        <v>0</v>
      </c>
      <c r="S43" s="1"/>
      <c r="T43" s="1">
        <f>SUM(OSRRefT22_5x_0)</f>
        <v>10066.780000000001</v>
      </c>
      <c r="U43" s="1"/>
      <c r="V43" s="5">
        <f t="shared" ref="V43:V47" si="29">IF(T$12=0,0,T43/T$12)</f>
        <v>0</v>
      </c>
      <c r="W43" s="1"/>
      <c r="X43" s="1">
        <f t="shared" ref="X43:X47" si="30">+P43-T43</f>
        <v>-10110.86</v>
      </c>
      <c r="Y43" s="1"/>
      <c r="Z43" s="5">
        <f t="shared" ref="Z43:Z47" si="31">IF(T43=0,0,X43/T43)</f>
        <v>-1.004378758649737</v>
      </c>
    </row>
    <row r="44" spans="1:26" s="24" customFormat="1" hidden="1" outlineLevel="2" x14ac:dyDescent="0.25">
      <c r="A44" s="29"/>
      <c r="B44" s="11" t="str">
        <f>CONCATENATE("          ", "6241", " - ", "OFFICE EXPENSE")</f>
        <v xml:space="preserve">          6241 - OFFICE EXPENSE</v>
      </c>
      <c r="C44" s="11"/>
      <c r="D44" s="7">
        <v>11.38</v>
      </c>
      <c r="E44" s="2"/>
      <c r="F44" s="6">
        <f t="shared" si="24"/>
        <v>0</v>
      </c>
      <c r="G44" s="2"/>
      <c r="H44" s="7">
        <v>3455.18</v>
      </c>
      <c r="I44" s="2"/>
      <c r="J44" s="6">
        <f t="shared" si="25"/>
        <v>0</v>
      </c>
      <c r="K44" s="2"/>
      <c r="L44" s="7">
        <f t="shared" si="26"/>
        <v>-3443.7999999999997</v>
      </c>
      <c r="M44" s="2"/>
      <c r="N44" s="6">
        <f t="shared" si="27"/>
        <v>-0.99670639445701814</v>
      </c>
      <c r="O44" s="11"/>
      <c r="P44" s="7">
        <v>-44.08</v>
      </c>
      <c r="Q44" s="2"/>
      <c r="R44" s="6">
        <f t="shared" si="28"/>
        <v>0</v>
      </c>
      <c r="S44" s="2"/>
      <c r="T44" s="7">
        <v>10066.780000000001</v>
      </c>
      <c r="U44" s="2"/>
      <c r="V44" s="6">
        <f t="shared" si="29"/>
        <v>0</v>
      </c>
      <c r="W44" s="2"/>
      <c r="X44" s="7">
        <f t="shared" si="30"/>
        <v>-10110.86</v>
      </c>
      <c r="Y44" s="2"/>
      <c r="Z44" s="6">
        <f t="shared" si="31"/>
        <v>-1.004378758649737</v>
      </c>
    </row>
    <row r="45" spans="1:26" s="28" customFormat="1" outlineLevel="1" collapsed="1" x14ac:dyDescent="0.25">
      <c r="A45" s="27"/>
      <c r="B45" s="14" t="str">
        <f>CONCATENATE("     ","Telephone/Data Lines                              ")</f>
        <v xml:space="preserve">     Telephone/Data Lines                              </v>
      </c>
      <c r="C45" s="14"/>
      <c r="D45" s="1">
        <f>SUM(OSRRefD22_6x_0)</f>
        <v>1007.05</v>
      </c>
      <c r="E45" s="1"/>
      <c r="F45" s="5">
        <f t="shared" si="24"/>
        <v>0</v>
      </c>
      <c r="G45" s="1"/>
      <c r="H45" s="1">
        <f>SUM(OSRRefH22_6x_0)</f>
        <v>929.56999999999994</v>
      </c>
      <c r="I45" s="1"/>
      <c r="J45" s="5">
        <f t="shared" si="25"/>
        <v>0</v>
      </c>
      <c r="K45" s="1"/>
      <c r="L45" s="1">
        <f t="shared" si="26"/>
        <v>77.480000000000018</v>
      </c>
      <c r="M45" s="1"/>
      <c r="N45" s="5">
        <f t="shared" si="27"/>
        <v>8.3350366298396053E-2</v>
      </c>
      <c r="O45" s="14"/>
      <c r="P45" s="1">
        <f>SUM(OSRRefP22_6x_0)</f>
        <v>1863.82</v>
      </c>
      <c r="Q45" s="1"/>
      <c r="R45" s="5">
        <f t="shared" si="28"/>
        <v>0</v>
      </c>
      <c r="S45" s="1"/>
      <c r="T45" s="1">
        <f>SUM(OSRRefT22_6x_0)</f>
        <v>4978.8099999999995</v>
      </c>
      <c r="U45" s="1"/>
      <c r="V45" s="5">
        <f t="shared" si="29"/>
        <v>0</v>
      </c>
      <c r="W45" s="1"/>
      <c r="X45" s="1">
        <f t="shared" si="30"/>
        <v>-3114.99</v>
      </c>
      <c r="Y45" s="1"/>
      <c r="Z45" s="5">
        <f t="shared" si="31"/>
        <v>-0.62564950259198482</v>
      </c>
    </row>
    <row r="46" spans="1:26" s="24" customFormat="1" hidden="1" outlineLevel="2" x14ac:dyDescent="0.25">
      <c r="A46" s="29"/>
      <c r="B46" s="11" t="str">
        <f>CONCATENATE("          ", "6303", " - ", "DATA PHONE LINES")</f>
        <v xml:space="preserve">          6303 - DATA PHONE LINES</v>
      </c>
      <c r="C46" s="11"/>
      <c r="D46" s="7">
        <v>78.989999999999995</v>
      </c>
      <c r="E46" s="2"/>
      <c r="F46" s="6">
        <f t="shared" si="24"/>
        <v>0</v>
      </c>
      <c r="G46" s="2"/>
      <c r="H46" s="7">
        <v>195.54</v>
      </c>
      <c r="I46" s="2"/>
      <c r="J46" s="6">
        <f t="shared" si="25"/>
        <v>0</v>
      </c>
      <c r="K46" s="2"/>
      <c r="L46" s="7">
        <f t="shared" si="26"/>
        <v>-116.55</v>
      </c>
      <c r="M46" s="2"/>
      <c r="N46" s="6">
        <f t="shared" si="27"/>
        <v>-0.59604173059220622</v>
      </c>
      <c r="O46" s="11"/>
      <c r="P46" s="7">
        <v>157.97999999999999</v>
      </c>
      <c r="Q46" s="2"/>
      <c r="R46" s="6">
        <f t="shared" si="28"/>
        <v>0</v>
      </c>
      <c r="S46" s="2"/>
      <c r="T46" s="7">
        <v>391.07</v>
      </c>
      <c r="U46" s="2"/>
      <c r="V46" s="6">
        <f t="shared" si="29"/>
        <v>0</v>
      </c>
      <c r="W46" s="2"/>
      <c r="X46" s="7">
        <f t="shared" si="30"/>
        <v>-233.09</v>
      </c>
      <c r="Y46" s="2"/>
      <c r="Z46" s="6">
        <f t="shared" si="31"/>
        <v>-0.59603140102794894</v>
      </c>
    </row>
    <row r="47" spans="1:26" s="24" customFormat="1" hidden="1" outlineLevel="2" x14ac:dyDescent="0.25">
      <c r="A47" s="29"/>
      <c r="B47" s="11" t="str">
        <f>CONCATENATE("          ", "6309", " - ", "TELEPHONE")</f>
        <v xml:space="preserve">          6309 - TELEPHONE</v>
      </c>
      <c r="C47" s="11"/>
      <c r="D47" s="7">
        <v>928.06</v>
      </c>
      <c r="E47" s="2"/>
      <c r="F47" s="6">
        <f t="shared" si="24"/>
        <v>0</v>
      </c>
      <c r="G47" s="2"/>
      <c r="H47" s="7">
        <v>734.03</v>
      </c>
      <c r="I47" s="2"/>
      <c r="J47" s="6">
        <f t="shared" si="25"/>
        <v>0</v>
      </c>
      <c r="K47" s="2"/>
      <c r="L47" s="7">
        <f t="shared" si="26"/>
        <v>194.02999999999997</v>
      </c>
      <c r="M47" s="2"/>
      <c r="N47" s="6">
        <f t="shared" si="27"/>
        <v>0.26433524515346779</v>
      </c>
      <c r="O47" s="11"/>
      <c r="P47" s="7">
        <v>1705.84</v>
      </c>
      <c r="Q47" s="2"/>
      <c r="R47" s="6">
        <f t="shared" si="28"/>
        <v>0</v>
      </c>
      <c r="S47" s="2"/>
      <c r="T47" s="7">
        <v>4587.74</v>
      </c>
      <c r="U47" s="2"/>
      <c r="V47" s="6">
        <f t="shared" si="29"/>
        <v>0</v>
      </c>
      <c r="W47" s="2"/>
      <c r="X47" s="7">
        <f t="shared" si="30"/>
        <v>-2881.8999999999996</v>
      </c>
      <c r="Y47" s="2"/>
      <c r="Z47" s="6">
        <f t="shared" si="31"/>
        <v>-0.62817422085820029</v>
      </c>
    </row>
    <row r="48" spans="1:26" s="28" customFormat="1" outlineLevel="1" collapsed="1" x14ac:dyDescent="0.25">
      <c r="A48" s="27"/>
      <c r="B48" s="14" t="str">
        <f>CONCATENATE("     ","Training                                          ")</f>
        <v xml:space="preserve">     Training                                          </v>
      </c>
      <c r="C48" s="14"/>
      <c r="D48" s="1">
        <f>SUM(OSRRefD22_7x_0)</f>
        <v>0</v>
      </c>
      <c r="E48" s="1"/>
      <c r="F48" s="5">
        <f t="shared" ref="F48:F51" si="32">IF(D$12=0,0,D48/D$12)</f>
        <v>0</v>
      </c>
      <c r="G48" s="1"/>
      <c r="H48" s="1">
        <f>SUM(OSRRefH22_7x_0)</f>
        <v>49</v>
      </c>
      <c r="I48" s="1"/>
      <c r="J48" s="5">
        <f t="shared" ref="J48:J51" si="33">IF(H$12=0,0,H48/H$12)</f>
        <v>0</v>
      </c>
      <c r="K48" s="1"/>
      <c r="L48" s="1">
        <f t="shared" ref="L48:L51" si="34">+D48-H48</f>
        <v>-49</v>
      </c>
      <c r="M48" s="1"/>
      <c r="N48" s="5">
        <f t="shared" ref="N48:N51" si="35">IF(H48=0,0,L48/H48)</f>
        <v>-1</v>
      </c>
      <c r="O48" s="14"/>
      <c r="P48" s="1">
        <f>SUM(OSRRefP22_7x_0)</f>
        <v>0</v>
      </c>
      <c r="Q48" s="1"/>
      <c r="R48" s="5">
        <f t="shared" ref="R48:R51" si="36">IF(P$12=0,0,P48/P$12)</f>
        <v>0</v>
      </c>
      <c r="S48" s="1"/>
      <c r="T48" s="1">
        <f>SUM(OSRRefT22_7x_0)</f>
        <v>98</v>
      </c>
      <c r="U48" s="1"/>
      <c r="V48" s="5">
        <f t="shared" ref="V48:V51" si="37">IF(T$12=0,0,T48/T$12)</f>
        <v>0</v>
      </c>
      <c r="W48" s="1"/>
      <c r="X48" s="1">
        <f t="shared" ref="X48:X51" si="38">+P48-T48</f>
        <v>-98</v>
      </c>
      <c r="Y48" s="1"/>
      <c r="Z48" s="5">
        <f t="shared" ref="Z48:Z51" si="39">IF(T48=0,0,X48/T48)</f>
        <v>-1</v>
      </c>
    </row>
    <row r="49" spans="1:26" s="24" customFormat="1" hidden="1" outlineLevel="2" x14ac:dyDescent="0.25">
      <c r="A49" s="29"/>
      <c r="B49" s="11" t="str">
        <f>CONCATENATE("          ", "6376", " - ", "TRAINING")</f>
        <v xml:space="preserve">          6376 - TRAINING</v>
      </c>
      <c r="C49" s="11"/>
      <c r="D49" s="7"/>
      <c r="E49" s="2"/>
      <c r="F49" s="6">
        <f t="shared" si="32"/>
        <v>0</v>
      </c>
      <c r="G49" s="2"/>
      <c r="H49" s="7">
        <v>49</v>
      </c>
      <c r="I49" s="2"/>
      <c r="J49" s="6">
        <f t="shared" si="33"/>
        <v>0</v>
      </c>
      <c r="K49" s="2"/>
      <c r="L49" s="7">
        <f t="shared" si="34"/>
        <v>-49</v>
      </c>
      <c r="M49" s="2"/>
      <c r="N49" s="6">
        <f t="shared" si="35"/>
        <v>-1</v>
      </c>
      <c r="O49" s="11"/>
      <c r="P49" s="7"/>
      <c r="Q49" s="2"/>
      <c r="R49" s="6">
        <f t="shared" si="36"/>
        <v>0</v>
      </c>
      <c r="S49" s="2"/>
      <c r="T49" s="7">
        <v>98</v>
      </c>
      <c r="U49" s="2"/>
      <c r="V49" s="6">
        <f t="shared" si="37"/>
        <v>0</v>
      </c>
      <c r="W49" s="2"/>
      <c r="X49" s="7">
        <f t="shared" si="38"/>
        <v>-98</v>
      </c>
      <c r="Y49" s="2"/>
      <c r="Z49" s="6">
        <f t="shared" si="39"/>
        <v>-1</v>
      </c>
    </row>
    <row r="50" spans="1:26" s="28" customFormat="1" outlineLevel="1" collapsed="1" x14ac:dyDescent="0.25">
      <c r="A50" s="27"/>
      <c r="B50" s="14" t="str">
        <f>CONCATENATE("     ","Travel                                            ")</f>
        <v xml:space="preserve">     Travel                                            </v>
      </c>
      <c r="C50" s="14"/>
      <c r="D50" s="1">
        <f>SUM(OSRRefD22_8x_0)</f>
        <v>0</v>
      </c>
      <c r="E50" s="1"/>
      <c r="F50" s="5">
        <f t="shared" si="32"/>
        <v>0</v>
      </c>
      <c r="G50" s="1"/>
      <c r="H50" s="1">
        <f>SUM(OSRRefH22_8x_0)</f>
        <v>23.9</v>
      </c>
      <c r="I50" s="1"/>
      <c r="J50" s="5">
        <f t="shared" si="33"/>
        <v>0</v>
      </c>
      <c r="K50" s="1"/>
      <c r="L50" s="1">
        <f t="shared" si="34"/>
        <v>-23.9</v>
      </c>
      <c r="M50" s="1"/>
      <c r="N50" s="5">
        <f t="shared" si="35"/>
        <v>-1</v>
      </c>
      <c r="O50" s="14"/>
      <c r="P50" s="1">
        <f>SUM(OSRRefP22_8x_0)</f>
        <v>0</v>
      </c>
      <c r="Q50" s="1"/>
      <c r="R50" s="5">
        <f t="shared" si="36"/>
        <v>0</v>
      </c>
      <c r="S50" s="1"/>
      <c r="T50" s="1">
        <f>SUM(OSRRefT22_8x_0)</f>
        <v>23.9</v>
      </c>
      <c r="U50" s="1"/>
      <c r="V50" s="5">
        <f t="shared" si="37"/>
        <v>0</v>
      </c>
      <c r="W50" s="1"/>
      <c r="X50" s="1">
        <f t="shared" si="38"/>
        <v>-23.9</v>
      </c>
      <c r="Y50" s="1"/>
      <c r="Z50" s="5">
        <f t="shared" si="39"/>
        <v>-1</v>
      </c>
    </row>
    <row r="51" spans="1:26" s="24" customFormat="1" hidden="1" outlineLevel="2" x14ac:dyDescent="0.25">
      <c r="A51" s="29"/>
      <c r="B51" s="11" t="str">
        <f>CONCATENATE("          ", "6294", " - ", "TRAVEL OPERATIONAL")</f>
        <v xml:space="preserve">          6294 - TRAVEL OPERATIONAL</v>
      </c>
      <c r="C51" s="11"/>
      <c r="D51" s="7"/>
      <c r="E51" s="2"/>
      <c r="F51" s="6">
        <f t="shared" si="32"/>
        <v>0</v>
      </c>
      <c r="G51" s="2"/>
      <c r="H51" s="7">
        <v>23.9</v>
      </c>
      <c r="I51" s="2"/>
      <c r="J51" s="6">
        <f t="shared" si="33"/>
        <v>0</v>
      </c>
      <c r="K51" s="2"/>
      <c r="L51" s="7">
        <f t="shared" si="34"/>
        <v>-23.9</v>
      </c>
      <c r="M51" s="2"/>
      <c r="N51" s="6">
        <f t="shared" si="35"/>
        <v>-1</v>
      </c>
      <c r="O51" s="11"/>
      <c r="P51" s="7"/>
      <c r="Q51" s="2"/>
      <c r="R51" s="6">
        <f t="shared" si="36"/>
        <v>0</v>
      </c>
      <c r="S51" s="2"/>
      <c r="T51" s="7">
        <v>23.9</v>
      </c>
      <c r="U51" s="2"/>
      <c r="V51" s="6">
        <f t="shared" si="37"/>
        <v>0</v>
      </c>
      <c r="W51" s="2"/>
      <c r="X51" s="7">
        <f t="shared" si="38"/>
        <v>-23.9</v>
      </c>
      <c r="Y51" s="2"/>
      <c r="Z51" s="6">
        <f t="shared" si="39"/>
        <v>-1</v>
      </c>
    </row>
    <row r="52" spans="1:26" s="52" customFormat="1" x14ac:dyDescent="0.25">
      <c r="A52" s="37"/>
      <c r="B52" s="37"/>
      <c r="C52" s="37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5" t="s">
        <v>0</v>
      </c>
      <c r="C53" s="10"/>
      <c r="D53" s="4">
        <f>SUM(0)</f>
        <v>0</v>
      </c>
      <c r="E53" s="4"/>
      <c r="F53" s="12">
        <f>IF(D$12=0,0,D53/D$12)</f>
        <v>0</v>
      </c>
      <c r="G53" s="4"/>
      <c r="H53" s="4">
        <f>SUM(0)</f>
        <v>0</v>
      </c>
      <c r="I53" s="4"/>
      <c r="J53" s="12">
        <f>IF(H$12=0,0,H53/H$12)</f>
        <v>0</v>
      </c>
      <c r="K53" s="4"/>
      <c r="L53" s="4">
        <f>+D53-H53</f>
        <v>0</v>
      </c>
      <c r="M53" s="4"/>
      <c r="N53" s="12">
        <f>IF(H53=0,0,L53/H53)</f>
        <v>0</v>
      </c>
      <c r="O53" s="10"/>
      <c r="P53" s="4">
        <f>SUM(0)</f>
        <v>0</v>
      </c>
      <c r="Q53" s="4"/>
      <c r="R53" s="12">
        <f>IF(P$12=0,0,P53/P$12)</f>
        <v>0</v>
      </c>
      <c r="S53" s="4"/>
      <c r="T53" s="4">
        <f>SUM(0)</f>
        <v>0</v>
      </c>
      <c r="U53" s="4"/>
      <c r="V53" s="12">
        <f>IF(T$12=0,0,T53/T$12)</f>
        <v>0</v>
      </c>
      <c r="W53" s="4"/>
      <c r="X53" s="4">
        <f>+P53-T53</f>
        <v>0</v>
      </c>
      <c r="Y53" s="4"/>
      <c r="Z53" s="12">
        <f>IF(T53=0,0,X53/T53)</f>
        <v>0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6" t="s">
        <v>3</v>
      </c>
      <c r="C55" s="26"/>
      <c r="D55" s="22">
        <f>+D16-D18+D53</f>
        <v>-49895.869999999995</v>
      </c>
      <c r="E55" s="13"/>
      <c r="F55" s="21">
        <f>IF(D$12=0,0,D55/D$12)</f>
        <v>0</v>
      </c>
      <c r="G55" s="13"/>
      <c r="H55" s="22">
        <f>+H16-H18+H53</f>
        <v>-56780.079999999994</v>
      </c>
      <c r="I55" s="13"/>
      <c r="J55" s="21">
        <f>IF(H$12=0,0,H55/H$12)</f>
        <v>0</v>
      </c>
      <c r="K55" s="16"/>
      <c r="L55" s="22">
        <f>+D55-H55</f>
        <v>6884.2099999999991</v>
      </c>
      <c r="M55" s="16"/>
      <c r="N55" s="21">
        <f>IF(H55=0,0,L55/H55)</f>
        <v>-0.12124340085466592</v>
      </c>
      <c r="O55" s="25"/>
      <c r="P55" s="22">
        <f>+P16-P18+P53</f>
        <v>-106804.62999999998</v>
      </c>
      <c r="Q55" s="13"/>
      <c r="R55" s="21">
        <f>IF(P$12=0,0,P55/P$12)</f>
        <v>0</v>
      </c>
      <c r="S55" s="13"/>
      <c r="T55" s="22">
        <f>+T16-T18+T53</f>
        <v>-124455.92999999998</v>
      </c>
      <c r="U55" s="13"/>
      <c r="V55" s="21">
        <f>IF(T$12=0,0,T55/T$12)</f>
        <v>0</v>
      </c>
      <c r="W55" s="16"/>
      <c r="X55" s="22">
        <f>+P55-T55</f>
        <v>17651.300000000003</v>
      </c>
      <c r="Y55" s="16"/>
      <c r="Z55" s="21">
        <f>IF(T55=0,0,X55/T55)</f>
        <v>-0.14182771363325158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1"/>
      <c r="B57" s="10" t="s">
        <v>13</v>
      </c>
      <c r="C57" s="10"/>
      <c r="D57" s="4"/>
      <c r="E57" s="4"/>
      <c r="F57" s="12">
        <f>IF(D$12=0,0,D57/D$12)</f>
        <v>0</v>
      </c>
      <c r="G57" s="4"/>
      <c r="H57" s="4"/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/>
      <c r="Q57" s="4"/>
      <c r="R57" s="12">
        <f>IF(P$12=0,0,P57/P$12)</f>
        <v>0</v>
      </c>
      <c r="S57" s="4"/>
      <c r="T57" s="4"/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6" t="s">
        <v>4</v>
      </c>
      <c r="C59" s="26"/>
      <c r="D59" s="36">
        <f>+D55-D57</f>
        <v>-49895.869999999995</v>
      </c>
      <c r="E59" s="13"/>
      <c r="F59" s="34">
        <f>IF(D$12=0,0,D59/D$12)</f>
        <v>0</v>
      </c>
      <c r="G59" s="13"/>
      <c r="H59" s="36">
        <f>+H55-H57</f>
        <v>-56780.079999999994</v>
      </c>
      <c r="I59" s="13"/>
      <c r="J59" s="34">
        <f>IF(H$12=0,0,H59/H$12)</f>
        <v>0</v>
      </c>
      <c r="K59" s="16"/>
      <c r="L59" s="36">
        <f>D59-H59</f>
        <v>6884.2099999999991</v>
      </c>
      <c r="M59" s="16"/>
      <c r="N59" s="34">
        <f>IF(H59=0,0,L59/H59)</f>
        <v>-0.12124340085466592</v>
      </c>
      <c r="O59" s="25"/>
      <c r="P59" s="36">
        <f>+P55-P57</f>
        <v>-106804.62999999998</v>
      </c>
      <c r="Q59" s="13"/>
      <c r="R59" s="34">
        <f>IF(P$12=0,0,P59/P$12)</f>
        <v>0</v>
      </c>
      <c r="S59" s="13"/>
      <c r="T59" s="36">
        <f>+T55-T57</f>
        <v>-124455.92999999998</v>
      </c>
      <c r="U59" s="13"/>
      <c r="V59" s="34">
        <f>IF(T$12=0,0,T59/T$12)</f>
        <v>0</v>
      </c>
      <c r="W59" s="16"/>
      <c r="X59" s="36">
        <f>P59-T59</f>
        <v>17651.300000000003</v>
      </c>
      <c r="Y59" s="16"/>
      <c r="Z59" s="34">
        <f>IF(T59=0,0,X59/T59)</f>
        <v>-0.14182771363325158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6" t="s">
        <v>5</v>
      </c>
      <c r="C62" s="26"/>
      <c r="D62" s="30">
        <f>SUM(D59:D61)</f>
        <v>-49895.869999999995</v>
      </c>
      <c r="E62" s="13"/>
      <c r="F62" s="31">
        <f>IF(D$12=0,0,D62/D$12)</f>
        <v>0</v>
      </c>
      <c r="G62" s="13"/>
      <c r="H62" s="30">
        <f>SUM(H59:H61)</f>
        <v>-56780.079999999994</v>
      </c>
      <c r="I62" s="13"/>
      <c r="J62" s="31">
        <f>IF(H$12=0,0,H62/H$12)</f>
        <v>0</v>
      </c>
      <c r="K62" s="16"/>
      <c r="L62" s="30">
        <f>+D62-H62</f>
        <v>6884.2099999999991</v>
      </c>
      <c r="M62" s="16"/>
      <c r="N62" s="31">
        <f>IF(H62=0,0,L62/H62)</f>
        <v>-0.12124340085466592</v>
      </c>
      <c r="O62" s="25"/>
      <c r="P62" s="30">
        <f>SUM(P59:P61)</f>
        <v>-106804.62999999998</v>
      </c>
      <c r="Q62" s="13"/>
      <c r="R62" s="31">
        <f>IF(P$12=0,0,P62/P$12)</f>
        <v>0</v>
      </c>
      <c r="S62" s="13"/>
      <c r="T62" s="30">
        <f>SUM(T59:T61)</f>
        <v>-124455.92999999998</v>
      </c>
      <c r="U62" s="13"/>
      <c r="V62" s="31">
        <f>IF(T$12=0,0,T62/T$12)</f>
        <v>0</v>
      </c>
      <c r="W62" s="16"/>
      <c r="X62" s="30">
        <f>+P62-T62</f>
        <v>17651.300000000003</v>
      </c>
      <c r="Y62" s="16"/>
      <c r="Z62" s="31">
        <f>IF(T62=0,0,X62/T62)</f>
        <v>-0.14182771363325158</v>
      </c>
    </row>
    <row r="63" spans="1:26" ht="15.75" thickTop="1" x14ac:dyDescent="0.25">
      <c r="A63" s="9"/>
      <c r="C63" s="9"/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1">
        <v>44113.696030173611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6" t="s">
        <v>313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8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","205", " - ", "Maintenance")</f>
        <v>Department 205 - Maintenance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7276.8300000000008</v>
      </c>
      <c r="E18" s="20"/>
      <c r="F18" s="35">
        <f t="shared" ref="F18:F27" si="0">IF(D$12=0,0,D18/D$12)</f>
        <v>0</v>
      </c>
      <c r="G18" s="20"/>
      <c r="H18" s="20">
        <f>SUM(OSRRefH22x_0)</f>
        <v>9278.51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-2001.6799999999994</v>
      </c>
      <c r="M18" s="4"/>
      <c r="N18" s="35">
        <f t="shared" ref="N18:N27" si="3">IF(H18=0,0,L18/H18)</f>
        <v>-0.21573291401313349</v>
      </c>
      <c r="O18" s="10"/>
      <c r="P18" s="20">
        <f>SUM(OSRRefP22x_0)</f>
        <v>16656.09</v>
      </c>
      <c r="Q18" s="20"/>
      <c r="R18" s="35">
        <f t="shared" ref="R18:R27" si="4">IF(P$12=0,0,P18/P$12)</f>
        <v>0</v>
      </c>
      <c r="S18" s="20"/>
      <c r="T18" s="20">
        <f>SUM(OSRRefT22x_0)</f>
        <v>17460.419999999998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-804.32999999999811</v>
      </c>
      <c r="Y18" s="4"/>
      <c r="Z18" s="35">
        <f t="shared" ref="Z18:Z27" si="7">IF(T18=0,0,X18/T18)</f>
        <v>-4.6065902194792459E-2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2346.52</v>
      </c>
      <c r="E19" s="1"/>
      <c r="F19" s="5">
        <f t="shared" si="0"/>
        <v>0</v>
      </c>
      <c r="G19" s="1"/>
      <c r="H19" s="1">
        <f>SUM(OSRRefH22_0x_0)</f>
        <v>2521.2799999999997</v>
      </c>
      <c r="I19" s="1"/>
      <c r="J19" s="5">
        <f t="shared" si="1"/>
        <v>0</v>
      </c>
      <c r="K19" s="1"/>
      <c r="L19" s="1">
        <f t="shared" si="2"/>
        <v>-174.75999999999976</v>
      </c>
      <c r="M19" s="1"/>
      <c r="N19" s="5">
        <f t="shared" si="3"/>
        <v>-6.9313999238481958E-2</v>
      </c>
      <c r="O19" s="14"/>
      <c r="P19" s="1">
        <f>SUM(OSRRefP22_0x_0)</f>
        <v>4903.2799999999988</v>
      </c>
      <c r="Q19" s="1"/>
      <c r="R19" s="5">
        <f t="shared" si="4"/>
        <v>0</v>
      </c>
      <c r="S19" s="1"/>
      <c r="T19" s="1">
        <f>SUM(OSRRefT22_0x_0)</f>
        <v>6104.7400000000007</v>
      </c>
      <c r="U19" s="1"/>
      <c r="V19" s="5">
        <f t="shared" si="5"/>
        <v>0</v>
      </c>
      <c r="W19" s="1"/>
      <c r="X19" s="1">
        <f t="shared" si="6"/>
        <v>-1201.4600000000019</v>
      </c>
      <c r="Y19" s="1"/>
      <c r="Z19" s="5">
        <f t="shared" si="7"/>
        <v>-0.19680772645518102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315.83999999999997</v>
      </c>
      <c r="E20" s="2"/>
      <c r="F20" s="6">
        <f t="shared" si="0"/>
        <v>0</v>
      </c>
      <c r="G20" s="2"/>
      <c r="H20" s="7">
        <v>352.41</v>
      </c>
      <c r="I20" s="2"/>
      <c r="J20" s="6">
        <f t="shared" si="1"/>
        <v>0</v>
      </c>
      <c r="K20" s="2"/>
      <c r="L20" s="7">
        <f t="shared" si="2"/>
        <v>-36.57000000000005</v>
      </c>
      <c r="M20" s="2"/>
      <c r="N20" s="6">
        <f t="shared" si="3"/>
        <v>-0.1037711756193072</v>
      </c>
      <c r="O20" s="11"/>
      <c r="P20" s="7">
        <v>634.4</v>
      </c>
      <c r="Q20" s="2"/>
      <c r="R20" s="6">
        <f t="shared" si="4"/>
        <v>0</v>
      </c>
      <c r="S20" s="2"/>
      <c r="T20" s="7">
        <v>668.67</v>
      </c>
      <c r="U20" s="2"/>
      <c r="V20" s="6">
        <f t="shared" si="5"/>
        <v>0</v>
      </c>
      <c r="W20" s="2"/>
      <c r="X20" s="7">
        <f t="shared" si="6"/>
        <v>-34.269999999999982</v>
      </c>
      <c r="Y20" s="2"/>
      <c r="Z20" s="6">
        <f t="shared" si="7"/>
        <v>-5.1250990772727927E-2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286.13</v>
      </c>
      <c r="E21" s="2"/>
      <c r="F21" s="6">
        <f t="shared" si="0"/>
        <v>0</v>
      </c>
      <c r="G21" s="2"/>
      <c r="H21" s="7">
        <v>301.22000000000003</v>
      </c>
      <c r="I21" s="2"/>
      <c r="J21" s="6">
        <f t="shared" si="1"/>
        <v>0</v>
      </c>
      <c r="K21" s="2"/>
      <c r="L21" s="7">
        <f t="shared" si="2"/>
        <v>-15.090000000000032</v>
      </c>
      <c r="M21" s="2"/>
      <c r="N21" s="6">
        <f t="shared" si="3"/>
        <v>-5.0096275147732655E-2</v>
      </c>
      <c r="O21" s="11"/>
      <c r="P21" s="7">
        <v>574.72</v>
      </c>
      <c r="Q21" s="2"/>
      <c r="R21" s="6">
        <f t="shared" si="4"/>
        <v>0</v>
      </c>
      <c r="S21" s="2"/>
      <c r="T21" s="7">
        <v>581.11</v>
      </c>
      <c r="U21" s="2"/>
      <c r="V21" s="6">
        <f t="shared" si="5"/>
        <v>0</v>
      </c>
      <c r="W21" s="2"/>
      <c r="X21" s="7">
        <f t="shared" si="6"/>
        <v>-6.3899999999999864</v>
      </c>
      <c r="Y21" s="2"/>
      <c r="Z21" s="6">
        <f t="shared" si="7"/>
        <v>-1.0996196933454916E-2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696.16</v>
      </c>
      <c r="E22" s="2"/>
      <c r="F22" s="6">
        <f t="shared" si="0"/>
        <v>0</v>
      </c>
      <c r="G22" s="2"/>
      <c r="H22" s="7">
        <v>695.14</v>
      </c>
      <c r="I22" s="2"/>
      <c r="J22" s="6">
        <f t="shared" si="1"/>
        <v>0</v>
      </c>
      <c r="K22" s="2"/>
      <c r="L22" s="7">
        <f t="shared" si="2"/>
        <v>1.0199999999999818</v>
      </c>
      <c r="M22" s="2"/>
      <c r="N22" s="6">
        <f t="shared" si="3"/>
        <v>1.4673303219495091E-3</v>
      </c>
      <c r="O22" s="11"/>
      <c r="P22" s="7">
        <v>1392.32</v>
      </c>
      <c r="Q22" s="2"/>
      <c r="R22" s="6">
        <f t="shared" si="4"/>
        <v>0</v>
      </c>
      <c r="S22" s="2"/>
      <c r="T22" s="7">
        <v>1390.28</v>
      </c>
      <c r="U22" s="2"/>
      <c r="V22" s="6">
        <f t="shared" si="5"/>
        <v>0</v>
      </c>
      <c r="W22" s="2"/>
      <c r="X22" s="7">
        <f t="shared" si="6"/>
        <v>2.0399999999999636</v>
      </c>
      <c r="Y22" s="2"/>
      <c r="Z22" s="6">
        <f t="shared" si="7"/>
        <v>1.4673303219495091E-3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10.74</v>
      </c>
      <c r="E23" s="2"/>
      <c r="F23" s="6">
        <f t="shared" si="0"/>
        <v>0</v>
      </c>
      <c r="G23" s="2"/>
      <c r="H23" s="7">
        <v>11.57</v>
      </c>
      <c r="I23" s="2"/>
      <c r="J23" s="6">
        <f t="shared" si="1"/>
        <v>0</v>
      </c>
      <c r="K23" s="2"/>
      <c r="L23" s="7">
        <f t="shared" si="2"/>
        <v>-0.83000000000000007</v>
      </c>
      <c r="M23" s="2"/>
      <c r="N23" s="6">
        <f t="shared" si="3"/>
        <v>-7.1737251512532421E-2</v>
      </c>
      <c r="O23" s="11"/>
      <c r="P23" s="7">
        <v>21.57</v>
      </c>
      <c r="Q23" s="2"/>
      <c r="R23" s="6">
        <f t="shared" si="4"/>
        <v>0</v>
      </c>
      <c r="S23" s="2"/>
      <c r="T23" s="7">
        <v>22.32</v>
      </c>
      <c r="U23" s="2"/>
      <c r="V23" s="6">
        <f t="shared" si="5"/>
        <v>0</v>
      </c>
      <c r="W23" s="2"/>
      <c r="X23" s="7">
        <f t="shared" si="6"/>
        <v>-0.75</v>
      </c>
      <c r="Y23" s="2"/>
      <c r="Z23" s="6">
        <f t="shared" si="7"/>
        <v>-3.3602150537634407E-2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463.27</v>
      </c>
      <c r="E24" s="2"/>
      <c r="F24" s="6">
        <f t="shared" si="0"/>
        <v>0</v>
      </c>
      <c r="G24" s="2"/>
      <c r="H24" s="7">
        <v>429.26</v>
      </c>
      <c r="I24" s="2"/>
      <c r="J24" s="6">
        <f t="shared" si="1"/>
        <v>0</v>
      </c>
      <c r="K24" s="2"/>
      <c r="L24" s="7">
        <f t="shared" si="2"/>
        <v>34.009999999999991</v>
      </c>
      <c r="M24" s="2"/>
      <c r="N24" s="6">
        <f t="shared" si="3"/>
        <v>7.9229371476494406E-2</v>
      </c>
      <c r="O24" s="11"/>
      <c r="P24" s="7">
        <v>1158.18</v>
      </c>
      <c r="Q24" s="2"/>
      <c r="R24" s="6">
        <f t="shared" si="4"/>
        <v>0</v>
      </c>
      <c r="S24" s="2"/>
      <c r="T24" s="7">
        <v>858.52</v>
      </c>
      <c r="U24" s="2"/>
      <c r="V24" s="6">
        <f t="shared" si="5"/>
        <v>0</v>
      </c>
      <c r="W24" s="2"/>
      <c r="X24" s="7">
        <f t="shared" si="6"/>
        <v>299.66000000000008</v>
      </c>
      <c r="Y24" s="2"/>
      <c r="Z24" s="6">
        <f t="shared" si="7"/>
        <v>0.34904253832176313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226</v>
      </c>
      <c r="E25" s="2"/>
      <c r="F25" s="6">
        <f t="shared" si="0"/>
        <v>0</v>
      </c>
      <c r="G25" s="2"/>
      <c r="H25" s="7">
        <v>387.96</v>
      </c>
      <c r="I25" s="2"/>
      <c r="J25" s="6">
        <f t="shared" si="1"/>
        <v>0</v>
      </c>
      <c r="K25" s="2"/>
      <c r="L25" s="7">
        <f t="shared" si="2"/>
        <v>-161.95999999999998</v>
      </c>
      <c r="M25" s="2"/>
      <c r="N25" s="6">
        <f t="shared" si="3"/>
        <v>-0.41746571811526956</v>
      </c>
      <c r="O25" s="11"/>
      <c r="P25" s="7">
        <v>435.99</v>
      </c>
      <c r="Q25" s="2"/>
      <c r="R25" s="6">
        <f t="shared" si="4"/>
        <v>0</v>
      </c>
      <c r="S25" s="2"/>
      <c r="T25" s="7">
        <v>1091.1500000000001</v>
      </c>
      <c r="U25" s="2"/>
      <c r="V25" s="6">
        <f t="shared" si="5"/>
        <v>0</v>
      </c>
      <c r="W25" s="2"/>
      <c r="X25" s="7">
        <f t="shared" si="6"/>
        <v>-655.16000000000008</v>
      </c>
      <c r="Y25" s="2"/>
      <c r="Z25" s="6">
        <f t="shared" si="7"/>
        <v>-0.60043073821197823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193.72</v>
      </c>
      <c r="E26" s="2"/>
      <c r="F26" s="6">
        <f t="shared" si="0"/>
        <v>0</v>
      </c>
      <c r="G26" s="2"/>
      <c r="H26" s="7">
        <v>193.72</v>
      </c>
      <c r="I26" s="2"/>
      <c r="J26" s="6">
        <f t="shared" si="1"/>
        <v>0</v>
      </c>
      <c r="K26" s="2"/>
      <c r="L26" s="7">
        <f t="shared" si="2"/>
        <v>0</v>
      </c>
      <c r="M26" s="2"/>
      <c r="N26" s="6">
        <f t="shared" si="3"/>
        <v>0</v>
      </c>
      <c r="O26" s="11"/>
      <c r="P26" s="7">
        <v>387.44</v>
      </c>
      <c r="Q26" s="2"/>
      <c r="R26" s="6">
        <f t="shared" si="4"/>
        <v>0</v>
      </c>
      <c r="S26" s="2"/>
      <c r="T26" s="7">
        <v>1232.48</v>
      </c>
      <c r="U26" s="2"/>
      <c r="V26" s="6">
        <f t="shared" si="5"/>
        <v>0</v>
      </c>
      <c r="W26" s="2"/>
      <c r="X26" s="7">
        <f t="shared" si="6"/>
        <v>-845.04</v>
      </c>
      <c r="Y26" s="2"/>
      <c r="Z26" s="6">
        <f t="shared" si="7"/>
        <v>-0.68564195767882641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154.66</v>
      </c>
      <c r="E27" s="2"/>
      <c r="F27" s="6">
        <f t="shared" si="0"/>
        <v>0</v>
      </c>
      <c r="G27" s="2"/>
      <c r="H27" s="7">
        <v>150</v>
      </c>
      <c r="I27" s="2"/>
      <c r="J27" s="6">
        <f t="shared" si="1"/>
        <v>0</v>
      </c>
      <c r="K27" s="2"/>
      <c r="L27" s="7">
        <f t="shared" si="2"/>
        <v>4.6599999999999966</v>
      </c>
      <c r="M27" s="2"/>
      <c r="N27" s="6">
        <f t="shared" si="3"/>
        <v>3.1066666666666645E-2</v>
      </c>
      <c r="O27" s="11"/>
      <c r="P27" s="7">
        <v>298.66000000000003</v>
      </c>
      <c r="Q27" s="2"/>
      <c r="R27" s="6">
        <f t="shared" si="4"/>
        <v>0</v>
      </c>
      <c r="S27" s="2"/>
      <c r="T27" s="7">
        <v>260.20999999999998</v>
      </c>
      <c r="U27" s="2"/>
      <c r="V27" s="6">
        <f t="shared" si="5"/>
        <v>0</v>
      </c>
      <c r="W27" s="2"/>
      <c r="X27" s="7">
        <f t="shared" si="6"/>
        <v>38.450000000000045</v>
      </c>
      <c r="Y27" s="2"/>
      <c r="Z27" s="6">
        <f t="shared" si="7"/>
        <v>0.14776526651550689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3989.75</v>
      </c>
      <c r="E28" s="1"/>
      <c r="F28" s="5">
        <f t="shared" ref="F28:F34" si="8">IF(D$12=0,0,D28/D$12)</f>
        <v>0</v>
      </c>
      <c r="G28" s="1"/>
      <c r="H28" s="1">
        <f>SUM(OSRRefH22_1x_0)</f>
        <v>4462.25</v>
      </c>
      <c r="I28" s="1"/>
      <c r="J28" s="5">
        <f t="shared" ref="J28:J34" si="9">IF(H$12=0,0,H28/H$12)</f>
        <v>0</v>
      </c>
      <c r="K28" s="1"/>
      <c r="L28" s="1">
        <f t="shared" ref="L28:L34" si="10">+D28-H28</f>
        <v>-472.5</v>
      </c>
      <c r="M28" s="1"/>
      <c r="N28" s="5">
        <f t="shared" ref="N28:N34" si="11">IF(H28=0,0,L28/H28)</f>
        <v>-0.10588828505798645</v>
      </c>
      <c r="O28" s="14"/>
      <c r="P28" s="1">
        <f>SUM(OSRRefP22_1x_0)</f>
        <v>9029.5</v>
      </c>
      <c r="Q28" s="1"/>
      <c r="R28" s="5">
        <f t="shared" ref="R28:R34" si="12">IF(P$12=0,0,P28/P$12)</f>
        <v>0</v>
      </c>
      <c r="S28" s="1"/>
      <c r="T28" s="1">
        <f>SUM(OSRRefT22_1x_0)</f>
        <v>7822.11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1207.3900000000003</v>
      </c>
      <c r="Y28" s="1"/>
      <c r="Z28" s="5">
        <f t="shared" ref="Z28:Z34" si="15">IF(T28=0,0,X28/T28)</f>
        <v>0.15435604971037231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7">
        <v>3989.75</v>
      </c>
      <c r="E29" s="2"/>
      <c r="F29" s="6">
        <f t="shared" si="8"/>
        <v>0</v>
      </c>
      <c r="G29" s="2"/>
      <c r="H29" s="7">
        <v>4462.25</v>
      </c>
      <c r="I29" s="2"/>
      <c r="J29" s="6">
        <f t="shared" si="9"/>
        <v>0</v>
      </c>
      <c r="K29" s="2"/>
      <c r="L29" s="7">
        <f t="shared" si="10"/>
        <v>-472.5</v>
      </c>
      <c r="M29" s="2"/>
      <c r="N29" s="6">
        <f t="shared" si="11"/>
        <v>-0.10588828505798645</v>
      </c>
      <c r="O29" s="11"/>
      <c r="P29" s="7">
        <v>9029.5</v>
      </c>
      <c r="Q29" s="2"/>
      <c r="R29" s="6">
        <f t="shared" si="12"/>
        <v>0</v>
      </c>
      <c r="S29" s="2"/>
      <c r="T29" s="7">
        <v>7822.11</v>
      </c>
      <c r="U29" s="2"/>
      <c r="V29" s="6">
        <f t="shared" si="13"/>
        <v>0</v>
      </c>
      <c r="W29" s="2"/>
      <c r="X29" s="7">
        <f t="shared" si="14"/>
        <v>1207.3900000000003</v>
      </c>
      <c r="Y29" s="2"/>
      <c r="Z29" s="6">
        <f t="shared" si="15"/>
        <v>0.15435604971037231</v>
      </c>
    </row>
    <row r="30" spans="1:26" s="28" customFormat="1" outlineLevel="1" collapsed="1" x14ac:dyDescent="0.25">
      <c r="A30" s="27"/>
      <c r="B30" s="14" t="str">
        <f>CONCATENATE("     ","Insurance                                         ")</f>
        <v xml:space="preserve">     Insurance                                         </v>
      </c>
      <c r="C30" s="14"/>
      <c r="D30" s="1">
        <f>SUM(OSRRefD22_2x_0)</f>
        <v>24.56</v>
      </c>
      <c r="E30" s="1"/>
      <c r="F30" s="5">
        <f t="shared" si="8"/>
        <v>0</v>
      </c>
      <c r="G30" s="1"/>
      <c r="H30" s="1">
        <f>SUM(OSRRefH22_2x_0)</f>
        <v>24.56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49.12</v>
      </c>
      <c r="Q30" s="1"/>
      <c r="R30" s="5">
        <f t="shared" si="12"/>
        <v>0</v>
      </c>
      <c r="S30" s="1"/>
      <c r="T30" s="1">
        <f>SUM(OSRRefT22_2x_0)</f>
        <v>49.12</v>
      </c>
      <c r="U30" s="1"/>
      <c r="V30" s="5">
        <f t="shared" si="13"/>
        <v>0</v>
      </c>
      <c r="W30" s="1"/>
      <c r="X30" s="1">
        <f t="shared" si="14"/>
        <v>0</v>
      </c>
      <c r="Y30" s="1"/>
      <c r="Z30" s="5">
        <f t="shared" si="15"/>
        <v>0</v>
      </c>
    </row>
    <row r="31" spans="1:26" s="24" customFormat="1" hidden="1" outlineLevel="2" x14ac:dyDescent="0.25">
      <c r="A31" s="29"/>
      <c r="B31" s="11" t="str">
        <f>CONCATENATE("          ", "6314", " - ", "LIABILITY INSURANCE")</f>
        <v xml:space="preserve">          6314 - LIABILITY INSURANCE</v>
      </c>
      <c r="C31" s="11"/>
      <c r="D31" s="7">
        <v>24.56</v>
      </c>
      <c r="E31" s="2"/>
      <c r="F31" s="6">
        <f t="shared" si="8"/>
        <v>0</v>
      </c>
      <c r="G31" s="2"/>
      <c r="H31" s="7">
        <v>24.56</v>
      </c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49.12</v>
      </c>
      <c r="Q31" s="2"/>
      <c r="R31" s="6">
        <f t="shared" si="12"/>
        <v>0</v>
      </c>
      <c r="S31" s="2"/>
      <c r="T31" s="7">
        <v>49.12</v>
      </c>
      <c r="U31" s="2"/>
      <c r="V31" s="6">
        <f t="shared" si="13"/>
        <v>0</v>
      </c>
      <c r="W31" s="2"/>
      <c r="X31" s="7">
        <f t="shared" si="14"/>
        <v>0</v>
      </c>
      <c r="Y31" s="2"/>
      <c r="Z31" s="6">
        <f t="shared" si="15"/>
        <v>0</v>
      </c>
    </row>
    <row r="32" spans="1:26" s="28" customFormat="1" outlineLevel="1" collapsed="1" x14ac:dyDescent="0.25">
      <c r="A32" s="27"/>
      <c r="B32" s="14" t="str">
        <f>CONCATENATE("     ","Repair and Maintenance                            ")</f>
        <v xml:space="preserve">     Repair and Maintenance                            </v>
      </c>
      <c r="C32" s="14"/>
      <c r="D32" s="1">
        <f>SUM(OSRRefD22_3x_0)</f>
        <v>866</v>
      </c>
      <c r="E32" s="1"/>
      <c r="F32" s="5">
        <f t="shared" si="8"/>
        <v>0</v>
      </c>
      <c r="G32" s="1"/>
      <c r="H32" s="1">
        <f>SUM(OSRRefH22_3x_0)</f>
        <v>1405.95</v>
      </c>
      <c r="I32" s="1"/>
      <c r="J32" s="5">
        <f t="shared" si="9"/>
        <v>0</v>
      </c>
      <c r="K32" s="1"/>
      <c r="L32" s="1">
        <f t="shared" si="10"/>
        <v>-539.95000000000005</v>
      </c>
      <c r="M32" s="1"/>
      <c r="N32" s="5">
        <f t="shared" si="11"/>
        <v>-0.3840463743376365</v>
      </c>
      <c r="O32" s="14"/>
      <c r="P32" s="1">
        <f>SUM(OSRRefP22_3x_0)</f>
        <v>2551.19</v>
      </c>
      <c r="Q32" s="1"/>
      <c r="R32" s="5">
        <f t="shared" si="12"/>
        <v>0</v>
      </c>
      <c r="S32" s="1"/>
      <c r="T32" s="1">
        <f>SUM(OSRRefT22_3x_0)</f>
        <v>2811.9</v>
      </c>
      <c r="U32" s="1"/>
      <c r="V32" s="5">
        <f t="shared" si="13"/>
        <v>0</v>
      </c>
      <c r="W32" s="1"/>
      <c r="X32" s="1">
        <f t="shared" si="14"/>
        <v>-260.71000000000004</v>
      </c>
      <c r="Y32" s="1"/>
      <c r="Z32" s="5">
        <f t="shared" si="15"/>
        <v>-9.2716668444823791E-2</v>
      </c>
    </row>
    <row r="33" spans="1:26" s="24" customFormat="1" hidden="1" outlineLevel="2" x14ac:dyDescent="0.25">
      <c r="A33" s="29"/>
      <c r="B33" s="11" t="str">
        <f>CONCATENATE("          ", "6373", " - ", "MAINTENANCE CONTRACTS")</f>
        <v xml:space="preserve">          6373 - MAINTENANCE CONTRACTS</v>
      </c>
      <c r="C33" s="11"/>
      <c r="D33" s="7">
        <v>866</v>
      </c>
      <c r="E33" s="2"/>
      <c r="F33" s="6">
        <f t="shared" si="8"/>
        <v>0</v>
      </c>
      <c r="G33" s="2"/>
      <c r="H33" s="7">
        <v>1405.95</v>
      </c>
      <c r="I33" s="2"/>
      <c r="J33" s="6">
        <f t="shared" si="9"/>
        <v>0</v>
      </c>
      <c r="K33" s="2"/>
      <c r="L33" s="7">
        <f t="shared" si="10"/>
        <v>-539.95000000000005</v>
      </c>
      <c r="M33" s="2"/>
      <c r="N33" s="6">
        <f t="shared" si="11"/>
        <v>-0.3840463743376365</v>
      </c>
      <c r="O33" s="11"/>
      <c r="P33" s="7">
        <v>1732</v>
      </c>
      <c r="Q33" s="2"/>
      <c r="R33" s="6">
        <f t="shared" si="12"/>
        <v>0</v>
      </c>
      <c r="S33" s="2"/>
      <c r="T33" s="7">
        <v>2811.9</v>
      </c>
      <c r="U33" s="2"/>
      <c r="V33" s="6">
        <f t="shared" si="13"/>
        <v>0</v>
      </c>
      <c r="W33" s="2"/>
      <c r="X33" s="7">
        <f t="shared" si="14"/>
        <v>-1079.9000000000001</v>
      </c>
      <c r="Y33" s="2"/>
      <c r="Z33" s="6">
        <f t="shared" si="15"/>
        <v>-0.3840463743376365</v>
      </c>
    </row>
    <row r="34" spans="1:26" s="24" customFormat="1" hidden="1" outlineLevel="2" x14ac:dyDescent="0.25">
      <c r="A34" s="29"/>
      <c r="B34" s="11" t="str">
        <f>CONCATENATE("          ", "6375", " - ", "OUTSIDE REPAIRS &amp; MAINTENANCE")</f>
        <v xml:space="preserve">          6375 - OUTSIDE REPAIRS &amp; MAINTENANCE</v>
      </c>
      <c r="C34" s="11"/>
      <c r="D34" s="7"/>
      <c r="E34" s="2"/>
      <c r="F34" s="6">
        <f t="shared" si="8"/>
        <v>0</v>
      </c>
      <c r="G34" s="2"/>
      <c r="H34" s="7"/>
      <c r="I34" s="2"/>
      <c r="J34" s="6">
        <f t="shared" si="9"/>
        <v>0</v>
      </c>
      <c r="K34" s="2"/>
      <c r="L34" s="7">
        <f t="shared" si="10"/>
        <v>0</v>
      </c>
      <c r="M34" s="2"/>
      <c r="N34" s="6">
        <f t="shared" si="11"/>
        <v>0</v>
      </c>
      <c r="O34" s="11"/>
      <c r="P34" s="7">
        <v>819.19</v>
      </c>
      <c r="Q34" s="2"/>
      <c r="R34" s="6">
        <f t="shared" si="12"/>
        <v>0</v>
      </c>
      <c r="S34" s="2"/>
      <c r="T34" s="7"/>
      <c r="U34" s="2"/>
      <c r="V34" s="6">
        <f t="shared" si="13"/>
        <v>0</v>
      </c>
      <c r="W34" s="2"/>
      <c r="X34" s="7">
        <f t="shared" si="14"/>
        <v>819.19</v>
      </c>
      <c r="Y34" s="2"/>
      <c r="Z34" s="6">
        <f t="shared" si="15"/>
        <v>0</v>
      </c>
    </row>
    <row r="35" spans="1:26" s="28" customFormat="1" outlineLevel="1" collapsed="1" x14ac:dyDescent="0.25">
      <c r="A35" s="27"/>
      <c r="B35" s="14" t="str">
        <f>CONCATENATE("     ","Services                                          ")</f>
        <v xml:space="preserve">     Services                                          </v>
      </c>
      <c r="C35" s="14"/>
      <c r="D35" s="1">
        <f>SUM(OSRRefD22_4x_0)</f>
        <v>0</v>
      </c>
      <c r="E35" s="1"/>
      <c r="F35" s="5">
        <f t="shared" ref="F35:F40" si="16">IF(D$12=0,0,D35/D$12)</f>
        <v>0</v>
      </c>
      <c r="G35" s="1"/>
      <c r="H35" s="1">
        <f>SUM(OSRRefH22_4x_0)</f>
        <v>4.42</v>
      </c>
      <c r="I35" s="1"/>
      <c r="J35" s="5">
        <f t="shared" ref="J35:J40" si="17">IF(H$12=0,0,H35/H$12)</f>
        <v>0</v>
      </c>
      <c r="K35" s="1"/>
      <c r="L35" s="1">
        <f t="shared" ref="L35:L40" si="18">+D35-H35</f>
        <v>-4.42</v>
      </c>
      <c r="M35" s="1"/>
      <c r="N35" s="5">
        <f t="shared" ref="N35:N40" si="19">IF(H35=0,0,L35/H35)</f>
        <v>-1</v>
      </c>
      <c r="O35" s="14"/>
      <c r="P35" s="1">
        <f>SUM(OSRRefP22_4x_0)</f>
        <v>0</v>
      </c>
      <c r="Q35" s="1"/>
      <c r="R35" s="5">
        <f t="shared" ref="R35:R40" si="20">IF(P$12=0,0,P35/P$12)</f>
        <v>0</v>
      </c>
      <c r="S35" s="1"/>
      <c r="T35" s="1">
        <f>SUM(OSRRefT22_4x_0)</f>
        <v>13.26</v>
      </c>
      <c r="U35" s="1"/>
      <c r="V35" s="5">
        <f t="shared" ref="V35:V40" si="21">IF(T$12=0,0,T35/T$12)</f>
        <v>0</v>
      </c>
      <c r="W35" s="1"/>
      <c r="X35" s="1">
        <f t="shared" ref="X35:X40" si="22">+P35-T35</f>
        <v>-13.26</v>
      </c>
      <c r="Y35" s="1"/>
      <c r="Z35" s="5">
        <f t="shared" ref="Z35:Z40" si="23">IF(T35=0,0,X35/T35)</f>
        <v>-1</v>
      </c>
    </row>
    <row r="36" spans="1:26" s="24" customFormat="1" hidden="1" outlineLevel="2" x14ac:dyDescent="0.25">
      <c r="A36" s="29"/>
      <c r="B36" s="11" t="str">
        <f>CONCATENATE("          ", "6286", " - ", "LAUNDRY EXPENSE")</f>
        <v xml:space="preserve">          6286 - LAUNDRY EXPENSE</v>
      </c>
      <c r="C36" s="11"/>
      <c r="D36" s="7"/>
      <c r="E36" s="2"/>
      <c r="F36" s="6">
        <f t="shared" si="16"/>
        <v>0</v>
      </c>
      <c r="G36" s="2"/>
      <c r="H36" s="7">
        <v>4.42</v>
      </c>
      <c r="I36" s="2"/>
      <c r="J36" s="6">
        <f t="shared" si="17"/>
        <v>0</v>
      </c>
      <c r="K36" s="2"/>
      <c r="L36" s="7">
        <f t="shared" si="18"/>
        <v>-4.42</v>
      </c>
      <c r="M36" s="2"/>
      <c r="N36" s="6">
        <f t="shared" si="19"/>
        <v>-1</v>
      </c>
      <c r="O36" s="11"/>
      <c r="P36" s="7"/>
      <c r="Q36" s="2"/>
      <c r="R36" s="6">
        <f t="shared" si="20"/>
        <v>0</v>
      </c>
      <c r="S36" s="2"/>
      <c r="T36" s="7">
        <v>13.26</v>
      </c>
      <c r="U36" s="2"/>
      <c r="V36" s="6">
        <f t="shared" si="21"/>
        <v>0</v>
      </c>
      <c r="W36" s="2"/>
      <c r="X36" s="7">
        <f t="shared" si="22"/>
        <v>-13.26</v>
      </c>
      <c r="Y36" s="2"/>
      <c r="Z36" s="6">
        <f t="shared" si="23"/>
        <v>-1</v>
      </c>
    </row>
    <row r="37" spans="1:26" s="28" customFormat="1" outlineLevel="1" collapsed="1" x14ac:dyDescent="0.25">
      <c r="A37" s="27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0</v>
      </c>
      <c r="E37" s="1"/>
      <c r="F37" s="5">
        <f t="shared" si="16"/>
        <v>0</v>
      </c>
      <c r="G37" s="1"/>
      <c r="H37" s="1">
        <f>SUM(OSRRefH22_5x_0)</f>
        <v>785.75</v>
      </c>
      <c r="I37" s="1"/>
      <c r="J37" s="5">
        <f t="shared" si="17"/>
        <v>0</v>
      </c>
      <c r="K37" s="1"/>
      <c r="L37" s="1">
        <f t="shared" si="18"/>
        <v>-785.75</v>
      </c>
      <c r="M37" s="1"/>
      <c r="N37" s="5">
        <f t="shared" si="19"/>
        <v>-1</v>
      </c>
      <c r="O37" s="14"/>
      <c r="P37" s="1">
        <f>SUM(OSRRefP22_5x_0)</f>
        <v>0</v>
      </c>
      <c r="Q37" s="1"/>
      <c r="R37" s="5">
        <f t="shared" si="20"/>
        <v>0</v>
      </c>
      <c r="S37" s="1"/>
      <c r="T37" s="1">
        <f>SUM(OSRRefT22_5x_0)</f>
        <v>559.94000000000005</v>
      </c>
      <c r="U37" s="1"/>
      <c r="V37" s="5">
        <f t="shared" si="21"/>
        <v>0</v>
      </c>
      <c r="W37" s="1"/>
      <c r="X37" s="1">
        <f t="shared" si="22"/>
        <v>-559.94000000000005</v>
      </c>
      <c r="Y37" s="1"/>
      <c r="Z37" s="5">
        <f t="shared" si="23"/>
        <v>-1</v>
      </c>
    </row>
    <row r="38" spans="1:26" s="24" customFormat="1" hidden="1" outlineLevel="2" x14ac:dyDescent="0.25">
      <c r="A38" s="29"/>
      <c r="B38" s="11" t="str">
        <f>CONCATENATE("          ", "6234", " - ", "EXPENDABLE SUPPLIES &amp; EQUIPMEN")</f>
        <v xml:space="preserve">          6234 - EXPENDABLE SUPPLIES &amp; EQUIPMEN</v>
      </c>
      <c r="C38" s="11"/>
      <c r="D38" s="7"/>
      <c r="E38" s="2"/>
      <c r="F38" s="6">
        <f t="shared" si="16"/>
        <v>0</v>
      </c>
      <c r="G38" s="2"/>
      <c r="H38" s="7">
        <v>785.75</v>
      </c>
      <c r="I38" s="2"/>
      <c r="J38" s="6">
        <f t="shared" si="17"/>
        <v>0</v>
      </c>
      <c r="K38" s="2"/>
      <c r="L38" s="7">
        <f t="shared" si="18"/>
        <v>-785.75</v>
      </c>
      <c r="M38" s="2"/>
      <c r="N38" s="6">
        <f t="shared" si="19"/>
        <v>-1</v>
      </c>
      <c r="O38" s="11"/>
      <c r="P38" s="7"/>
      <c r="Q38" s="2"/>
      <c r="R38" s="6">
        <f t="shared" si="20"/>
        <v>0</v>
      </c>
      <c r="S38" s="2"/>
      <c r="T38" s="7">
        <v>559.94000000000005</v>
      </c>
      <c r="U38" s="2"/>
      <c r="V38" s="6">
        <f t="shared" si="21"/>
        <v>0</v>
      </c>
      <c r="W38" s="2"/>
      <c r="X38" s="7">
        <f t="shared" si="22"/>
        <v>-559.94000000000005</v>
      </c>
      <c r="Y38" s="2"/>
      <c r="Z38" s="6">
        <f t="shared" si="23"/>
        <v>-1</v>
      </c>
    </row>
    <row r="39" spans="1:26" s="28" customFormat="1" outlineLevel="1" collapsed="1" x14ac:dyDescent="0.25">
      <c r="A39" s="27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50</v>
      </c>
      <c r="E39" s="1"/>
      <c r="F39" s="5">
        <f t="shared" si="16"/>
        <v>0</v>
      </c>
      <c r="G39" s="1"/>
      <c r="H39" s="1">
        <f>SUM(OSRRefH22_6x_0)</f>
        <v>74.3</v>
      </c>
      <c r="I39" s="1"/>
      <c r="J39" s="5">
        <f t="shared" si="17"/>
        <v>0</v>
      </c>
      <c r="K39" s="1"/>
      <c r="L39" s="1">
        <f t="shared" si="18"/>
        <v>-24.299999999999997</v>
      </c>
      <c r="M39" s="1"/>
      <c r="N39" s="5">
        <f t="shared" si="19"/>
        <v>-0.32705248990578734</v>
      </c>
      <c r="O39" s="14"/>
      <c r="P39" s="1">
        <f>SUM(OSRRefP22_6x_0)</f>
        <v>123</v>
      </c>
      <c r="Q39" s="1"/>
      <c r="R39" s="5">
        <f t="shared" si="20"/>
        <v>0</v>
      </c>
      <c r="S39" s="1"/>
      <c r="T39" s="1">
        <f>SUM(OSRRefT22_6x_0)</f>
        <v>99.35</v>
      </c>
      <c r="U39" s="1"/>
      <c r="V39" s="5">
        <f t="shared" si="21"/>
        <v>0</v>
      </c>
      <c r="W39" s="1"/>
      <c r="X39" s="1">
        <f t="shared" si="22"/>
        <v>23.650000000000006</v>
      </c>
      <c r="Y39" s="1"/>
      <c r="Z39" s="5">
        <f t="shared" si="23"/>
        <v>0.23804730749874189</v>
      </c>
    </row>
    <row r="40" spans="1:26" s="24" customFormat="1" hidden="1" outlineLevel="2" x14ac:dyDescent="0.25">
      <c r="A40" s="29"/>
      <c r="B40" s="11" t="str">
        <f>CONCATENATE("          ", "6309", " - ", "TELEPHONE")</f>
        <v xml:space="preserve">          6309 - TELEPHONE</v>
      </c>
      <c r="C40" s="11"/>
      <c r="D40" s="7">
        <v>50</v>
      </c>
      <c r="E40" s="2"/>
      <c r="F40" s="6">
        <f t="shared" si="16"/>
        <v>0</v>
      </c>
      <c r="G40" s="2"/>
      <c r="H40" s="7">
        <v>74.3</v>
      </c>
      <c r="I40" s="2"/>
      <c r="J40" s="6">
        <f t="shared" si="17"/>
        <v>0</v>
      </c>
      <c r="K40" s="2"/>
      <c r="L40" s="7">
        <f t="shared" si="18"/>
        <v>-24.299999999999997</v>
      </c>
      <c r="M40" s="2"/>
      <c r="N40" s="6">
        <f t="shared" si="19"/>
        <v>-0.32705248990578734</v>
      </c>
      <c r="O40" s="11"/>
      <c r="P40" s="7">
        <v>123</v>
      </c>
      <c r="Q40" s="2"/>
      <c r="R40" s="6">
        <f t="shared" si="20"/>
        <v>0</v>
      </c>
      <c r="S40" s="2"/>
      <c r="T40" s="7">
        <v>99.35</v>
      </c>
      <c r="U40" s="2"/>
      <c r="V40" s="6">
        <f t="shared" si="21"/>
        <v>0</v>
      </c>
      <c r="W40" s="2"/>
      <c r="X40" s="7">
        <f t="shared" si="22"/>
        <v>23.650000000000006</v>
      </c>
      <c r="Y40" s="2"/>
      <c r="Z40" s="6">
        <f t="shared" si="23"/>
        <v>0.23804730749874189</v>
      </c>
    </row>
    <row r="41" spans="1:26" s="52" customFormat="1" x14ac:dyDescent="0.25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0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10"/>
      <c r="B44" s="26" t="s">
        <v>3</v>
      </c>
      <c r="C44" s="26"/>
      <c r="D44" s="22">
        <f>+D16-D18+D42</f>
        <v>-7276.8300000000008</v>
      </c>
      <c r="E44" s="13"/>
      <c r="F44" s="21">
        <f>IF(D$12=0,0,D44/D$12)</f>
        <v>0</v>
      </c>
      <c r="G44" s="13"/>
      <c r="H44" s="22">
        <f>+H16-H18+H42</f>
        <v>-9278.51</v>
      </c>
      <c r="I44" s="13"/>
      <c r="J44" s="21">
        <f>IF(H$12=0,0,H44/H$12)</f>
        <v>0</v>
      </c>
      <c r="K44" s="16"/>
      <c r="L44" s="22">
        <f>+D44-H44</f>
        <v>2001.6799999999994</v>
      </c>
      <c r="M44" s="16"/>
      <c r="N44" s="21">
        <f>IF(H44=0,0,L44/H44)</f>
        <v>-0.21573291401313349</v>
      </c>
      <c r="O44" s="25"/>
      <c r="P44" s="22">
        <f>+P16-P18+P42</f>
        <v>-16656.09</v>
      </c>
      <c r="Q44" s="13"/>
      <c r="R44" s="21">
        <f>IF(P$12=0,0,P44/P$12)</f>
        <v>0</v>
      </c>
      <c r="S44" s="13"/>
      <c r="T44" s="22">
        <f>+T16-T18+T42</f>
        <v>-17460.419999999998</v>
      </c>
      <c r="U44" s="13"/>
      <c r="V44" s="21">
        <f>IF(T$12=0,0,T44/T$12)</f>
        <v>0</v>
      </c>
      <c r="W44" s="16"/>
      <c r="X44" s="22">
        <f>+P44-T44</f>
        <v>804.32999999999811</v>
      </c>
      <c r="Y44" s="16"/>
      <c r="Z44" s="21">
        <f>IF(T44=0,0,X44/T44)</f>
        <v>-4.6065902194792459E-2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51"/>
      <c r="B46" s="10" t="s">
        <v>13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6" t="s">
        <v>4</v>
      </c>
      <c r="C48" s="26"/>
      <c r="D48" s="36">
        <f>+D44-D46</f>
        <v>-7276.8300000000008</v>
      </c>
      <c r="E48" s="13"/>
      <c r="F48" s="34">
        <f>IF(D$12=0,0,D48/D$12)</f>
        <v>0</v>
      </c>
      <c r="G48" s="13"/>
      <c r="H48" s="36">
        <f>+H44-H46</f>
        <v>-9278.51</v>
      </c>
      <c r="I48" s="13"/>
      <c r="J48" s="34">
        <f>IF(H$12=0,0,H48/H$12)</f>
        <v>0</v>
      </c>
      <c r="K48" s="16"/>
      <c r="L48" s="36">
        <f>D48-H48</f>
        <v>2001.6799999999994</v>
      </c>
      <c r="M48" s="16"/>
      <c r="N48" s="34">
        <f>IF(H48=0,0,L48/H48)</f>
        <v>-0.21573291401313349</v>
      </c>
      <c r="O48" s="25"/>
      <c r="P48" s="36">
        <f>+P44-P46</f>
        <v>-16656.09</v>
      </c>
      <c r="Q48" s="13"/>
      <c r="R48" s="34">
        <f>IF(P$12=0,0,P48/P$12)</f>
        <v>0</v>
      </c>
      <c r="S48" s="13"/>
      <c r="T48" s="36">
        <f>+T44-T46</f>
        <v>-17460.419999999998</v>
      </c>
      <c r="U48" s="13"/>
      <c r="V48" s="34">
        <f>IF(T$12=0,0,T48/T$12)</f>
        <v>0</v>
      </c>
      <c r="W48" s="16"/>
      <c r="X48" s="36">
        <f>P48-T48</f>
        <v>804.32999999999811</v>
      </c>
      <c r="Y48" s="16"/>
      <c r="Z48" s="34">
        <f>IF(T48=0,0,X48/T48)</f>
        <v>-4.6065902194792459E-2</v>
      </c>
    </row>
    <row r="49" spans="1:26" ht="15.75" thickTop="1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25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6" t="s">
        <v>5</v>
      </c>
      <c r="C51" s="26"/>
      <c r="D51" s="30">
        <f>SUM(D48:D50)</f>
        <v>-7276.8300000000008</v>
      </c>
      <c r="E51" s="13"/>
      <c r="F51" s="31">
        <f>IF(D$12=0,0,D51/D$12)</f>
        <v>0</v>
      </c>
      <c r="G51" s="13"/>
      <c r="H51" s="30">
        <f>SUM(H48:H50)</f>
        <v>-9278.51</v>
      </c>
      <c r="I51" s="13"/>
      <c r="J51" s="31">
        <f>IF(H$12=0,0,H51/H$12)</f>
        <v>0</v>
      </c>
      <c r="K51" s="16"/>
      <c r="L51" s="30">
        <f>+D51-H51</f>
        <v>2001.6799999999994</v>
      </c>
      <c r="M51" s="16"/>
      <c r="N51" s="31">
        <f>IF(H51=0,0,L51/H51)</f>
        <v>-0.21573291401313349</v>
      </c>
      <c r="O51" s="25"/>
      <c r="P51" s="30">
        <f>SUM(P48:P50)</f>
        <v>-16656.09</v>
      </c>
      <c r="Q51" s="13"/>
      <c r="R51" s="31">
        <f>IF(P$12=0,0,P51/P$12)</f>
        <v>0</v>
      </c>
      <c r="S51" s="13"/>
      <c r="T51" s="30">
        <f>SUM(T48:T50)</f>
        <v>-17460.419999999998</v>
      </c>
      <c r="U51" s="13"/>
      <c r="V51" s="31">
        <f>IF(T$12=0,0,T51/T$12)</f>
        <v>0</v>
      </c>
      <c r="W51" s="16"/>
      <c r="X51" s="30">
        <f>+P51-T51</f>
        <v>804.32999999999811</v>
      </c>
      <c r="Y51" s="16"/>
      <c r="Z51" s="31">
        <f>IF(T51=0,0,X51/T51)</f>
        <v>-4.6065902194792459E-2</v>
      </c>
    </row>
    <row r="52" spans="1:26" ht="15.75" thickTop="1" x14ac:dyDescent="0.25">
      <c r="A52" s="9"/>
      <c r="C52" s="9"/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61">
        <v>44113.696047106481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56" t="s">
        <v>313</v>
      </c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8"/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","206", " - ", "Graphics")</f>
        <v>Department 206 - Graphics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8415.8599999999988</v>
      </c>
      <c r="E18" s="20"/>
      <c r="F18" s="35">
        <f t="shared" ref="F18:F26" si="0">IF(D$12=0,0,D18/D$12)</f>
        <v>0</v>
      </c>
      <c r="G18" s="20"/>
      <c r="H18" s="20">
        <f>SUM(OSRRefH22x_0)</f>
        <v>6888.33</v>
      </c>
      <c r="I18" s="20"/>
      <c r="J18" s="35">
        <f t="shared" ref="J18:J26" si="1">IF(H$12=0,0,H18/H$12)</f>
        <v>0</v>
      </c>
      <c r="K18" s="4"/>
      <c r="L18" s="20">
        <f t="shared" ref="L18:L26" si="2">+D18-H18</f>
        <v>1527.5299999999988</v>
      </c>
      <c r="M18" s="4"/>
      <c r="N18" s="35">
        <f t="shared" ref="N18:N26" si="3">IF(H18=0,0,L18/H18)</f>
        <v>0.2217562166737074</v>
      </c>
      <c r="O18" s="10"/>
      <c r="P18" s="20">
        <f>SUM(OSRRefP22x_0)</f>
        <v>18771.919999999998</v>
      </c>
      <c r="Q18" s="20"/>
      <c r="R18" s="35">
        <f t="shared" ref="R18:R26" si="4">IF(P$12=0,0,P18/P$12)</f>
        <v>0</v>
      </c>
      <c r="S18" s="20"/>
      <c r="T18" s="20">
        <f>SUM(OSRRefT22x_0)</f>
        <v>13947.900000000001</v>
      </c>
      <c r="U18" s="20"/>
      <c r="V18" s="35">
        <f t="shared" ref="V18:V26" si="5">IF(T$12=0,0,T18/T$12)</f>
        <v>0</v>
      </c>
      <c r="W18" s="4"/>
      <c r="X18" s="20">
        <f t="shared" ref="X18:X26" si="6">+P18-T18</f>
        <v>4824.0199999999968</v>
      </c>
      <c r="Y18" s="4"/>
      <c r="Z18" s="35">
        <f t="shared" ref="Z18:Z26" si="7">IF(T18=0,0,X18/T18)</f>
        <v>0.34585995024340555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1529.65</v>
      </c>
      <c r="E19" s="1"/>
      <c r="F19" s="5">
        <f t="shared" si="0"/>
        <v>0</v>
      </c>
      <c r="G19" s="1"/>
      <c r="H19" s="1">
        <f>SUM(OSRRefH22_0x_0)</f>
        <v>2105.2600000000002</v>
      </c>
      <c r="I19" s="1"/>
      <c r="J19" s="5">
        <f t="shared" si="1"/>
        <v>0</v>
      </c>
      <c r="K19" s="1"/>
      <c r="L19" s="1">
        <f t="shared" si="2"/>
        <v>-575.61000000000013</v>
      </c>
      <c r="M19" s="1"/>
      <c r="N19" s="5">
        <f t="shared" si="3"/>
        <v>-0.2734151601227402</v>
      </c>
      <c r="O19" s="14"/>
      <c r="P19" s="1">
        <f>SUM(OSRRefP22_0x_0)</f>
        <v>3078.56</v>
      </c>
      <c r="Q19" s="1"/>
      <c r="R19" s="5">
        <f t="shared" si="4"/>
        <v>0</v>
      </c>
      <c r="S19" s="1"/>
      <c r="T19" s="1">
        <f>SUM(OSRRefT22_0x_0)</f>
        <v>4106.76</v>
      </c>
      <c r="U19" s="1"/>
      <c r="V19" s="5">
        <f t="shared" si="5"/>
        <v>0</v>
      </c>
      <c r="W19" s="1"/>
      <c r="X19" s="1">
        <f t="shared" si="6"/>
        <v>-1028.2000000000003</v>
      </c>
      <c r="Y19" s="1"/>
      <c r="Z19" s="5">
        <f t="shared" si="7"/>
        <v>-0.25036768644868468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384.71</v>
      </c>
      <c r="E20" s="2"/>
      <c r="F20" s="6">
        <f t="shared" si="0"/>
        <v>0</v>
      </c>
      <c r="G20" s="2"/>
      <c r="H20" s="7">
        <v>796.27</v>
      </c>
      <c r="I20" s="2"/>
      <c r="J20" s="6">
        <f t="shared" si="1"/>
        <v>0</v>
      </c>
      <c r="K20" s="2"/>
      <c r="L20" s="7">
        <f t="shared" si="2"/>
        <v>-411.56</v>
      </c>
      <c r="M20" s="2"/>
      <c r="N20" s="6">
        <f t="shared" si="3"/>
        <v>-0.51685985909302123</v>
      </c>
      <c r="O20" s="11"/>
      <c r="P20" s="7">
        <v>789.36</v>
      </c>
      <c r="Q20" s="2"/>
      <c r="R20" s="6">
        <f t="shared" si="4"/>
        <v>0</v>
      </c>
      <c r="S20" s="2"/>
      <c r="T20" s="7">
        <v>1489.16</v>
      </c>
      <c r="U20" s="2"/>
      <c r="V20" s="6">
        <f t="shared" si="5"/>
        <v>0</v>
      </c>
      <c r="W20" s="2"/>
      <c r="X20" s="7">
        <f t="shared" si="6"/>
        <v>-699.80000000000007</v>
      </c>
      <c r="Y20" s="2"/>
      <c r="Z20" s="6">
        <f t="shared" si="7"/>
        <v>-0.46992935614708964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21.18</v>
      </c>
      <c r="E21" s="2"/>
      <c r="F21" s="6">
        <f t="shared" si="0"/>
        <v>0</v>
      </c>
      <c r="G21" s="2"/>
      <c r="H21" s="7">
        <v>34.450000000000003</v>
      </c>
      <c r="I21" s="2"/>
      <c r="J21" s="6">
        <f t="shared" si="1"/>
        <v>0</v>
      </c>
      <c r="K21" s="2"/>
      <c r="L21" s="7">
        <f t="shared" si="2"/>
        <v>-13.270000000000003</v>
      </c>
      <c r="M21" s="2"/>
      <c r="N21" s="6">
        <f t="shared" si="3"/>
        <v>-0.38519593613933245</v>
      </c>
      <c r="O21" s="11"/>
      <c r="P21" s="7">
        <v>41.98</v>
      </c>
      <c r="Q21" s="2"/>
      <c r="R21" s="6">
        <f t="shared" si="4"/>
        <v>0</v>
      </c>
      <c r="S21" s="2"/>
      <c r="T21" s="7">
        <v>64.56</v>
      </c>
      <c r="U21" s="2"/>
      <c r="V21" s="6">
        <f t="shared" si="5"/>
        <v>0</v>
      </c>
      <c r="W21" s="2"/>
      <c r="X21" s="7">
        <f t="shared" si="6"/>
        <v>-22.580000000000005</v>
      </c>
      <c r="Y21" s="2"/>
      <c r="Z21" s="6">
        <f t="shared" si="7"/>
        <v>-0.34975216852540281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700.87</v>
      </c>
      <c r="E22" s="2"/>
      <c r="F22" s="6">
        <f t="shared" si="0"/>
        <v>0</v>
      </c>
      <c r="G22" s="2"/>
      <c r="H22" s="7">
        <v>700.91</v>
      </c>
      <c r="I22" s="2"/>
      <c r="J22" s="6">
        <f t="shared" si="1"/>
        <v>0</v>
      </c>
      <c r="K22" s="2"/>
      <c r="L22" s="7">
        <f t="shared" si="2"/>
        <v>-3.999999999996362E-2</v>
      </c>
      <c r="M22" s="2"/>
      <c r="N22" s="6">
        <f t="shared" si="3"/>
        <v>-5.7068667874568234E-5</v>
      </c>
      <c r="O22" s="11"/>
      <c r="P22" s="7">
        <v>1401.74</v>
      </c>
      <c r="Q22" s="2"/>
      <c r="R22" s="6">
        <f t="shared" si="4"/>
        <v>0</v>
      </c>
      <c r="S22" s="2"/>
      <c r="T22" s="7">
        <v>1401.82</v>
      </c>
      <c r="U22" s="2"/>
      <c r="V22" s="6">
        <f t="shared" si="5"/>
        <v>0</v>
      </c>
      <c r="W22" s="2"/>
      <c r="X22" s="7">
        <f t="shared" si="6"/>
        <v>-7.999999999992724E-2</v>
      </c>
      <c r="Y22" s="2"/>
      <c r="Z22" s="6">
        <f t="shared" si="7"/>
        <v>-5.7068667874568234E-5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16.690000000000001</v>
      </c>
      <c r="E23" s="2"/>
      <c r="F23" s="6">
        <f t="shared" si="0"/>
        <v>0</v>
      </c>
      <c r="G23" s="2"/>
      <c r="H23" s="7">
        <v>26.35</v>
      </c>
      <c r="I23" s="2"/>
      <c r="J23" s="6">
        <f t="shared" si="1"/>
        <v>0</v>
      </c>
      <c r="K23" s="2"/>
      <c r="L23" s="7">
        <f t="shared" si="2"/>
        <v>-9.66</v>
      </c>
      <c r="M23" s="2"/>
      <c r="N23" s="6">
        <f t="shared" si="3"/>
        <v>-0.36660341555977227</v>
      </c>
      <c r="O23" s="11"/>
      <c r="P23" s="7">
        <v>33.08</v>
      </c>
      <c r="Q23" s="2"/>
      <c r="R23" s="6">
        <f t="shared" si="4"/>
        <v>0</v>
      </c>
      <c r="S23" s="2"/>
      <c r="T23" s="7">
        <v>49.37</v>
      </c>
      <c r="U23" s="2"/>
      <c r="V23" s="6">
        <f t="shared" si="5"/>
        <v>0</v>
      </c>
      <c r="W23" s="2"/>
      <c r="X23" s="7">
        <f t="shared" si="6"/>
        <v>-16.29</v>
      </c>
      <c r="Y23" s="2"/>
      <c r="Z23" s="6">
        <f t="shared" si="7"/>
        <v>-0.32995746404699211</v>
      </c>
    </row>
    <row r="24" spans="1:26" s="24" customFormat="1" hidden="1" outlineLevel="2" x14ac:dyDescent="0.25">
      <c r="A24" s="29"/>
      <c r="B24" s="11" t="str">
        <f>CONCATENATE("          ", "6118", " - ", "VACATION")</f>
        <v xml:space="preserve">          6118 - VACATION</v>
      </c>
      <c r="C24" s="11"/>
      <c r="D24" s="7">
        <v>184.8</v>
      </c>
      <c r="E24" s="2"/>
      <c r="F24" s="6">
        <f t="shared" si="0"/>
        <v>0</v>
      </c>
      <c r="G24" s="2"/>
      <c r="H24" s="7">
        <v>184.8</v>
      </c>
      <c r="I24" s="2"/>
      <c r="J24" s="6">
        <f t="shared" si="1"/>
        <v>0</v>
      </c>
      <c r="K24" s="2"/>
      <c r="L24" s="7">
        <f t="shared" si="2"/>
        <v>0</v>
      </c>
      <c r="M24" s="2"/>
      <c r="N24" s="6">
        <f t="shared" si="3"/>
        <v>0</v>
      </c>
      <c r="O24" s="11"/>
      <c r="P24" s="7">
        <v>369.6</v>
      </c>
      <c r="Q24" s="2"/>
      <c r="R24" s="6">
        <f t="shared" si="4"/>
        <v>0</v>
      </c>
      <c r="S24" s="2"/>
      <c r="T24" s="7">
        <v>369.6</v>
      </c>
      <c r="U24" s="2"/>
      <c r="V24" s="6">
        <f t="shared" si="5"/>
        <v>0</v>
      </c>
      <c r="W24" s="2"/>
      <c r="X24" s="7">
        <f t="shared" si="6"/>
        <v>0</v>
      </c>
      <c r="Y24" s="2"/>
      <c r="Z24" s="6">
        <f t="shared" si="7"/>
        <v>0</v>
      </c>
    </row>
    <row r="25" spans="1:26" s="24" customFormat="1" hidden="1" outlineLevel="2" x14ac:dyDescent="0.25">
      <c r="A25" s="29"/>
      <c r="B25" s="11" t="str">
        <f>CONCATENATE("          ", "6119", " - ", "SICK LEAVE")</f>
        <v xml:space="preserve">          6119 - SICK LEAVE</v>
      </c>
      <c r="C25" s="11"/>
      <c r="D25" s="7">
        <v>221.4</v>
      </c>
      <c r="E25" s="2"/>
      <c r="F25" s="6">
        <f t="shared" si="0"/>
        <v>0</v>
      </c>
      <c r="G25" s="2"/>
      <c r="H25" s="7">
        <v>221.4</v>
      </c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442.8</v>
      </c>
      <c r="Q25" s="2"/>
      <c r="R25" s="6">
        <f t="shared" si="4"/>
        <v>0</v>
      </c>
      <c r="S25" s="2"/>
      <c r="T25" s="7">
        <v>442.8</v>
      </c>
      <c r="U25" s="2"/>
      <c r="V25" s="6">
        <f t="shared" si="5"/>
        <v>0</v>
      </c>
      <c r="W25" s="2"/>
      <c r="X25" s="7">
        <f t="shared" si="6"/>
        <v>0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"6156", " - ", "EMPLOYEE MEALS")</f>
        <v xml:space="preserve">          6156 - EMPLOYEE MEALS</v>
      </c>
      <c r="C26" s="11"/>
      <c r="D26" s="7"/>
      <c r="E26" s="2"/>
      <c r="F26" s="6">
        <f t="shared" si="0"/>
        <v>0</v>
      </c>
      <c r="G26" s="2"/>
      <c r="H26" s="7">
        <v>141.08000000000001</v>
      </c>
      <c r="I26" s="2"/>
      <c r="J26" s="6">
        <f t="shared" si="1"/>
        <v>0</v>
      </c>
      <c r="K26" s="2"/>
      <c r="L26" s="7">
        <f t="shared" si="2"/>
        <v>-141.08000000000001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289.45</v>
      </c>
      <c r="U26" s="2"/>
      <c r="V26" s="6">
        <f t="shared" si="5"/>
        <v>0</v>
      </c>
      <c r="W26" s="2"/>
      <c r="X26" s="7">
        <f t="shared" si="6"/>
        <v>-289.45</v>
      </c>
      <c r="Y26" s="2"/>
      <c r="Z26" s="6">
        <f t="shared" si="7"/>
        <v>-1</v>
      </c>
    </row>
    <row r="27" spans="1:26" s="28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6405.73</v>
      </c>
      <c r="E27" s="1"/>
      <c r="F27" s="5">
        <f t="shared" ref="F27:F31" si="8">IF(D$12=0,0,D27/D$12)</f>
        <v>0</v>
      </c>
      <c r="G27" s="1"/>
      <c r="H27" s="1">
        <f>SUM(OSRRefH22_1x_0)</f>
        <v>10665.94</v>
      </c>
      <c r="I27" s="1"/>
      <c r="J27" s="5">
        <f t="shared" ref="J27:J31" si="9">IF(H$12=0,0,H27/H$12)</f>
        <v>0</v>
      </c>
      <c r="K27" s="1"/>
      <c r="L27" s="1">
        <f t="shared" ref="L27:L31" si="10">+D27-H27</f>
        <v>-4260.2100000000009</v>
      </c>
      <c r="M27" s="1"/>
      <c r="N27" s="5">
        <f t="shared" ref="N27:N31" si="11">IF(H27=0,0,L27/H27)</f>
        <v>-0.39942189811680928</v>
      </c>
      <c r="O27" s="14"/>
      <c r="P27" s="1">
        <f>SUM(OSRRefP22_1x_0)</f>
        <v>14905.61</v>
      </c>
      <c r="Q27" s="1"/>
      <c r="R27" s="5">
        <f t="shared" ref="R27:R31" si="12">IF(P$12=0,0,P27/P$12)</f>
        <v>0</v>
      </c>
      <c r="S27" s="1"/>
      <c r="T27" s="1">
        <f>SUM(OSRRefT22_1x_0)</f>
        <v>22289.079999999998</v>
      </c>
      <c r="U27" s="1"/>
      <c r="V27" s="5">
        <f t="shared" ref="V27:V31" si="13">IF(T$12=0,0,T27/T$12)</f>
        <v>0</v>
      </c>
      <c r="W27" s="1"/>
      <c r="X27" s="1">
        <f t="shared" ref="X27:X31" si="14">+P27-T27</f>
        <v>-7383.4699999999975</v>
      </c>
      <c r="Y27" s="1"/>
      <c r="Z27" s="5">
        <f t="shared" ref="Z27:Z31" si="15">IF(T27=0,0,X27/T27)</f>
        <v>-0.33125952260030467</v>
      </c>
    </row>
    <row r="28" spans="1:26" s="24" customFormat="1" hidden="1" outlineLevel="2" x14ac:dyDescent="0.25">
      <c r="A28" s="29"/>
      <c r="B28" s="11" t="str">
        <f>CONCATENATE("          ", "6004", " - ", "STAFF HOURLY")</f>
        <v xml:space="preserve">          6004 - STAFF HOURLY</v>
      </c>
      <c r="C28" s="11"/>
      <c r="D28" s="7">
        <v>5182.5</v>
      </c>
      <c r="E28" s="2"/>
      <c r="F28" s="6">
        <f t="shared" si="8"/>
        <v>0</v>
      </c>
      <c r="G28" s="2"/>
      <c r="H28" s="7">
        <v>4766.25</v>
      </c>
      <c r="I28" s="2"/>
      <c r="J28" s="6">
        <f t="shared" si="9"/>
        <v>0</v>
      </c>
      <c r="K28" s="2"/>
      <c r="L28" s="7">
        <f t="shared" si="10"/>
        <v>416.25</v>
      </c>
      <c r="M28" s="2"/>
      <c r="N28" s="6">
        <f t="shared" si="11"/>
        <v>8.7332808811959081E-2</v>
      </c>
      <c r="O28" s="11"/>
      <c r="P28" s="7">
        <v>10608.75</v>
      </c>
      <c r="Q28" s="2"/>
      <c r="R28" s="6">
        <f t="shared" si="12"/>
        <v>0</v>
      </c>
      <c r="S28" s="2"/>
      <c r="T28" s="7">
        <v>10121.25</v>
      </c>
      <c r="U28" s="2"/>
      <c r="V28" s="6">
        <f t="shared" si="13"/>
        <v>0</v>
      </c>
      <c r="W28" s="2"/>
      <c r="X28" s="7">
        <f t="shared" si="14"/>
        <v>487.5</v>
      </c>
      <c r="Y28" s="2"/>
      <c r="Z28" s="6">
        <f t="shared" si="15"/>
        <v>4.8165987402741757E-2</v>
      </c>
    </row>
    <row r="29" spans="1:26" s="24" customFormat="1" hidden="1" outlineLevel="2" x14ac:dyDescent="0.25">
      <c r="A29" s="29"/>
      <c r="B29" s="11" t="str">
        <f>CONCATENATE("          ", "6006", " - ", "TEMPORARY PART TIME")</f>
        <v xml:space="preserve">          6006 - TEMPORARY PART TIME</v>
      </c>
      <c r="C29" s="11"/>
      <c r="D29" s="7"/>
      <c r="E29" s="2"/>
      <c r="F29" s="6">
        <f t="shared" si="8"/>
        <v>0</v>
      </c>
      <c r="G29" s="2"/>
      <c r="H29" s="7">
        <v>1153.93</v>
      </c>
      <c r="I29" s="2"/>
      <c r="J29" s="6">
        <f t="shared" si="9"/>
        <v>0</v>
      </c>
      <c r="K29" s="2"/>
      <c r="L29" s="7">
        <f t="shared" si="10"/>
        <v>-1153.93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1862.68</v>
      </c>
      <c r="U29" s="2"/>
      <c r="V29" s="6">
        <f t="shared" si="13"/>
        <v>0</v>
      </c>
      <c r="W29" s="2"/>
      <c r="X29" s="7">
        <f t="shared" si="14"/>
        <v>-1862.68</v>
      </c>
      <c r="Y29" s="2"/>
      <c r="Z29" s="6">
        <f t="shared" si="15"/>
        <v>-1</v>
      </c>
    </row>
    <row r="30" spans="1:26" s="24" customFormat="1" hidden="1" outlineLevel="2" x14ac:dyDescent="0.25">
      <c r="A30" s="29"/>
      <c r="B30" s="11" t="str">
        <f>CONCATENATE("          ", "6007", " - ", "STUDENT HOURLY")</f>
        <v xml:space="preserve">          6007 - STUDENT HOURLY</v>
      </c>
      <c r="C30" s="11"/>
      <c r="D30" s="7">
        <v>-587</v>
      </c>
      <c r="E30" s="2"/>
      <c r="F30" s="6">
        <f t="shared" si="8"/>
        <v>0</v>
      </c>
      <c r="G30" s="2"/>
      <c r="H30" s="7">
        <v>4436.57</v>
      </c>
      <c r="I30" s="2"/>
      <c r="J30" s="6">
        <f t="shared" si="9"/>
        <v>0</v>
      </c>
      <c r="K30" s="2"/>
      <c r="L30" s="7">
        <f t="shared" si="10"/>
        <v>-5023.57</v>
      </c>
      <c r="M30" s="2"/>
      <c r="N30" s="6">
        <f t="shared" si="11"/>
        <v>-1.1323094192134915</v>
      </c>
      <c r="O30" s="11"/>
      <c r="P30" s="7">
        <v>1258</v>
      </c>
      <c r="Q30" s="2"/>
      <c r="R30" s="6">
        <f t="shared" si="12"/>
        <v>0</v>
      </c>
      <c r="S30" s="2"/>
      <c r="T30" s="7">
        <v>9995.9599999999991</v>
      </c>
      <c r="U30" s="2"/>
      <c r="V30" s="6">
        <f t="shared" si="13"/>
        <v>0</v>
      </c>
      <c r="W30" s="2"/>
      <c r="X30" s="7">
        <f t="shared" si="14"/>
        <v>-8737.9599999999991</v>
      </c>
      <c r="Y30" s="2"/>
      <c r="Z30" s="6">
        <f t="shared" si="15"/>
        <v>-0.8741491562591287</v>
      </c>
    </row>
    <row r="31" spans="1:26" s="24" customFormat="1" hidden="1" outlineLevel="2" x14ac:dyDescent="0.25">
      <c r="A31" s="29"/>
      <c r="B31" s="11" t="str">
        <f>CONCATENATE("          ", "6008", " - ", "STUDENT HOURLY-FICA EXEMPT")</f>
        <v xml:space="preserve">          6008 - STUDENT HOURLY-FICA EXEMPT</v>
      </c>
      <c r="C31" s="11"/>
      <c r="D31" s="7">
        <v>1810.23</v>
      </c>
      <c r="E31" s="2"/>
      <c r="F31" s="6">
        <f t="shared" si="8"/>
        <v>0</v>
      </c>
      <c r="G31" s="2"/>
      <c r="H31" s="7">
        <v>309.19</v>
      </c>
      <c r="I31" s="2"/>
      <c r="J31" s="6">
        <f t="shared" si="9"/>
        <v>0</v>
      </c>
      <c r="K31" s="2"/>
      <c r="L31" s="7">
        <f t="shared" si="10"/>
        <v>1501.04</v>
      </c>
      <c r="M31" s="2"/>
      <c r="N31" s="6">
        <f t="shared" si="11"/>
        <v>4.8547495067757689</v>
      </c>
      <c r="O31" s="11"/>
      <c r="P31" s="7">
        <v>3038.86</v>
      </c>
      <c r="Q31" s="2"/>
      <c r="R31" s="6">
        <f t="shared" si="12"/>
        <v>0</v>
      </c>
      <c r="S31" s="2"/>
      <c r="T31" s="7">
        <v>309.19</v>
      </c>
      <c r="U31" s="2"/>
      <c r="V31" s="6">
        <f t="shared" si="13"/>
        <v>0</v>
      </c>
      <c r="W31" s="2"/>
      <c r="X31" s="7">
        <f t="shared" si="14"/>
        <v>2729.67</v>
      </c>
      <c r="Y31" s="2"/>
      <c r="Z31" s="6">
        <f t="shared" si="15"/>
        <v>8.8284549953103273</v>
      </c>
    </row>
    <row r="32" spans="1:26" s="28" customFormat="1" outlineLevel="1" collapsed="1" x14ac:dyDescent="0.25">
      <c r="A32" s="27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173.21</v>
      </c>
      <c r="E32" s="1"/>
      <c r="F32" s="5">
        <f t="shared" ref="F32:F38" si="16">IF(D$12=0,0,D32/D$12)</f>
        <v>0</v>
      </c>
      <c r="G32" s="1"/>
      <c r="H32" s="1">
        <f>SUM(OSRRefH22_2x_0)</f>
        <v>-6441.84</v>
      </c>
      <c r="I32" s="1"/>
      <c r="J32" s="5">
        <f t="shared" ref="J32:J38" si="17">IF(H$12=0,0,H32/H$12)</f>
        <v>0</v>
      </c>
      <c r="K32" s="1"/>
      <c r="L32" s="1">
        <f t="shared" ref="L32:L38" si="18">+D32-H32</f>
        <v>6615.05</v>
      </c>
      <c r="M32" s="1"/>
      <c r="N32" s="5">
        <f t="shared" ref="N32:N38" si="19">IF(H32=0,0,L32/H32)</f>
        <v>-1.0268882803671</v>
      </c>
      <c r="O32" s="14"/>
      <c r="P32" s="1">
        <f>SUM(OSRRefP22_2x_0)</f>
        <v>173.21</v>
      </c>
      <c r="Q32" s="1"/>
      <c r="R32" s="5">
        <f t="shared" ref="R32:R38" si="20">IF(P$12=0,0,P32/P$12)</f>
        <v>0</v>
      </c>
      <c r="S32" s="1"/>
      <c r="T32" s="1">
        <f>SUM(OSRRefT22_2x_0)</f>
        <v>-13724.24</v>
      </c>
      <c r="U32" s="1"/>
      <c r="V32" s="5">
        <f t="shared" ref="V32:V38" si="21">IF(T$12=0,0,T32/T$12)</f>
        <v>0</v>
      </c>
      <c r="W32" s="1"/>
      <c r="X32" s="1">
        <f t="shared" ref="X32:X38" si="22">+P32-T32</f>
        <v>13897.449999999999</v>
      </c>
      <c r="Y32" s="1"/>
      <c r="Z32" s="5">
        <f t="shared" ref="Z32:Z38" si="23">IF(T32=0,0,X32/T32)</f>
        <v>-1.0126207352829737</v>
      </c>
    </row>
    <row r="33" spans="1:26" s="24" customFormat="1" hidden="1" outlineLevel="2" x14ac:dyDescent="0.25">
      <c r="A33" s="29"/>
      <c r="B33" s="11" t="str">
        <f>CONCATENATE("          ", "6362", " - ", "ADVERTISING EXPENSE")</f>
        <v xml:space="preserve">          6362 - ADVERTISING EXPENSE</v>
      </c>
      <c r="C33" s="11"/>
      <c r="D33" s="7">
        <v>173.21</v>
      </c>
      <c r="E33" s="2"/>
      <c r="F33" s="6">
        <f t="shared" si="16"/>
        <v>0</v>
      </c>
      <c r="G33" s="2"/>
      <c r="H33" s="7">
        <v>-6441.84</v>
      </c>
      <c r="I33" s="2"/>
      <c r="J33" s="6">
        <f t="shared" si="17"/>
        <v>0</v>
      </c>
      <c r="K33" s="2"/>
      <c r="L33" s="7">
        <f t="shared" si="18"/>
        <v>6615.05</v>
      </c>
      <c r="M33" s="2"/>
      <c r="N33" s="6">
        <f t="shared" si="19"/>
        <v>-1.0268882803671</v>
      </c>
      <c r="O33" s="11"/>
      <c r="P33" s="7">
        <v>173.21</v>
      </c>
      <c r="Q33" s="2"/>
      <c r="R33" s="6">
        <f t="shared" si="20"/>
        <v>0</v>
      </c>
      <c r="S33" s="2"/>
      <c r="T33" s="7">
        <v>-13724.24</v>
      </c>
      <c r="U33" s="2"/>
      <c r="V33" s="6">
        <f t="shared" si="21"/>
        <v>0</v>
      </c>
      <c r="W33" s="2"/>
      <c r="X33" s="7">
        <f t="shared" si="22"/>
        <v>13897.449999999999</v>
      </c>
      <c r="Y33" s="2"/>
      <c r="Z33" s="6">
        <f t="shared" si="23"/>
        <v>-1.0126207352829737</v>
      </c>
    </row>
    <row r="34" spans="1:26" s="28" customFormat="1" outlineLevel="1" collapsed="1" x14ac:dyDescent="0.25">
      <c r="A34" s="27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271.27</v>
      </c>
      <c r="E34" s="1"/>
      <c r="F34" s="5">
        <f t="shared" si="16"/>
        <v>0</v>
      </c>
      <c r="G34" s="1"/>
      <c r="H34" s="1">
        <f>SUM(OSRRefH22_3x_0)</f>
        <v>295.67</v>
      </c>
      <c r="I34" s="1"/>
      <c r="J34" s="5">
        <f t="shared" si="17"/>
        <v>0</v>
      </c>
      <c r="K34" s="1"/>
      <c r="L34" s="1">
        <f t="shared" si="18"/>
        <v>-24.400000000000034</v>
      </c>
      <c r="M34" s="1"/>
      <c r="N34" s="5">
        <f t="shared" si="19"/>
        <v>-8.2524436026651452E-2</v>
      </c>
      <c r="O34" s="14"/>
      <c r="P34" s="1">
        <f>SUM(OSRRefP22_3x_0)</f>
        <v>542.54</v>
      </c>
      <c r="Q34" s="1"/>
      <c r="R34" s="5">
        <f t="shared" si="20"/>
        <v>0</v>
      </c>
      <c r="S34" s="1"/>
      <c r="T34" s="1">
        <f>SUM(OSRRefT22_3x_0)</f>
        <v>591.34</v>
      </c>
      <c r="U34" s="1"/>
      <c r="V34" s="5">
        <f t="shared" si="21"/>
        <v>0</v>
      </c>
      <c r="W34" s="1"/>
      <c r="X34" s="1">
        <f t="shared" si="22"/>
        <v>-48.800000000000068</v>
      </c>
      <c r="Y34" s="1"/>
      <c r="Z34" s="5">
        <f t="shared" si="23"/>
        <v>-8.2524436026651452E-2</v>
      </c>
    </row>
    <row r="35" spans="1:26" s="24" customFormat="1" hidden="1" outlineLevel="2" x14ac:dyDescent="0.25">
      <c r="A35" s="29"/>
      <c r="B35" s="11" t="str">
        <f>CONCATENATE("          ", "6322", " - ", "EQUIPMENT DEPRECIATION EXPENSE")</f>
        <v xml:space="preserve">          6322 - EQUIPMENT DEPRECIATION EXPENSE</v>
      </c>
      <c r="C35" s="11"/>
      <c r="D35" s="7">
        <v>271.27</v>
      </c>
      <c r="E35" s="2"/>
      <c r="F35" s="6">
        <f t="shared" si="16"/>
        <v>0</v>
      </c>
      <c r="G35" s="2"/>
      <c r="H35" s="7">
        <v>295.67</v>
      </c>
      <c r="I35" s="2"/>
      <c r="J35" s="6">
        <f t="shared" si="17"/>
        <v>0</v>
      </c>
      <c r="K35" s="2"/>
      <c r="L35" s="7">
        <f t="shared" si="18"/>
        <v>-24.400000000000034</v>
      </c>
      <c r="M35" s="2"/>
      <c r="N35" s="6">
        <f t="shared" si="19"/>
        <v>-8.2524436026651452E-2</v>
      </c>
      <c r="O35" s="11"/>
      <c r="P35" s="7">
        <v>542.54</v>
      </c>
      <c r="Q35" s="2"/>
      <c r="R35" s="6">
        <f t="shared" si="20"/>
        <v>0</v>
      </c>
      <c r="S35" s="2"/>
      <c r="T35" s="7">
        <v>591.34</v>
      </c>
      <c r="U35" s="2"/>
      <c r="V35" s="6">
        <f t="shared" si="21"/>
        <v>0</v>
      </c>
      <c r="W35" s="2"/>
      <c r="X35" s="7">
        <f t="shared" si="22"/>
        <v>-48.800000000000068</v>
      </c>
      <c r="Y35" s="2"/>
      <c r="Z35" s="6">
        <f t="shared" si="23"/>
        <v>-8.2524436026651452E-2</v>
      </c>
    </row>
    <row r="36" spans="1:26" s="28" customFormat="1" outlineLevel="1" collapsed="1" x14ac:dyDescent="0.25">
      <c r="A36" s="27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SUM(OSRRefD22_4x_0)</f>
        <v>0</v>
      </c>
      <c r="E36" s="1"/>
      <c r="F36" s="5">
        <f t="shared" si="16"/>
        <v>0</v>
      </c>
      <c r="G36" s="1"/>
      <c r="H36" s="1">
        <f>SUM(OSRRefH22_4x_0)</f>
        <v>63.83</v>
      </c>
      <c r="I36" s="1"/>
      <c r="J36" s="5">
        <f t="shared" si="17"/>
        <v>0</v>
      </c>
      <c r="K36" s="1"/>
      <c r="L36" s="1">
        <f t="shared" si="18"/>
        <v>-63.83</v>
      </c>
      <c r="M36" s="1"/>
      <c r="N36" s="5">
        <f t="shared" si="19"/>
        <v>-1</v>
      </c>
      <c r="O36" s="14"/>
      <c r="P36" s="1">
        <f>SUM(OSRRefP22_4x_0)</f>
        <v>0</v>
      </c>
      <c r="Q36" s="1"/>
      <c r="R36" s="5">
        <f t="shared" si="20"/>
        <v>0</v>
      </c>
      <c r="S36" s="1"/>
      <c r="T36" s="1">
        <f>SUM(OSRRefT22_4x_0)</f>
        <v>491.19000000000005</v>
      </c>
      <c r="U36" s="1"/>
      <c r="V36" s="5">
        <f t="shared" si="21"/>
        <v>0</v>
      </c>
      <c r="W36" s="1"/>
      <c r="X36" s="1">
        <f t="shared" si="22"/>
        <v>-491.19000000000005</v>
      </c>
      <c r="Y36" s="1"/>
      <c r="Z36" s="5">
        <f t="shared" si="23"/>
        <v>-1</v>
      </c>
    </row>
    <row r="37" spans="1:26" s="24" customFormat="1" hidden="1" outlineLevel="2" x14ac:dyDescent="0.25">
      <c r="A37" s="29"/>
      <c r="B37" s="11" t="str">
        <f>CONCATENATE("          ", "6241", " - ", "OFFICE EXPENSE")</f>
        <v xml:space="preserve">          6241 - OFFICE EXPENSE</v>
      </c>
      <c r="C37" s="11"/>
      <c r="D37" s="7"/>
      <c r="E37" s="2"/>
      <c r="F37" s="6">
        <f t="shared" si="16"/>
        <v>0</v>
      </c>
      <c r="G37" s="2"/>
      <c r="H37" s="7">
        <v>63.83</v>
      </c>
      <c r="I37" s="2"/>
      <c r="J37" s="6">
        <f t="shared" si="17"/>
        <v>0</v>
      </c>
      <c r="K37" s="2"/>
      <c r="L37" s="7">
        <f t="shared" si="18"/>
        <v>-63.83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144.77000000000001</v>
      </c>
      <c r="U37" s="2"/>
      <c r="V37" s="6">
        <f t="shared" si="21"/>
        <v>0</v>
      </c>
      <c r="W37" s="2"/>
      <c r="X37" s="7">
        <f t="shared" si="22"/>
        <v>-144.77000000000001</v>
      </c>
      <c r="Y37" s="2"/>
      <c r="Z37" s="6">
        <f t="shared" si="23"/>
        <v>-1</v>
      </c>
    </row>
    <row r="38" spans="1:26" s="24" customFormat="1" hidden="1" outlineLevel="2" x14ac:dyDescent="0.25">
      <c r="A38" s="29"/>
      <c r="B38" s="11" t="str">
        <f>CONCATENATE("          ", "6245", " - ", "PRINTING")</f>
        <v xml:space="preserve">          6245 - PRINTING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/>
      <c r="Q38" s="2"/>
      <c r="R38" s="6">
        <f t="shared" si="20"/>
        <v>0</v>
      </c>
      <c r="S38" s="2"/>
      <c r="T38" s="7">
        <v>346.42</v>
      </c>
      <c r="U38" s="2"/>
      <c r="V38" s="6">
        <f t="shared" si="21"/>
        <v>0</v>
      </c>
      <c r="W38" s="2"/>
      <c r="X38" s="7">
        <f t="shared" si="22"/>
        <v>-346.42</v>
      </c>
      <c r="Y38" s="2"/>
      <c r="Z38" s="6">
        <f t="shared" si="23"/>
        <v>-1</v>
      </c>
    </row>
    <row r="39" spans="1:26" s="28" customFormat="1" outlineLevel="1" collapsed="1" x14ac:dyDescent="0.25">
      <c r="A39" s="27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SUM(OSRRefD22_5x_0)</f>
        <v>36</v>
      </c>
      <c r="E39" s="1"/>
      <c r="F39" s="5">
        <f t="shared" ref="F39:F42" si="24">IF(D$12=0,0,D39/D$12)</f>
        <v>0</v>
      </c>
      <c r="G39" s="1"/>
      <c r="H39" s="1">
        <f>SUM(OSRRefH22_5x_0)</f>
        <v>81.150000000000006</v>
      </c>
      <c r="I39" s="1"/>
      <c r="J39" s="5">
        <f t="shared" ref="J39:J42" si="25">IF(H$12=0,0,H39/H$12)</f>
        <v>0</v>
      </c>
      <c r="K39" s="1"/>
      <c r="L39" s="1">
        <f t="shared" ref="L39:L42" si="26">+D39-H39</f>
        <v>-45.150000000000006</v>
      </c>
      <c r="M39" s="1"/>
      <c r="N39" s="5">
        <f t="shared" ref="N39:N42" si="27">IF(H39=0,0,L39/H39)</f>
        <v>-0.55637707948243997</v>
      </c>
      <c r="O39" s="14"/>
      <c r="P39" s="1">
        <f>SUM(OSRRefP22_5x_0)</f>
        <v>72</v>
      </c>
      <c r="Q39" s="1"/>
      <c r="R39" s="5">
        <f t="shared" ref="R39:R42" si="28">IF(P$12=0,0,P39/P$12)</f>
        <v>0</v>
      </c>
      <c r="S39" s="1"/>
      <c r="T39" s="1">
        <f>SUM(OSRRefT22_5x_0)</f>
        <v>75.45</v>
      </c>
      <c r="U39" s="1"/>
      <c r="V39" s="5">
        <f t="shared" ref="V39:V42" si="29">IF(T$12=0,0,T39/T$12)</f>
        <v>0</v>
      </c>
      <c r="W39" s="1"/>
      <c r="X39" s="1">
        <f t="shared" ref="X39:X42" si="30">+P39-T39</f>
        <v>-3.4500000000000028</v>
      </c>
      <c r="Y39" s="1"/>
      <c r="Z39" s="5">
        <f t="shared" ref="Z39:Z42" si="31">IF(T39=0,0,X39/T39)</f>
        <v>-4.5725646123260473E-2</v>
      </c>
    </row>
    <row r="40" spans="1:26" s="24" customFormat="1" hidden="1" outlineLevel="2" x14ac:dyDescent="0.25">
      <c r="A40" s="29"/>
      <c r="B40" s="11" t="str">
        <f>CONCATENATE("          ", "6309", " - ", "TELEPHONE")</f>
        <v xml:space="preserve">          6309 - TELEPHONE</v>
      </c>
      <c r="C40" s="11"/>
      <c r="D40" s="7">
        <v>36</v>
      </c>
      <c r="E40" s="2"/>
      <c r="F40" s="6">
        <f t="shared" si="24"/>
        <v>0</v>
      </c>
      <c r="G40" s="2"/>
      <c r="H40" s="7">
        <v>81.150000000000006</v>
      </c>
      <c r="I40" s="2"/>
      <c r="J40" s="6">
        <f t="shared" si="25"/>
        <v>0</v>
      </c>
      <c r="K40" s="2"/>
      <c r="L40" s="7">
        <f t="shared" si="26"/>
        <v>-45.150000000000006</v>
      </c>
      <c r="M40" s="2"/>
      <c r="N40" s="6">
        <f t="shared" si="27"/>
        <v>-0.55637707948243997</v>
      </c>
      <c r="O40" s="11"/>
      <c r="P40" s="7">
        <v>72</v>
      </c>
      <c r="Q40" s="2"/>
      <c r="R40" s="6">
        <f t="shared" si="28"/>
        <v>0</v>
      </c>
      <c r="S40" s="2"/>
      <c r="T40" s="7">
        <v>75.45</v>
      </c>
      <c r="U40" s="2"/>
      <c r="V40" s="6">
        <f t="shared" si="29"/>
        <v>0</v>
      </c>
      <c r="W40" s="2"/>
      <c r="X40" s="7">
        <f t="shared" si="30"/>
        <v>-3.4500000000000028</v>
      </c>
      <c r="Y40" s="2"/>
      <c r="Z40" s="6">
        <f t="shared" si="31"/>
        <v>-4.5725646123260473E-2</v>
      </c>
    </row>
    <row r="41" spans="1:26" s="28" customFormat="1" outlineLevel="1" collapsed="1" x14ac:dyDescent="0.25">
      <c r="A41" s="27"/>
      <c r="B41" s="14" t="str">
        <f>CONCATENATE("     ","Travel                                            ")</f>
        <v xml:space="preserve">     Travel                                            </v>
      </c>
      <c r="C41" s="14"/>
      <c r="D41" s="1">
        <f>SUM(OSRRefD22_6x_0)</f>
        <v>0</v>
      </c>
      <c r="E41" s="1"/>
      <c r="F41" s="5">
        <f t="shared" si="24"/>
        <v>0</v>
      </c>
      <c r="G41" s="1"/>
      <c r="H41" s="1">
        <f>SUM(OSRRefH22_6x_0)</f>
        <v>118.32</v>
      </c>
      <c r="I41" s="1"/>
      <c r="J41" s="5">
        <f t="shared" si="25"/>
        <v>0</v>
      </c>
      <c r="K41" s="1"/>
      <c r="L41" s="1">
        <f t="shared" si="26"/>
        <v>-118.32</v>
      </c>
      <c r="M41" s="1"/>
      <c r="N41" s="5">
        <f t="shared" si="27"/>
        <v>-1</v>
      </c>
      <c r="O41" s="14"/>
      <c r="P41" s="1">
        <f>SUM(OSRRefP22_6x_0)</f>
        <v>0</v>
      </c>
      <c r="Q41" s="1"/>
      <c r="R41" s="5">
        <f t="shared" si="28"/>
        <v>0</v>
      </c>
      <c r="S41" s="1"/>
      <c r="T41" s="1">
        <f>SUM(OSRRefT22_6x_0)</f>
        <v>118.32</v>
      </c>
      <c r="U41" s="1"/>
      <c r="V41" s="5">
        <f t="shared" si="29"/>
        <v>0</v>
      </c>
      <c r="W41" s="1"/>
      <c r="X41" s="1">
        <f t="shared" si="30"/>
        <v>-118.32</v>
      </c>
      <c r="Y41" s="1"/>
      <c r="Z41" s="5">
        <f t="shared" si="31"/>
        <v>-1</v>
      </c>
    </row>
    <row r="42" spans="1:26" s="24" customFormat="1" hidden="1" outlineLevel="2" x14ac:dyDescent="0.25">
      <c r="A42" s="29"/>
      <c r="B42" s="11" t="str">
        <f>CONCATENATE("          ", "6292", " - ", "TRAVEL/CONFERENCE")</f>
        <v xml:space="preserve">          6292 - TRAVEL/CONFERENCE</v>
      </c>
      <c r="C42" s="11"/>
      <c r="D42" s="7"/>
      <c r="E42" s="2"/>
      <c r="F42" s="6">
        <f t="shared" si="24"/>
        <v>0</v>
      </c>
      <c r="G42" s="2"/>
      <c r="H42" s="7">
        <v>118.32</v>
      </c>
      <c r="I42" s="2"/>
      <c r="J42" s="6">
        <f t="shared" si="25"/>
        <v>0</v>
      </c>
      <c r="K42" s="2"/>
      <c r="L42" s="7">
        <f t="shared" si="26"/>
        <v>-118.32</v>
      </c>
      <c r="M42" s="2"/>
      <c r="N42" s="6">
        <f t="shared" si="27"/>
        <v>-1</v>
      </c>
      <c r="O42" s="11"/>
      <c r="P42" s="7"/>
      <c r="Q42" s="2"/>
      <c r="R42" s="6">
        <f t="shared" si="28"/>
        <v>0</v>
      </c>
      <c r="S42" s="2"/>
      <c r="T42" s="7">
        <v>118.32</v>
      </c>
      <c r="U42" s="2"/>
      <c r="V42" s="6">
        <f t="shared" si="29"/>
        <v>0</v>
      </c>
      <c r="W42" s="2"/>
      <c r="X42" s="7">
        <f t="shared" si="30"/>
        <v>-118.32</v>
      </c>
      <c r="Y42" s="2"/>
      <c r="Z42" s="6">
        <f t="shared" si="31"/>
        <v>-1</v>
      </c>
    </row>
    <row r="43" spans="1:26" s="52" customFormat="1" x14ac:dyDescent="0.25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25">
      <c r="A44" s="10"/>
      <c r="B44" s="25" t="s">
        <v>0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25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10"/>
      <c r="B46" s="26" t="s">
        <v>3</v>
      </c>
      <c r="C46" s="26"/>
      <c r="D46" s="22">
        <f>+D16-D18+D44</f>
        <v>-8415.8599999999988</v>
      </c>
      <c r="E46" s="13"/>
      <c r="F46" s="21">
        <f>IF(D$12=0,0,D46/D$12)</f>
        <v>0</v>
      </c>
      <c r="G46" s="13"/>
      <c r="H46" s="22">
        <f>+H16-H18+H44</f>
        <v>-6888.33</v>
      </c>
      <c r="I46" s="13"/>
      <c r="J46" s="21">
        <f>IF(H$12=0,0,H46/H$12)</f>
        <v>0</v>
      </c>
      <c r="K46" s="16"/>
      <c r="L46" s="22">
        <f>+D46-H46</f>
        <v>-1527.5299999999988</v>
      </c>
      <c r="M46" s="16"/>
      <c r="N46" s="21">
        <f>IF(H46=0,0,L46/H46)</f>
        <v>0.2217562166737074</v>
      </c>
      <c r="O46" s="25"/>
      <c r="P46" s="22">
        <f>+P16-P18+P44</f>
        <v>-18771.919999999998</v>
      </c>
      <c r="Q46" s="13"/>
      <c r="R46" s="21">
        <f>IF(P$12=0,0,P46/P$12)</f>
        <v>0</v>
      </c>
      <c r="S46" s="13"/>
      <c r="T46" s="22">
        <f>+T16-T18+T44</f>
        <v>-13947.900000000001</v>
      </c>
      <c r="U46" s="13"/>
      <c r="V46" s="21">
        <f>IF(T$12=0,0,T46/T$12)</f>
        <v>0</v>
      </c>
      <c r="W46" s="16"/>
      <c r="X46" s="22">
        <f>+P46-T46</f>
        <v>-4824.0199999999968</v>
      </c>
      <c r="Y46" s="16"/>
      <c r="Z46" s="21">
        <f>IF(T46=0,0,X46/T46)</f>
        <v>0.34585995024340555</v>
      </c>
    </row>
    <row r="47" spans="1:26" x14ac:dyDescent="0.25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25">
      <c r="A48" s="51"/>
      <c r="B48" s="10" t="s">
        <v>13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25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6" t="s">
        <v>4</v>
      </c>
      <c r="C50" s="26"/>
      <c r="D50" s="36">
        <f>+D46-D48</f>
        <v>-8415.8599999999988</v>
      </c>
      <c r="E50" s="13"/>
      <c r="F50" s="34">
        <f>IF(D$12=0,0,D50/D$12)</f>
        <v>0</v>
      </c>
      <c r="G50" s="13"/>
      <c r="H50" s="36">
        <f>+H46-H48</f>
        <v>-6888.33</v>
      </c>
      <c r="I50" s="13"/>
      <c r="J50" s="34">
        <f>IF(H$12=0,0,H50/H$12)</f>
        <v>0</v>
      </c>
      <c r="K50" s="16"/>
      <c r="L50" s="36">
        <f>D50-H50</f>
        <v>-1527.5299999999988</v>
      </c>
      <c r="M50" s="16"/>
      <c r="N50" s="34">
        <f>IF(H50=0,0,L50/H50)</f>
        <v>0.2217562166737074</v>
      </c>
      <c r="O50" s="25"/>
      <c r="P50" s="36">
        <f>+P46-P48</f>
        <v>-18771.919999999998</v>
      </c>
      <c r="Q50" s="13"/>
      <c r="R50" s="34">
        <f>IF(P$12=0,0,P50/P$12)</f>
        <v>0</v>
      </c>
      <c r="S50" s="13"/>
      <c r="T50" s="36">
        <f>+T46-T48</f>
        <v>-13947.900000000001</v>
      </c>
      <c r="U50" s="13"/>
      <c r="V50" s="34">
        <f>IF(T$12=0,0,T50/T$12)</f>
        <v>0</v>
      </c>
      <c r="W50" s="16"/>
      <c r="X50" s="36">
        <f>P50-T50</f>
        <v>-4824.0199999999968</v>
      </c>
      <c r="Y50" s="16"/>
      <c r="Z50" s="34">
        <f>IF(T50=0,0,X50/T50)</f>
        <v>0.34585995024340555</v>
      </c>
    </row>
    <row r="51" spans="1:26" ht="15.75" thickTop="1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25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.75" thickBot="1" x14ac:dyDescent="0.3">
      <c r="A53" s="10"/>
      <c r="B53" s="26" t="s">
        <v>5</v>
      </c>
      <c r="C53" s="26"/>
      <c r="D53" s="30">
        <f>SUM(D50:D52)</f>
        <v>-8415.8599999999988</v>
      </c>
      <c r="E53" s="13"/>
      <c r="F53" s="31">
        <f>IF(D$12=0,0,D53/D$12)</f>
        <v>0</v>
      </c>
      <c r="G53" s="13"/>
      <c r="H53" s="30">
        <f>SUM(H50:H52)</f>
        <v>-6888.33</v>
      </c>
      <c r="I53" s="13"/>
      <c r="J53" s="31">
        <f>IF(H$12=0,0,H53/H$12)</f>
        <v>0</v>
      </c>
      <c r="K53" s="16"/>
      <c r="L53" s="30">
        <f>+D53-H53</f>
        <v>-1527.5299999999988</v>
      </c>
      <c r="M53" s="16"/>
      <c r="N53" s="31">
        <f>IF(H53=0,0,L53/H53)</f>
        <v>0.2217562166737074</v>
      </c>
      <c r="O53" s="25"/>
      <c r="P53" s="30">
        <f>SUM(P50:P52)</f>
        <v>-18771.919999999998</v>
      </c>
      <c r="Q53" s="13"/>
      <c r="R53" s="31">
        <f>IF(P$12=0,0,P53/P$12)</f>
        <v>0</v>
      </c>
      <c r="S53" s="13"/>
      <c r="T53" s="30">
        <f>SUM(T50:T52)</f>
        <v>-13947.900000000001</v>
      </c>
      <c r="U53" s="13"/>
      <c r="V53" s="31">
        <f>IF(T$12=0,0,T53/T$12)</f>
        <v>0</v>
      </c>
      <c r="W53" s="16"/>
      <c r="X53" s="30">
        <f>+P53-T53</f>
        <v>-4824.0199999999968</v>
      </c>
      <c r="Y53" s="16"/>
      <c r="Z53" s="31">
        <f>IF(T53=0,0,X53/T53)</f>
        <v>0.34585995024340555</v>
      </c>
    </row>
    <row r="54" spans="1:26" ht="15.75" thickTop="1" x14ac:dyDescent="0.25">
      <c r="A54" s="9"/>
      <c r="C54" s="9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61">
        <v>44113.696063159725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6" t="s">
        <v>313</v>
      </c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A57" s="9"/>
      <c r="B57" s="58"/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  <row r="58" spans="1:26" x14ac:dyDescent="0.25">
      <c r="D58" s="18"/>
      <c r="E58" s="18"/>
      <c r="G58" s="18"/>
      <c r="H58" s="18"/>
      <c r="I58" s="18"/>
      <c r="J58" s="43"/>
      <c r="K58" s="18"/>
      <c r="L58" s="18"/>
      <c r="M58" s="18"/>
      <c r="P58" s="18"/>
      <c r="Q58" s="18"/>
      <c r="R58" s="43"/>
      <c r="S58" s="18"/>
      <c r="T58" s="18"/>
      <c r="U58" s="18"/>
      <c r="V58" s="43"/>
      <c r="W58" s="18"/>
      <c r="X58" s="18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26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1597913.1100000003</v>
      </c>
      <c r="E12" s="4"/>
      <c r="F12" s="12"/>
      <c r="G12" s="4"/>
      <c r="H12" s="4">
        <f>SUM(OSRRefH13x_0)</f>
        <v>2831724.0500000003</v>
      </c>
      <c r="I12" s="4"/>
      <c r="J12" s="12"/>
      <c r="K12" s="4"/>
      <c r="L12" s="4">
        <f t="shared" ref="L12:L99" si="0">+D12-H12</f>
        <v>-1233810.94</v>
      </c>
      <c r="M12" s="4"/>
      <c r="N12" s="12">
        <f t="shared" ref="N12:N99" si="1">IF(H12=0,0,L12/H12)</f>
        <v>-0.43571016038797983</v>
      </c>
      <c r="O12" s="10"/>
      <c r="P12" s="4">
        <f>SUM(OSRRefP13x_0)</f>
        <v>1825580.3600000003</v>
      </c>
      <c r="Q12" s="4"/>
      <c r="R12" s="12"/>
      <c r="S12" s="4"/>
      <c r="T12" s="4">
        <f>SUM(OSRRefT13x_0)</f>
        <v>3242487.370000001</v>
      </c>
      <c r="U12" s="4"/>
      <c r="V12" s="12"/>
      <c r="W12" s="4"/>
      <c r="X12" s="4">
        <f t="shared" ref="X12:X99" si="2">+P12-T12</f>
        <v>-1416907.0100000007</v>
      </c>
      <c r="Y12" s="4"/>
      <c r="Z12" s="12">
        <f t="shared" ref="Z12:Z99" si="3">IF(T12=0,0,X12/T12)</f>
        <v>-0.43698150472672476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-17230.39</f>
        <v>-17230.39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-17230.39</v>
      </c>
      <c r="M13" s="2"/>
      <c r="N13" s="19">
        <f t="shared" si="1"/>
        <v>0</v>
      </c>
      <c r="O13" s="11"/>
      <c r="P13" s="2">
        <f>-27953.85</f>
        <v>-27953.85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-27953.85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19"/>
      <c r="G14" s="2"/>
      <c r="H14" s="2">
        <f>--1090909.72</f>
        <v>1090909.72</v>
      </c>
      <c r="I14" s="2"/>
      <c r="J14" s="19"/>
      <c r="K14" s="2"/>
      <c r="L14" s="2">
        <f t="shared" si="0"/>
        <v>-518660.25</v>
      </c>
      <c r="M14" s="2"/>
      <c r="N14" s="19">
        <f t="shared" si="1"/>
        <v>-0.4754382883305871</v>
      </c>
      <c r="O14" s="11"/>
      <c r="P14" s="2">
        <f>--584197.32</f>
        <v>584197.31999999995</v>
      </c>
      <c r="Q14" s="2"/>
      <c r="R14" s="19"/>
      <c r="S14" s="2"/>
      <c r="T14" s="2">
        <f>--1127221.97</f>
        <v>1127221.97</v>
      </c>
      <c r="U14" s="2"/>
      <c r="V14" s="19"/>
      <c r="W14" s="2"/>
      <c r="X14" s="2">
        <f t="shared" si="2"/>
        <v>-543024.65</v>
      </c>
      <c r="Y14" s="2"/>
      <c r="Z14" s="19">
        <f t="shared" si="3"/>
        <v>-0.48173710631278777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19"/>
      <c r="G15" s="2"/>
      <c r="H15" s="2">
        <f>--533666.11</f>
        <v>533666.11</v>
      </c>
      <c r="I15" s="2"/>
      <c r="J15" s="19"/>
      <c r="K15" s="2"/>
      <c r="L15" s="2">
        <f t="shared" si="0"/>
        <v>-268083.28999999998</v>
      </c>
      <c r="M15" s="2"/>
      <c r="N15" s="19">
        <f t="shared" si="1"/>
        <v>-0.50234272886468279</v>
      </c>
      <c r="O15" s="11"/>
      <c r="P15" s="2">
        <f>--278612.16</f>
        <v>278612.15999999997</v>
      </c>
      <c r="Q15" s="2"/>
      <c r="R15" s="19"/>
      <c r="S15" s="2"/>
      <c r="T15" s="2">
        <f>--555460.92</f>
        <v>555460.92000000004</v>
      </c>
      <c r="U15" s="2"/>
      <c r="V15" s="19"/>
      <c r="W15" s="2"/>
      <c r="X15" s="2">
        <f t="shared" si="2"/>
        <v>-276848.76000000007</v>
      </c>
      <c r="Y15" s="2"/>
      <c r="Z15" s="19">
        <f t="shared" si="3"/>
        <v>-0.49841266960779174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19"/>
      <c r="G16" s="2"/>
      <c r="H16" s="2">
        <f>--12302.07</f>
        <v>12302.07</v>
      </c>
      <c r="I16" s="2"/>
      <c r="J16" s="19"/>
      <c r="K16" s="2"/>
      <c r="L16" s="2">
        <f t="shared" si="0"/>
        <v>-3246.2299999999996</v>
      </c>
      <c r="M16" s="2"/>
      <c r="N16" s="19">
        <f t="shared" si="1"/>
        <v>-0.26387672968858084</v>
      </c>
      <c r="O16" s="11"/>
      <c r="P16" s="2">
        <f>--9055.84</f>
        <v>9055.84</v>
      </c>
      <c r="Q16" s="2"/>
      <c r="R16" s="19"/>
      <c r="S16" s="2"/>
      <c r="T16" s="2">
        <f>--12736.05</f>
        <v>12736.05</v>
      </c>
      <c r="U16" s="2"/>
      <c r="V16" s="19"/>
      <c r="W16" s="2"/>
      <c r="X16" s="2">
        <f t="shared" si="2"/>
        <v>-3680.2099999999991</v>
      </c>
      <c r="Y16" s="2"/>
      <c r="Z16" s="19">
        <f t="shared" si="3"/>
        <v>-0.28896007788914141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19"/>
      <c r="G17" s="2"/>
      <c r="H17" s="2">
        <f>--22276.72</f>
        <v>22276.720000000001</v>
      </c>
      <c r="I17" s="2"/>
      <c r="J17" s="19"/>
      <c r="K17" s="2"/>
      <c r="L17" s="2">
        <f t="shared" si="0"/>
        <v>-20455.830000000002</v>
      </c>
      <c r="M17" s="2"/>
      <c r="N17" s="19">
        <f t="shared" si="1"/>
        <v>-0.91826040817499166</v>
      </c>
      <c r="O17" s="11"/>
      <c r="P17" s="2">
        <f>--1820.89</f>
        <v>1820.89</v>
      </c>
      <c r="Q17" s="2"/>
      <c r="R17" s="19"/>
      <c r="S17" s="2"/>
      <c r="T17" s="2">
        <f>--22410.07</f>
        <v>22410.07</v>
      </c>
      <c r="U17" s="2"/>
      <c r="V17" s="19"/>
      <c r="W17" s="2"/>
      <c r="X17" s="2">
        <f t="shared" si="2"/>
        <v>-20589.18</v>
      </c>
      <c r="Y17" s="2"/>
      <c r="Z17" s="19">
        <f t="shared" si="3"/>
        <v>-0.9187467955254045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19"/>
      <c r="G18" s="2"/>
      <c r="H18" s="2">
        <f>--70.86</f>
        <v>70.86</v>
      </c>
      <c r="I18" s="2"/>
      <c r="J18" s="19"/>
      <c r="K18" s="2"/>
      <c r="L18" s="2">
        <f t="shared" si="0"/>
        <v>-30.96</v>
      </c>
      <c r="M18" s="2"/>
      <c r="N18" s="19">
        <f t="shared" si="1"/>
        <v>-0.436917866215072</v>
      </c>
      <c r="O18" s="11"/>
      <c r="P18" s="2">
        <f>--39.9</f>
        <v>39.9</v>
      </c>
      <c r="Q18" s="2"/>
      <c r="R18" s="19"/>
      <c r="S18" s="2"/>
      <c r="T18" s="2">
        <f>--110.81</f>
        <v>110.81</v>
      </c>
      <c r="U18" s="2"/>
      <c r="V18" s="19"/>
      <c r="W18" s="2"/>
      <c r="X18" s="2">
        <f t="shared" si="2"/>
        <v>-70.91</v>
      </c>
      <c r="Y18" s="2"/>
      <c r="Z18" s="19">
        <f t="shared" si="3"/>
        <v>-0.63992419456727723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19"/>
      <c r="G19" s="2"/>
      <c r="H19" s="2">
        <f>--175</f>
        <v>175</v>
      </c>
      <c r="I19" s="2"/>
      <c r="J19" s="19"/>
      <c r="K19" s="2"/>
      <c r="L19" s="2">
        <f t="shared" si="0"/>
        <v>9.0000000000003411E-2</v>
      </c>
      <c r="M19" s="2"/>
      <c r="N19" s="19">
        <f t="shared" si="1"/>
        <v>5.1428571428573382E-4</v>
      </c>
      <c r="O19" s="11"/>
      <c r="P19" s="2">
        <f>--206.93</f>
        <v>206.93</v>
      </c>
      <c r="Q19" s="2"/>
      <c r="R19" s="19"/>
      <c r="S19" s="2"/>
      <c r="T19" s="2">
        <f>--425.65</f>
        <v>425.65</v>
      </c>
      <c r="U19" s="2"/>
      <c r="V19" s="19"/>
      <c r="W19" s="2"/>
      <c r="X19" s="2">
        <f t="shared" si="2"/>
        <v>-218.71999999999997</v>
      </c>
      <c r="Y19" s="2"/>
      <c r="Z19" s="19">
        <f t="shared" si="3"/>
        <v>-0.51384940678961588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0</f>
        <v>0</v>
      </c>
      <c r="E20" s="2"/>
      <c r="F20" s="19"/>
      <c r="G20" s="2"/>
      <c r="H20" s="2">
        <f>--152.83</f>
        <v>152.83000000000001</v>
      </c>
      <c r="I20" s="2"/>
      <c r="J20" s="19"/>
      <c r="K20" s="2"/>
      <c r="L20" s="2">
        <f t="shared" si="0"/>
        <v>-152.83000000000001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--157.3</f>
        <v>157.30000000000001</v>
      </c>
      <c r="U20" s="2"/>
      <c r="V20" s="19"/>
      <c r="W20" s="2"/>
      <c r="X20" s="2">
        <f t="shared" si="2"/>
        <v>-157.30000000000001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--118.03</f>
        <v>118.03</v>
      </c>
      <c r="E21" s="2"/>
      <c r="F21" s="19"/>
      <c r="G21" s="2"/>
      <c r="H21" s="2">
        <f>--1184.84</f>
        <v>1184.8399999999999</v>
      </c>
      <c r="I21" s="2"/>
      <c r="J21" s="19"/>
      <c r="K21" s="2"/>
      <c r="L21" s="2">
        <f t="shared" si="0"/>
        <v>-1066.81</v>
      </c>
      <c r="M21" s="2"/>
      <c r="N21" s="19">
        <f t="shared" si="1"/>
        <v>-0.90038317409945645</v>
      </c>
      <c r="O21" s="11"/>
      <c r="P21" s="2">
        <f>--135.02</f>
        <v>135.02000000000001</v>
      </c>
      <c r="Q21" s="2"/>
      <c r="R21" s="19"/>
      <c r="S21" s="2"/>
      <c r="T21" s="2">
        <f>--1364.13</f>
        <v>1364.13</v>
      </c>
      <c r="U21" s="2"/>
      <c r="V21" s="19"/>
      <c r="W21" s="2"/>
      <c r="X21" s="2">
        <f t="shared" si="2"/>
        <v>-1229.1100000000001</v>
      </c>
      <c r="Y21" s="2"/>
      <c r="Z21" s="19">
        <f t="shared" si="3"/>
        <v>-0.90102116367208407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 t="shared" ref="D22:D24" si="4">0</f>
        <v>0</v>
      </c>
      <c r="E22" s="2"/>
      <c r="F22" s="19"/>
      <c r="G22" s="2"/>
      <c r="H22" s="2">
        <f>--14.95</f>
        <v>14.95</v>
      </c>
      <c r="I22" s="2"/>
      <c r="J22" s="19"/>
      <c r="K22" s="2"/>
      <c r="L22" s="2">
        <f t="shared" si="0"/>
        <v>-14.95</v>
      </c>
      <c r="M22" s="2"/>
      <c r="N22" s="19">
        <f t="shared" si="1"/>
        <v>-1</v>
      </c>
      <c r="O22" s="11"/>
      <c r="P22" s="2">
        <f t="shared" ref="P22:P23" si="5">0</f>
        <v>0</v>
      </c>
      <c r="Q22" s="2"/>
      <c r="R22" s="19"/>
      <c r="S22" s="2"/>
      <c r="T22" s="2">
        <f>--14.95</f>
        <v>14.95</v>
      </c>
      <c r="U22" s="2"/>
      <c r="V22" s="19"/>
      <c r="W22" s="2"/>
      <c r="X22" s="2">
        <f t="shared" si="2"/>
        <v>-14.95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 t="shared" si="4"/>
        <v>0</v>
      </c>
      <c r="E23" s="2"/>
      <c r="F23" s="19"/>
      <c r="G23" s="2"/>
      <c r="H23" s="2">
        <f>--4066.24</f>
        <v>4066.24</v>
      </c>
      <c r="I23" s="2"/>
      <c r="J23" s="19"/>
      <c r="K23" s="2"/>
      <c r="L23" s="2">
        <f t="shared" si="0"/>
        <v>-4066.24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--4458.53</f>
        <v>4458.53</v>
      </c>
      <c r="U23" s="2"/>
      <c r="V23" s="19"/>
      <c r="W23" s="2"/>
      <c r="X23" s="2">
        <f t="shared" si="2"/>
        <v>-4458.53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 t="shared" si="4"/>
        <v>0</v>
      </c>
      <c r="E24" s="2"/>
      <c r="F24" s="19"/>
      <c r="G24" s="2"/>
      <c r="H24" s="2">
        <f>--10841.03</f>
        <v>10841.03</v>
      </c>
      <c r="I24" s="2"/>
      <c r="J24" s="19"/>
      <c r="K24" s="2"/>
      <c r="L24" s="2">
        <f t="shared" si="0"/>
        <v>-10841.03</v>
      </c>
      <c r="M24" s="2"/>
      <c r="N24" s="19">
        <f t="shared" si="1"/>
        <v>-1</v>
      </c>
      <c r="O24" s="11"/>
      <c r="P24" s="2">
        <f>--236.56</f>
        <v>236.56</v>
      </c>
      <c r="Q24" s="2"/>
      <c r="R24" s="19"/>
      <c r="S24" s="2"/>
      <c r="T24" s="2">
        <f>--12776.54</f>
        <v>12776.54</v>
      </c>
      <c r="U24" s="2"/>
      <c r="V24" s="19"/>
      <c r="W24" s="2"/>
      <c r="X24" s="2">
        <f t="shared" si="2"/>
        <v>-12539.980000000001</v>
      </c>
      <c r="Y24" s="2"/>
      <c r="Z24" s="19">
        <f t="shared" si="3"/>
        <v>-0.98148481513774466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--20247.89</f>
        <v>20247.89</v>
      </c>
      <c r="E25" s="2"/>
      <c r="F25" s="19"/>
      <c r="G25" s="2"/>
      <c r="H25" s="2">
        <f>--65949.25</f>
        <v>65949.25</v>
      </c>
      <c r="I25" s="2"/>
      <c r="J25" s="19"/>
      <c r="K25" s="2"/>
      <c r="L25" s="2">
        <f t="shared" si="0"/>
        <v>-45701.36</v>
      </c>
      <c r="M25" s="2"/>
      <c r="N25" s="19">
        <f t="shared" si="1"/>
        <v>-0.69297770634237688</v>
      </c>
      <c r="O25" s="11"/>
      <c r="P25" s="2">
        <f>--21901.06</f>
        <v>21901.06</v>
      </c>
      <c r="Q25" s="2"/>
      <c r="R25" s="19"/>
      <c r="S25" s="2"/>
      <c r="T25" s="2">
        <f>--79099.25</f>
        <v>79099.25</v>
      </c>
      <c r="U25" s="2"/>
      <c r="V25" s="19"/>
      <c r="W25" s="2"/>
      <c r="X25" s="2">
        <f t="shared" si="2"/>
        <v>-57198.19</v>
      </c>
      <c r="Y25" s="2"/>
      <c r="Z25" s="19">
        <f t="shared" si="3"/>
        <v>-0.72311924575770314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--9671.25</f>
        <v>9671.25</v>
      </c>
      <c r="E26" s="2"/>
      <c r="F26" s="19"/>
      <c r="G26" s="2"/>
      <c r="H26" s="2">
        <f>--46631.39</f>
        <v>46631.39</v>
      </c>
      <c r="I26" s="2"/>
      <c r="J26" s="19"/>
      <c r="K26" s="2"/>
      <c r="L26" s="2">
        <f t="shared" si="0"/>
        <v>-36960.14</v>
      </c>
      <c r="M26" s="2"/>
      <c r="N26" s="19">
        <f t="shared" si="1"/>
        <v>-0.79260215061142292</v>
      </c>
      <c r="O26" s="11"/>
      <c r="P26" s="2">
        <f>--9691.1</f>
        <v>9691.1</v>
      </c>
      <c r="Q26" s="2"/>
      <c r="R26" s="19"/>
      <c r="S26" s="2"/>
      <c r="T26" s="2">
        <f>--48915.55</f>
        <v>48915.55</v>
      </c>
      <c r="U26" s="2"/>
      <c r="V26" s="19"/>
      <c r="W26" s="2"/>
      <c r="X26" s="2">
        <f t="shared" si="2"/>
        <v>-39224.450000000004</v>
      </c>
      <c r="Y26" s="2"/>
      <c r="Z26" s="19">
        <f t="shared" si="3"/>
        <v>-0.80188099694268999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--532.51</f>
        <v>532.51</v>
      </c>
      <c r="E27" s="2"/>
      <c r="F27" s="19"/>
      <c r="G27" s="2"/>
      <c r="H27" s="2">
        <f>--30.82</f>
        <v>30.82</v>
      </c>
      <c r="I27" s="2"/>
      <c r="J27" s="19"/>
      <c r="K27" s="2"/>
      <c r="L27" s="2">
        <f t="shared" si="0"/>
        <v>501.69</v>
      </c>
      <c r="M27" s="2"/>
      <c r="N27" s="19">
        <f t="shared" si="1"/>
        <v>16.278066190785204</v>
      </c>
      <c r="O27" s="11"/>
      <c r="P27" s="2">
        <f>--552.26</f>
        <v>552.26</v>
      </c>
      <c r="Q27" s="2"/>
      <c r="R27" s="19"/>
      <c r="S27" s="2"/>
      <c r="T27" s="2">
        <f>--32.34</f>
        <v>32.340000000000003</v>
      </c>
      <c r="U27" s="2"/>
      <c r="V27" s="19"/>
      <c r="W27" s="2"/>
      <c r="X27" s="2">
        <f t="shared" si="2"/>
        <v>519.91999999999996</v>
      </c>
      <c r="Y27" s="2"/>
      <c r="Z27" s="19">
        <f t="shared" si="3"/>
        <v>16.076685219542359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>--88.2</f>
        <v>88.2</v>
      </c>
      <c r="E28" s="2"/>
      <c r="F28" s="19"/>
      <c r="G28" s="2"/>
      <c r="H28" s="2">
        <f>--17871.46</f>
        <v>17871.46</v>
      </c>
      <c r="I28" s="2"/>
      <c r="J28" s="19"/>
      <c r="K28" s="2"/>
      <c r="L28" s="2">
        <f t="shared" si="0"/>
        <v>-17783.259999999998</v>
      </c>
      <c r="M28" s="2"/>
      <c r="N28" s="19">
        <f t="shared" si="1"/>
        <v>-0.99506475688052343</v>
      </c>
      <c r="O28" s="11"/>
      <c r="P28" s="2">
        <f>--88.2</f>
        <v>88.2</v>
      </c>
      <c r="Q28" s="2"/>
      <c r="R28" s="19"/>
      <c r="S28" s="2"/>
      <c r="T28" s="2">
        <f>--24753.19</f>
        <v>24753.19</v>
      </c>
      <c r="U28" s="2"/>
      <c r="V28" s="19"/>
      <c r="W28" s="2"/>
      <c r="X28" s="2">
        <f t="shared" si="2"/>
        <v>-24664.989999999998</v>
      </c>
      <c r="Y28" s="2"/>
      <c r="Z28" s="19">
        <f t="shared" si="3"/>
        <v>-0.99643682289030222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 t="shared" ref="D29:D32" si="6">0</f>
        <v>0</v>
      </c>
      <c r="E29" s="2"/>
      <c r="F29" s="19"/>
      <c r="G29" s="2"/>
      <c r="H29" s="2">
        <f>--9.83</f>
        <v>9.83</v>
      </c>
      <c r="I29" s="2"/>
      <c r="J29" s="19"/>
      <c r="K29" s="2"/>
      <c r="L29" s="2">
        <f t="shared" si="0"/>
        <v>-9.83</v>
      </c>
      <c r="M29" s="2"/>
      <c r="N29" s="19">
        <f t="shared" si="1"/>
        <v>-1</v>
      </c>
      <c r="O29" s="11"/>
      <c r="P29" s="2">
        <f>0</f>
        <v>0</v>
      </c>
      <c r="Q29" s="2"/>
      <c r="R29" s="19"/>
      <c r="S29" s="2"/>
      <c r="T29" s="2">
        <f>--13</f>
        <v>13</v>
      </c>
      <c r="U29" s="2"/>
      <c r="V29" s="19"/>
      <c r="W29" s="2"/>
      <c r="X29" s="2">
        <f t="shared" si="2"/>
        <v>-13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 t="shared" si="6"/>
        <v>0</v>
      </c>
      <c r="E30" s="2"/>
      <c r="F30" s="19"/>
      <c r="G30" s="2"/>
      <c r="H30" s="2">
        <f>--638.45</f>
        <v>638.45000000000005</v>
      </c>
      <c r="I30" s="2"/>
      <c r="J30" s="19"/>
      <c r="K30" s="2"/>
      <c r="L30" s="2">
        <f t="shared" si="0"/>
        <v>-638.45000000000005</v>
      </c>
      <c r="M30" s="2"/>
      <c r="N30" s="19">
        <f t="shared" si="1"/>
        <v>-1</v>
      </c>
      <c r="O30" s="11"/>
      <c r="P30" s="2">
        <f>--6.78</f>
        <v>6.78</v>
      </c>
      <c r="Q30" s="2"/>
      <c r="R30" s="19"/>
      <c r="S30" s="2"/>
      <c r="T30" s="2">
        <f>--961.94</f>
        <v>961.94</v>
      </c>
      <c r="U30" s="2"/>
      <c r="V30" s="19"/>
      <c r="W30" s="2"/>
      <c r="X30" s="2">
        <f t="shared" si="2"/>
        <v>-955.16000000000008</v>
      </c>
      <c r="Y30" s="2"/>
      <c r="Z30" s="19">
        <f t="shared" si="3"/>
        <v>-0.99295174335197622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 t="shared" si="6"/>
        <v>0</v>
      </c>
      <c r="E31" s="2"/>
      <c r="F31" s="19"/>
      <c r="G31" s="2"/>
      <c r="H31" s="2">
        <f>--92.48</f>
        <v>92.48</v>
      </c>
      <c r="I31" s="2"/>
      <c r="J31" s="19"/>
      <c r="K31" s="2"/>
      <c r="L31" s="2">
        <f t="shared" si="0"/>
        <v>-92.48</v>
      </c>
      <c r="M31" s="2"/>
      <c r="N31" s="19">
        <f t="shared" si="1"/>
        <v>-1</v>
      </c>
      <c r="O31" s="11"/>
      <c r="P31" s="2">
        <f t="shared" ref="P31:P32" si="7">0</f>
        <v>0</v>
      </c>
      <c r="Q31" s="2"/>
      <c r="R31" s="19"/>
      <c r="S31" s="2"/>
      <c r="T31" s="2">
        <f>--98.45</f>
        <v>98.45</v>
      </c>
      <c r="U31" s="2"/>
      <c r="V31" s="19"/>
      <c r="W31" s="2"/>
      <c r="X31" s="2">
        <f t="shared" si="2"/>
        <v>-98.45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 t="shared" si="6"/>
        <v>0</v>
      </c>
      <c r="E32" s="2"/>
      <c r="F32" s="19"/>
      <c r="G32" s="2"/>
      <c r="H32" s="2">
        <f>--36.88</f>
        <v>36.880000000000003</v>
      </c>
      <c r="I32" s="2"/>
      <c r="J32" s="19"/>
      <c r="K32" s="2"/>
      <c r="L32" s="2">
        <f t="shared" si="0"/>
        <v>-36.880000000000003</v>
      </c>
      <c r="M32" s="2"/>
      <c r="N32" s="19">
        <f t="shared" si="1"/>
        <v>-1</v>
      </c>
      <c r="O32" s="11"/>
      <c r="P32" s="2">
        <f t="shared" si="7"/>
        <v>0</v>
      </c>
      <c r="Q32" s="2"/>
      <c r="R32" s="19"/>
      <c r="S32" s="2"/>
      <c r="T32" s="2">
        <f>--42.17</f>
        <v>42.17</v>
      </c>
      <c r="U32" s="2"/>
      <c r="V32" s="19"/>
      <c r="W32" s="2"/>
      <c r="X32" s="2">
        <f t="shared" si="2"/>
        <v>-42.17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--177286.09</f>
        <v>177286.09</v>
      </c>
      <c r="E33" s="2"/>
      <c r="F33" s="19"/>
      <c r="G33" s="2"/>
      <c r="H33" s="2">
        <f>--219441.66</f>
        <v>219441.66</v>
      </c>
      <c r="I33" s="2"/>
      <c r="J33" s="19"/>
      <c r="K33" s="2"/>
      <c r="L33" s="2">
        <f t="shared" si="0"/>
        <v>-42155.570000000007</v>
      </c>
      <c r="M33" s="2"/>
      <c r="N33" s="19">
        <f t="shared" si="1"/>
        <v>-0.19210376917491423</v>
      </c>
      <c r="O33" s="11"/>
      <c r="P33" s="2">
        <f>--249578.35</f>
        <v>249578.35</v>
      </c>
      <c r="Q33" s="2"/>
      <c r="R33" s="19"/>
      <c r="S33" s="2"/>
      <c r="T33" s="2">
        <f>--389753.68</f>
        <v>389753.68</v>
      </c>
      <c r="U33" s="2"/>
      <c r="V33" s="19"/>
      <c r="W33" s="2"/>
      <c r="X33" s="2">
        <f t="shared" si="2"/>
        <v>-140175.32999999999</v>
      </c>
      <c r="Y33" s="2"/>
      <c r="Z33" s="19">
        <f t="shared" si="3"/>
        <v>-0.35965107500716859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--82120.65</f>
        <v>82120.649999999994</v>
      </c>
      <c r="E34" s="2"/>
      <c r="F34" s="19"/>
      <c r="G34" s="2"/>
      <c r="H34" s="2">
        <f>--120650.82</f>
        <v>120650.82</v>
      </c>
      <c r="I34" s="2"/>
      <c r="J34" s="19"/>
      <c r="K34" s="2"/>
      <c r="L34" s="2">
        <f t="shared" si="0"/>
        <v>-38530.170000000013</v>
      </c>
      <c r="M34" s="2"/>
      <c r="N34" s="19">
        <f t="shared" si="1"/>
        <v>-0.3193527404123736</v>
      </c>
      <c r="O34" s="11"/>
      <c r="P34" s="2">
        <f>--103309.56</f>
        <v>103309.56</v>
      </c>
      <c r="Q34" s="2"/>
      <c r="R34" s="19"/>
      <c r="S34" s="2"/>
      <c r="T34" s="2">
        <f>--151692.41</f>
        <v>151692.41</v>
      </c>
      <c r="U34" s="2"/>
      <c r="V34" s="19"/>
      <c r="W34" s="2"/>
      <c r="X34" s="2">
        <f t="shared" si="2"/>
        <v>-48382.850000000006</v>
      </c>
      <c r="Y34" s="2"/>
      <c r="Z34" s="19">
        <f t="shared" si="3"/>
        <v>-0.31895366419453686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--30421.14</f>
        <v>30421.14</v>
      </c>
      <c r="E35" s="2"/>
      <c r="F35" s="19"/>
      <c r="G35" s="2"/>
      <c r="H35" s="2">
        <f>--44445.92</f>
        <v>44445.919999999998</v>
      </c>
      <c r="I35" s="2"/>
      <c r="J35" s="19"/>
      <c r="K35" s="2"/>
      <c r="L35" s="2">
        <f t="shared" si="0"/>
        <v>-14024.779999999999</v>
      </c>
      <c r="M35" s="2"/>
      <c r="N35" s="19">
        <f t="shared" si="1"/>
        <v>-0.31554707383714858</v>
      </c>
      <c r="O35" s="11"/>
      <c r="P35" s="2">
        <f>--39925.04</f>
        <v>39925.040000000001</v>
      </c>
      <c r="Q35" s="2"/>
      <c r="R35" s="19"/>
      <c r="S35" s="2"/>
      <c r="T35" s="2">
        <f>--60038.97</f>
        <v>60038.97</v>
      </c>
      <c r="U35" s="2"/>
      <c r="V35" s="19"/>
      <c r="W35" s="2"/>
      <c r="X35" s="2">
        <f t="shared" si="2"/>
        <v>-20113.93</v>
      </c>
      <c r="Y35" s="2"/>
      <c r="Z35" s="19">
        <f t="shared" si="3"/>
        <v>-0.33501457470039875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--6768.27</f>
        <v>6768.27</v>
      </c>
      <c r="E36" s="2"/>
      <c r="F36" s="19"/>
      <c r="G36" s="2"/>
      <c r="H36" s="2">
        <f>--129.05</f>
        <v>129.05000000000001</v>
      </c>
      <c r="I36" s="2"/>
      <c r="J36" s="19"/>
      <c r="K36" s="2"/>
      <c r="L36" s="2">
        <f t="shared" si="0"/>
        <v>6639.22</v>
      </c>
      <c r="M36" s="2"/>
      <c r="N36" s="19">
        <f t="shared" si="1"/>
        <v>51.446881053855094</v>
      </c>
      <c r="O36" s="11"/>
      <c r="P36" s="2">
        <f>--6985.63</f>
        <v>6985.63</v>
      </c>
      <c r="Q36" s="2"/>
      <c r="R36" s="19"/>
      <c r="S36" s="2"/>
      <c r="T36" s="2">
        <f>--185.45</f>
        <v>185.45</v>
      </c>
      <c r="U36" s="2"/>
      <c r="V36" s="19"/>
      <c r="W36" s="2"/>
      <c r="X36" s="2">
        <f t="shared" si="2"/>
        <v>6800.18</v>
      </c>
      <c r="Y36" s="2"/>
      <c r="Z36" s="19">
        <f t="shared" si="3"/>
        <v>36.668535993529254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--6568.52</f>
        <v>6568.52</v>
      </c>
      <c r="E37" s="2"/>
      <c r="F37" s="19"/>
      <c r="G37" s="2"/>
      <c r="H37" s="2">
        <f>--19434.42</f>
        <v>19434.419999999998</v>
      </c>
      <c r="I37" s="2"/>
      <c r="J37" s="19"/>
      <c r="K37" s="2"/>
      <c r="L37" s="2">
        <f t="shared" si="0"/>
        <v>-12865.899999999998</v>
      </c>
      <c r="M37" s="2"/>
      <c r="N37" s="19">
        <f t="shared" si="1"/>
        <v>-0.66201615484279952</v>
      </c>
      <c r="O37" s="11"/>
      <c r="P37" s="2">
        <f>--8369.2</f>
        <v>8369.2000000000007</v>
      </c>
      <c r="Q37" s="2"/>
      <c r="R37" s="19"/>
      <c r="S37" s="2"/>
      <c r="T37" s="2">
        <f>--21777.07</f>
        <v>21777.07</v>
      </c>
      <c r="U37" s="2"/>
      <c r="V37" s="19"/>
      <c r="W37" s="2"/>
      <c r="X37" s="2">
        <f t="shared" si="2"/>
        <v>-13407.869999999999</v>
      </c>
      <c r="Y37" s="2"/>
      <c r="Z37" s="19">
        <f t="shared" si="3"/>
        <v>-0.61568750984406995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--46004.35</f>
        <v>46004.35</v>
      </c>
      <c r="E38" s="2"/>
      <c r="F38" s="19"/>
      <c r="G38" s="2"/>
      <c r="H38" s="2">
        <f>--6103.32</f>
        <v>6103.32</v>
      </c>
      <c r="I38" s="2"/>
      <c r="J38" s="19"/>
      <c r="K38" s="2"/>
      <c r="L38" s="2">
        <f t="shared" si="0"/>
        <v>39901.03</v>
      </c>
      <c r="M38" s="2"/>
      <c r="N38" s="19">
        <f t="shared" si="1"/>
        <v>6.5375942929422024</v>
      </c>
      <c r="O38" s="11"/>
      <c r="P38" s="2">
        <f>--89431.08</f>
        <v>89431.08</v>
      </c>
      <c r="Q38" s="2"/>
      <c r="R38" s="19"/>
      <c r="S38" s="2"/>
      <c r="T38" s="2">
        <f>--25524.04</f>
        <v>25524.04</v>
      </c>
      <c r="U38" s="2"/>
      <c r="V38" s="19"/>
      <c r="W38" s="2"/>
      <c r="X38" s="2">
        <f t="shared" si="2"/>
        <v>63907.040000000001</v>
      </c>
      <c r="Y38" s="2"/>
      <c r="Z38" s="19">
        <f t="shared" si="3"/>
        <v>2.5037979880927939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 t="shared" ref="D39:D46" si="8">0</f>
        <v>0</v>
      </c>
      <c r="E39" s="2"/>
      <c r="F39" s="19"/>
      <c r="G39" s="2"/>
      <c r="H39" s="2">
        <f>--442.38</f>
        <v>442.38</v>
      </c>
      <c r="I39" s="2"/>
      <c r="J39" s="19"/>
      <c r="K39" s="2"/>
      <c r="L39" s="2">
        <f t="shared" si="0"/>
        <v>-442.38</v>
      </c>
      <c r="M39" s="2"/>
      <c r="N39" s="19">
        <f t="shared" si="1"/>
        <v>-1</v>
      </c>
      <c r="O39" s="11"/>
      <c r="P39" s="2">
        <f t="shared" ref="P39:P46" si="9">0</f>
        <v>0</v>
      </c>
      <c r="Q39" s="2"/>
      <c r="R39" s="19"/>
      <c r="S39" s="2"/>
      <c r="T39" s="2">
        <f>--482.38</f>
        <v>482.38</v>
      </c>
      <c r="U39" s="2"/>
      <c r="V39" s="19"/>
      <c r="W39" s="2"/>
      <c r="X39" s="2">
        <f t="shared" si="2"/>
        <v>-482.38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"4051", " - ", "TAXABLE SALES-FOOD")</f>
        <v xml:space="preserve">          4051 - TAXABLE SALES-FOOD</v>
      </c>
      <c r="C40" s="11"/>
      <c r="D40" s="2">
        <f t="shared" si="8"/>
        <v>0</v>
      </c>
      <c r="E40" s="2"/>
      <c r="F40" s="19"/>
      <c r="G40" s="2"/>
      <c r="H40" s="2">
        <f>--7439.21</f>
        <v>7439.21</v>
      </c>
      <c r="I40" s="2"/>
      <c r="J40" s="19"/>
      <c r="K40" s="2"/>
      <c r="L40" s="2">
        <f t="shared" si="0"/>
        <v>-7439.21</v>
      </c>
      <c r="M40" s="2"/>
      <c r="N40" s="19">
        <f t="shared" si="1"/>
        <v>-1</v>
      </c>
      <c r="O40" s="11"/>
      <c r="P40" s="2">
        <f t="shared" si="9"/>
        <v>0</v>
      </c>
      <c r="Q40" s="2"/>
      <c r="R40" s="19"/>
      <c r="S40" s="2"/>
      <c r="T40" s="2">
        <f>--11166.88</f>
        <v>11166.88</v>
      </c>
      <c r="U40" s="2"/>
      <c r="V40" s="19"/>
      <c r="W40" s="2"/>
      <c r="X40" s="2">
        <f t="shared" si="2"/>
        <v>-11166.88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"4081", " - ", "TAXABLE SALES-ELECTRONICS")</f>
        <v xml:space="preserve">          4081 - TAXABLE SALES-ELECTRONICS</v>
      </c>
      <c r="C41" s="11"/>
      <c r="D41" s="2">
        <f t="shared" si="8"/>
        <v>0</v>
      </c>
      <c r="E41" s="2"/>
      <c r="F41" s="19"/>
      <c r="G41" s="2"/>
      <c r="H41" s="2">
        <f>--260.88</f>
        <v>260.88</v>
      </c>
      <c r="I41" s="2"/>
      <c r="J41" s="19"/>
      <c r="K41" s="2"/>
      <c r="L41" s="2">
        <f t="shared" si="0"/>
        <v>-260.88</v>
      </c>
      <c r="M41" s="2"/>
      <c r="N41" s="19">
        <f t="shared" si="1"/>
        <v>-1</v>
      </c>
      <c r="O41" s="11"/>
      <c r="P41" s="2">
        <f t="shared" si="9"/>
        <v>0</v>
      </c>
      <c r="Q41" s="2"/>
      <c r="R41" s="19"/>
      <c r="S41" s="2"/>
      <c r="T41" s="2">
        <f>--268.86</f>
        <v>268.86</v>
      </c>
      <c r="U41" s="2"/>
      <c r="V41" s="19"/>
      <c r="W41" s="2"/>
      <c r="X41" s="2">
        <f t="shared" si="2"/>
        <v>-268.86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"4082", " - ", "TAXABLE SALES-COMPUTER HARDWAR")</f>
        <v xml:space="preserve">          4082 - TAXABLE SALES-COMPUTER HARDWAR</v>
      </c>
      <c r="C42" s="11"/>
      <c r="D42" s="2">
        <f t="shared" si="8"/>
        <v>0</v>
      </c>
      <c r="E42" s="2"/>
      <c r="F42" s="19"/>
      <c r="G42" s="2"/>
      <c r="H42" s="2">
        <f>--19</f>
        <v>19</v>
      </c>
      <c r="I42" s="2"/>
      <c r="J42" s="19"/>
      <c r="K42" s="2"/>
      <c r="L42" s="2">
        <f t="shared" si="0"/>
        <v>-19</v>
      </c>
      <c r="M42" s="2"/>
      <c r="N42" s="19">
        <f t="shared" si="1"/>
        <v>-1</v>
      </c>
      <c r="O42" s="11"/>
      <c r="P42" s="2">
        <f t="shared" si="9"/>
        <v>0</v>
      </c>
      <c r="Q42" s="2"/>
      <c r="R42" s="19"/>
      <c r="S42" s="2"/>
      <c r="T42" s="2">
        <f>--38</f>
        <v>38</v>
      </c>
      <c r="U42" s="2"/>
      <c r="V42" s="19"/>
      <c r="W42" s="2"/>
      <c r="X42" s="2">
        <f t="shared" si="2"/>
        <v>-38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"4083", " - ", "TAXABLE SALES-COMPUTER EQUIPME")</f>
        <v xml:space="preserve">          4083 - TAXABLE SALES-COMPUTER EQUIPME</v>
      </c>
      <c r="C43" s="11"/>
      <c r="D43" s="2">
        <f t="shared" si="8"/>
        <v>0</v>
      </c>
      <c r="E43" s="2"/>
      <c r="F43" s="19"/>
      <c r="G43" s="2"/>
      <c r="H43" s="2">
        <f>--29.98</f>
        <v>29.98</v>
      </c>
      <c r="I43" s="2"/>
      <c r="J43" s="19"/>
      <c r="K43" s="2"/>
      <c r="L43" s="2">
        <f t="shared" si="0"/>
        <v>-29.98</v>
      </c>
      <c r="M43" s="2"/>
      <c r="N43" s="19">
        <f t="shared" si="1"/>
        <v>-1</v>
      </c>
      <c r="O43" s="11"/>
      <c r="P43" s="2">
        <f t="shared" si="9"/>
        <v>0</v>
      </c>
      <c r="Q43" s="2"/>
      <c r="R43" s="19"/>
      <c r="S43" s="2"/>
      <c r="T43" s="2">
        <f>--29.98</f>
        <v>29.98</v>
      </c>
      <c r="U43" s="2"/>
      <c r="V43" s="19"/>
      <c r="W43" s="2"/>
      <c r="X43" s="2">
        <f t="shared" si="2"/>
        <v>-29.98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"4086", " - ", "TAXABLE SALES-COMPUTER SUPPLIE")</f>
        <v xml:space="preserve">          4086 - TAXABLE SALES-COMPUTER SUPPLIE</v>
      </c>
      <c r="C44" s="11"/>
      <c r="D44" s="2">
        <f t="shared" si="8"/>
        <v>0</v>
      </c>
      <c r="E44" s="2"/>
      <c r="F44" s="19"/>
      <c r="G44" s="2"/>
      <c r="H44" s="2">
        <f>--93.96</f>
        <v>93.96</v>
      </c>
      <c r="I44" s="2"/>
      <c r="J44" s="19"/>
      <c r="K44" s="2"/>
      <c r="L44" s="2">
        <f t="shared" si="0"/>
        <v>-93.96</v>
      </c>
      <c r="M44" s="2"/>
      <c r="N44" s="19">
        <f t="shared" si="1"/>
        <v>-1</v>
      </c>
      <c r="O44" s="11"/>
      <c r="P44" s="2">
        <f t="shared" si="9"/>
        <v>0</v>
      </c>
      <c r="Q44" s="2"/>
      <c r="R44" s="19"/>
      <c r="S44" s="2"/>
      <c r="T44" s="2">
        <f>--108.95</f>
        <v>108.95</v>
      </c>
      <c r="U44" s="2"/>
      <c r="V44" s="19"/>
      <c r="W44" s="2"/>
      <c r="X44" s="2">
        <f t="shared" si="2"/>
        <v>-108.95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"4092", " - ", "TAXABLE SALES-GRAD MERCH")</f>
        <v xml:space="preserve">          4092 - TAXABLE SALES-GRAD MERCH</v>
      </c>
      <c r="C45" s="11"/>
      <c r="D45" s="2">
        <f t="shared" si="8"/>
        <v>0</v>
      </c>
      <c r="E45" s="2"/>
      <c r="F45" s="19"/>
      <c r="G45" s="2"/>
      <c r="H45" s="2">
        <f>--1694.1</f>
        <v>1694.1</v>
      </c>
      <c r="I45" s="2"/>
      <c r="J45" s="19"/>
      <c r="K45" s="2"/>
      <c r="L45" s="2">
        <f t="shared" si="0"/>
        <v>-1694.1</v>
      </c>
      <c r="M45" s="2"/>
      <c r="N45" s="19">
        <f t="shared" si="1"/>
        <v>-1</v>
      </c>
      <c r="O45" s="11"/>
      <c r="P45" s="2">
        <f t="shared" si="9"/>
        <v>0</v>
      </c>
      <c r="Q45" s="2"/>
      <c r="R45" s="19"/>
      <c r="S45" s="2"/>
      <c r="T45" s="2">
        <f>--3822.73</f>
        <v>3822.73</v>
      </c>
      <c r="U45" s="2"/>
      <c r="V45" s="19"/>
      <c r="W45" s="2"/>
      <c r="X45" s="2">
        <f t="shared" si="2"/>
        <v>-3822.73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"4095", " - ", "TAXABLE SALES-CUSTOMER SERVICE")</f>
        <v xml:space="preserve">          4095 - TAXABLE SALES-CUSTOMER SERVICE</v>
      </c>
      <c r="C46" s="11"/>
      <c r="D46" s="2">
        <f t="shared" si="8"/>
        <v>0</v>
      </c>
      <c r="E46" s="2"/>
      <c r="F46" s="19"/>
      <c r="G46" s="2"/>
      <c r="H46" s="2">
        <f>--127.49</f>
        <v>127.49</v>
      </c>
      <c r="I46" s="2"/>
      <c r="J46" s="19"/>
      <c r="K46" s="2"/>
      <c r="L46" s="2">
        <f t="shared" si="0"/>
        <v>-127.49</v>
      </c>
      <c r="M46" s="2"/>
      <c r="N46" s="19">
        <f t="shared" si="1"/>
        <v>-1</v>
      </c>
      <c r="O46" s="11"/>
      <c r="P46" s="2">
        <f t="shared" si="9"/>
        <v>0</v>
      </c>
      <c r="Q46" s="2"/>
      <c r="R46" s="19"/>
      <c r="S46" s="2"/>
      <c r="T46" s="2">
        <f>--174.02</f>
        <v>174.02</v>
      </c>
      <c r="U46" s="2"/>
      <c r="V46" s="19"/>
      <c r="W46" s="2"/>
      <c r="X46" s="2">
        <f t="shared" si="2"/>
        <v>-174.02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"4100", " - ", "NON-TAXABLE SALES")</f>
        <v xml:space="preserve">          4100 - NON-TAXABLE SALES</v>
      </c>
      <c r="C47" s="11"/>
      <c r="D47" s="2">
        <f>--150360.03</f>
        <v>150360.03</v>
      </c>
      <c r="E47" s="2"/>
      <c r="F47" s="19"/>
      <c r="G47" s="2"/>
      <c r="H47" s="2">
        <f>--261252.23</f>
        <v>261252.23</v>
      </c>
      <c r="I47" s="2"/>
      <c r="J47" s="19"/>
      <c r="K47" s="2"/>
      <c r="L47" s="2">
        <f t="shared" si="0"/>
        <v>-110892.20000000001</v>
      </c>
      <c r="M47" s="2"/>
      <c r="N47" s="19">
        <f t="shared" si="1"/>
        <v>-0.42446412801911781</v>
      </c>
      <c r="O47" s="11"/>
      <c r="P47" s="2">
        <f>--153398.33</f>
        <v>153398.32999999999</v>
      </c>
      <c r="Q47" s="2"/>
      <c r="R47" s="19"/>
      <c r="S47" s="2"/>
      <c r="T47" s="2">
        <f>--265514.43</f>
        <v>265514.43</v>
      </c>
      <c r="U47" s="2"/>
      <c r="V47" s="19"/>
      <c r="W47" s="2"/>
      <c r="X47" s="2">
        <f t="shared" si="2"/>
        <v>-112116.1</v>
      </c>
      <c r="Y47" s="2"/>
      <c r="Z47" s="19">
        <f t="shared" si="3"/>
        <v>-0.42225991257800943</v>
      </c>
    </row>
    <row r="48" spans="1:26" s="24" customFormat="1" hidden="1" outlineLevel="1" x14ac:dyDescent="0.25">
      <c r="A48" s="44"/>
      <c r="B48" s="11" t="str">
        <f>CONCATENATE("          ", "4101", " - ", "NON-TAXABLE SALES-NEW TEXT")</f>
        <v xml:space="preserve">          4101 - NON-TAXABLE SALES-NEW TEXT</v>
      </c>
      <c r="C48" s="11"/>
      <c r="D48" s="2">
        <f>--41238.82</f>
        <v>41238.82</v>
      </c>
      <c r="E48" s="2"/>
      <c r="F48" s="19"/>
      <c r="G48" s="2"/>
      <c r="H48" s="2">
        <f>--48156.44</f>
        <v>48156.44</v>
      </c>
      <c r="I48" s="2"/>
      <c r="J48" s="19"/>
      <c r="K48" s="2"/>
      <c r="L48" s="2">
        <f t="shared" si="0"/>
        <v>-6917.6200000000026</v>
      </c>
      <c r="M48" s="2"/>
      <c r="N48" s="19">
        <f t="shared" si="1"/>
        <v>-0.14364890760197394</v>
      </c>
      <c r="O48" s="11"/>
      <c r="P48" s="2">
        <f>--51580.68</f>
        <v>51580.68</v>
      </c>
      <c r="Q48" s="2"/>
      <c r="R48" s="19"/>
      <c r="S48" s="2"/>
      <c r="T48" s="2">
        <f>--55893.02</f>
        <v>55893.02</v>
      </c>
      <c r="U48" s="2"/>
      <c r="V48" s="19"/>
      <c r="W48" s="2"/>
      <c r="X48" s="2">
        <f t="shared" si="2"/>
        <v>-4312.3399999999965</v>
      </c>
      <c r="Y48" s="2"/>
      <c r="Z48" s="19">
        <f t="shared" si="3"/>
        <v>-7.7153462095982589E-2</v>
      </c>
    </row>
    <row r="49" spans="1:26" s="24" customFormat="1" hidden="1" outlineLevel="1" x14ac:dyDescent="0.25">
      <c r="A49" s="44"/>
      <c r="B49" s="11" t="str">
        <f>CONCATENATE("          ", "4102", " - ", "NON-TAXABLE SALES-USED TEXT")</f>
        <v xml:space="preserve">          4102 - NON-TAXABLE SALES-USED TEXT</v>
      </c>
      <c r="C49" s="11"/>
      <c r="D49" s="2">
        <f>--17373.3</f>
        <v>17373.3</v>
      </c>
      <c r="E49" s="2"/>
      <c r="F49" s="19"/>
      <c r="G49" s="2"/>
      <c r="H49" s="2">
        <f>--27115.09</f>
        <v>27115.09</v>
      </c>
      <c r="I49" s="2"/>
      <c r="J49" s="19"/>
      <c r="K49" s="2"/>
      <c r="L49" s="2">
        <f t="shared" si="0"/>
        <v>-9741.7900000000009</v>
      </c>
      <c r="M49" s="2"/>
      <c r="N49" s="19">
        <f t="shared" si="1"/>
        <v>-0.35927559156174665</v>
      </c>
      <c r="O49" s="11"/>
      <c r="P49" s="2">
        <f>--21563.74</f>
        <v>21563.74</v>
      </c>
      <c r="Q49" s="2"/>
      <c r="R49" s="19"/>
      <c r="S49" s="2"/>
      <c r="T49" s="2">
        <f>--32474.33</f>
        <v>32474.33</v>
      </c>
      <c r="U49" s="2"/>
      <c r="V49" s="19"/>
      <c r="W49" s="2"/>
      <c r="X49" s="2">
        <f t="shared" si="2"/>
        <v>-10910.59</v>
      </c>
      <c r="Y49" s="2"/>
      <c r="Z49" s="19">
        <f t="shared" si="3"/>
        <v>-0.33597583075616955</v>
      </c>
    </row>
    <row r="50" spans="1:26" s="24" customFormat="1" hidden="1" outlineLevel="1" x14ac:dyDescent="0.25">
      <c r="A50" s="44"/>
      <c r="B50" s="11" t="str">
        <f>CONCATENATE("          ", "4103", " - ", "NON-TAXABLE SALES-RENTAL TEXT")</f>
        <v xml:space="preserve">          4103 - NON-TAXABLE SALES-RENTAL TEXT</v>
      </c>
      <c r="C50" s="11"/>
      <c r="D50" s="2">
        <f>0</f>
        <v>0</v>
      </c>
      <c r="E50" s="2"/>
      <c r="F50" s="19"/>
      <c r="G50" s="2"/>
      <c r="H50" s="2">
        <f>--474.97</f>
        <v>474.97</v>
      </c>
      <c r="I50" s="2"/>
      <c r="J50" s="19"/>
      <c r="K50" s="2"/>
      <c r="L50" s="2">
        <f t="shared" si="0"/>
        <v>-474.97</v>
      </c>
      <c r="M50" s="2"/>
      <c r="N50" s="19">
        <f t="shared" si="1"/>
        <v>-1</v>
      </c>
      <c r="O50" s="11"/>
      <c r="P50" s="2">
        <f>0</f>
        <v>0</v>
      </c>
      <c r="Q50" s="2"/>
      <c r="R50" s="19"/>
      <c r="S50" s="2"/>
      <c r="T50" s="2">
        <f>--474.97</f>
        <v>474.97</v>
      </c>
      <c r="U50" s="2"/>
      <c r="V50" s="19"/>
      <c r="W50" s="2"/>
      <c r="X50" s="2">
        <f t="shared" si="2"/>
        <v>-474.97</v>
      </c>
      <c r="Y50" s="2"/>
      <c r="Z50" s="19">
        <f t="shared" si="3"/>
        <v>-1</v>
      </c>
    </row>
    <row r="51" spans="1:26" s="24" customFormat="1" hidden="1" outlineLevel="1" x14ac:dyDescent="0.25">
      <c r="A51" s="44"/>
      <c r="B51" s="11" t="str">
        <f>CONCATENATE("          ", "4104", " - ", "NON-TAXABLE SALES-DIGITAL TEXT")</f>
        <v xml:space="preserve">          4104 - NON-TAXABLE SALES-DIGITAL TEXT</v>
      </c>
      <c r="C51" s="11"/>
      <c r="D51" s="2">
        <f>--205404.66</f>
        <v>205404.66</v>
      </c>
      <c r="E51" s="2"/>
      <c r="F51" s="19"/>
      <c r="G51" s="2"/>
      <c r="H51" s="2">
        <f>--246443.9</f>
        <v>246443.9</v>
      </c>
      <c r="I51" s="2"/>
      <c r="J51" s="19"/>
      <c r="K51" s="2"/>
      <c r="L51" s="2">
        <f t="shared" si="0"/>
        <v>-41039.239999999991</v>
      </c>
      <c r="M51" s="2"/>
      <c r="N51" s="19">
        <f t="shared" si="1"/>
        <v>-0.16652568799633505</v>
      </c>
      <c r="O51" s="11"/>
      <c r="P51" s="2">
        <f>--212890.18</f>
        <v>212890.18</v>
      </c>
      <c r="Q51" s="2"/>
      <c r="R51" s="19"/>
      <c r="S51" s="2"/>
      <c r="T51" s="2">
        <f>--259868.07</f>
        <v>259868.07</v>
      </c>
      <c r="U51" s="2"/>
      <c r="V51" s="19"/>
      <c r="W51" s="2"/>
      <c r="X51" s="2">
        <f t="shared" si="2"/>
        <v>-46977.890000000014</v>
      </c>
      <c r="Y51" s="2"/>
      <c r="Z51" s="19">
        <f t="shared" si="3"/>
        <v>-0.18077592218235974</v>
      </c>
    </row>
    <row r="52" spans="1:26" s="24" customFormat="1" hidden="1" outlineLevel="1" x14ac:dyDescent="0.25">
      <c r="A52" s="44"/>
      <c r="B52" s="11" t="str">
        <f>CONCATENATE("          ", "4111", " - ", "NON-TAXABLE SALES-NO VALUE TEX")</f>
        <v xml:space="preserve">          4111 - NON-TAXABLE SALES-NO VALUE TEX</v>
      </c>
      <c r="C52" s="11"/>
      <c r="D52" s="2">
        <f t="shared" ref="D52:D53" si="10">0</f>
        <v>0</v>
      </c>
      <c r="E52" s="2"/>
      <c r="F52" s="19"/>
      <c r="G52" s="2"/>
      <c r="H52" s="2">
        <f>--3067.16</f>
        <v>3067.16</v>
      </c>
      <c r="I52" s="2"/>
      <c r="J52" s="19"/>
      <c r="K52" s="2"/>
      <c r="L52" s="2">
        <f t="shared" si="0"/>
        <v>-3067.16</v>
      </c>
      <c r="M52" s="2"/>
      <c r="N52" s="19">
        <f t="shared" si="1"/>
        <v>-1</v>
      </c>
      <c r="O52" s="11"/>
      <c r="P52" s="2">
        <f t="shared" ref="P52:P53" si="11">0</f>
        <v>0</v>
      </c>
      <c r="Q52" s="2"/>
      <c r="R52" s="19"/>
      <c r="S52" s="2"/>
      <c r="T52" s="2">
        <f>--5748.11</f>
        <v>5748.11</v>
      </c>
      <c r="U52" s="2"/>
      <c r="V52" s="19"/>
      <c r="W52" s="2"/>
      <c r="X52" s="2">
        <f t="shared" si="2"/>
        <v>-5748.11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"4113", " - ", "NON-TAXABLE SALES-TRADE BOOKS")</f>
        <v xml:space="preserve">          4113 - NON-TAXABLE SALES-TRADE BOOKS</v>
      </c>
      <c r="C53" s="11"/>
      <c r="D53" s="2">
        <f t="shared" si="10"/>
        <v>0</v>
      </c>
      <c r="E53" s="2"/>
      <c r="F53" s="19"/>
      <c r="G53" s="2"/>
      <c r="H53" s="2">
        <f>--12.72</f>
        <v>12.72</v>
      </c>
      <c r="I53" s="2"/>
      <c r="J53" s="19"/>
      <c r="K53" s="2"/>
      <c r="L53" s="2">
        <f t="shared" si="0"/>
        <v>-12.72</v>
      </c>
      <c r="M53" s="2"/>
      <c r="N53" s="19">
        <f t="shared" si="1"/>
        <v>-1</v>
      </c>
      <c r="O53" s="11"/>
      <c r="P53" s="2">
        <f t="shared" si="11"/>
        <v>0</v>
      </c>
      <c r="Q53" s="2"/>
      <c r="R53" s="19"/>
      <c r="S53" s="2"/>
      <c r="T53" s="2">
        <f>--1146.72</f>
        <v>1146.72</v>
      </c>
      <c r="U53" s="2"/>
      <c r="V53" s="19"/>
      <c r="W53" s="2"/>
      <c r="X53" s="2">
        <f t="shared" si="2"/>
        <v>-1146.72</v>
      </c>
      <c r="Y53" s="2"/>
      <c r="Z53" s="19">
        <f t="shared" si="3"/>
        <v>-1</v>
      </c>
    </row>
    <row r="54" spans="1:26" s="24" customFormat="1" hidden="1" outlineLevel="1" x14ac:dyDescent="0.25">
      <c r="A54" s="44"/>
      <c r="B54" s="11" t="str">
        <f>CONCATENATE("          ", "4118", " - ", "NON-TAXABLE SALES-STUDY GUIDES")</f>
        <v xml:space="preserve">          4118 - NON-TAXABLE SALES-STUDY GUIDES</v>
      </c>
      <c r="C54" s="11"/>
      <c r="D54" s="2">
        <f>--47.87</f>
        <v>47.87</v>
      </c>
      <c r="E54" s="2"/>
      <c r="F54" s="19"/>
      <c r="G54" s="2"/>
      <c r="H54" s="2">
        <f>--7.02</f>
        <v>7.02</v>
      </c>
      <c r="I54" s="2"/>
      <c r="J54" s="19"/>
      <c r="K54" s="2"/>
      <c r="L54" s="2">
        <f t="shared" si="0"/>
        <v>40.849999999999994</v>
      </c>
      <c r="M54" s="2"/>
      <c r="N54" s="19">
        <f t="shared" si="1"/>
        <v>5.8190883190883183</v>
      </c>
      <c r="O54" s="11"/>
      <c r="P54" s="2">
        <f>--101.83</f>
        <v>101.83</v>
      </c>
      <c r="Q54" s="2"/>
      <c r="R54" s="19"/>
      <c r="S54" s="2"/>
      <c r="T54" s="2">
        <f>--13.97</f>
        <v>13.97</v>
      </c>
      <c r="U54" s="2"/>
      <c r="V54" s="19"/>
      <c r="W54" s="2"/>
      <c r="X54" s="2">
        <f t="shared" si="2"/>
        <v>87.86</v>
      </c>
      <c r="Y54" s="2"/>
      <c r="Z54" s="19">
        <f t="shared" si="3"/>
        <v>6.289191123836793</v>
      </c>
    </row>
    <row r="55" spans="1:26" s="24" customFormat="1" hidden="1" outlineLevel="1" x14ac:dyDescent="0.25">
      <c r="A55" s="44"/>
      <c r="B55" s="11" t="str">
        <f>CONCATENATE("          ", "4125", " - ", "NON-TAXABLE SALES-TEST FORMS")</f>
        <v xml:space="preserve">          4125 - NON-TAXABLE SALES-TEST FORMS</v>
      </c>
      <c r="C55" s="11"/>
      <c r="D55" s="2">
        <f t="shared" ref="D55:D56" si="12">0</f>
        <v>0</v>
      </c>
      <c r="E55" s="2"/>
      <c r="F55" s="19"/>
      <c r="G55" s="2"/>
      <c r="H55" s="2">
        <f>--77.17</f>
        <v>77.17</v>
      </c>
      <c r="I55" s="2"/>
      <c r="J55" s="19"/>
      <c r="K55" s="2"/>
      <c r="L55" s="2">
        <f t="shared" si="0"/>
        <v>-77.17</v>
      </c>
      <c r="M55" s="2"/>
      <c r="N55" s="19">
        <f t="shared" si="1"/>
        <v>-1</v>
      </c>
      <c r="O55" s="11"/>
      <c r="P55" s="2">
        <f>0</f>
        <v>0</v>
      </c>
      <c r="Q55" s="2"/>
      <c r="R55" s="19"/>
      <c r="S55" s="2"/>
      <c r="T55" s="2">
        <f>--82.15</f>
        <v>82.15</v>
      </c>
      <c r="U55" s="2"/>
      <c r="V55" s="19"/>
      <c r="W55" s="2"/>
      <c r="X55" s="2">
        <f t="shared" si="2"/>
        <v>-82.15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"4126", " - ", "NON-TAXABLE SALES-WRITING INST")</f>
        <v xml:space="preserve">          4126 - NON-TAXABLE SALES-WRITING INST</v>
      </c>
      <c r="C56" s="11"/>
      <c r="D56" s="2">
        <f t="shared" si="12"/>
        <v>0</v>
      </c>
      <c r="E56" s="2"/>
      <c r="F56" s="19"/>
      <c r="G56" s="2"/>
      <c r="H56" s="2">
        <f>--844.09</f>
        <v>844.09</v>
      </c>
      <c r="I56" s="2"/>
      <c r="J56" s="19"/>
      <c r="K56" s="2"/>
      <c r="L56" s="2">
        <f t="shared" si="0"/>
        <v>-844.09</v>
      </c>
      <c r="M56" s="2"/>
      <c r="N56" s="19">
        <f t="shared" si="1"/>
        <v>-1</v>
      </c>
      <c r="O56" s="11"/>
      <c r="P56" s="2">
        <f>--52.68</f>
        <v>52.68</v>
      </c>
      <c r="Q56" s="2"/>
      <c r="R56" s="19"/>
      <c r="S56" s="2"/>
      <c r="T56" s="2">
        <f>--1011.12</f>
        <v>1011.12</v>
      </c>
      <c r="U56" s="2"/>
      <c r="V56" s="19"/>
      <c r="W56" s="2"/>
      <c r="X56" s="2">
        <f t="shared" si="2"/>
        <v>-958.44</v>
      </c>
      <c r="Y56" s="2"/>
      <c r="Z56" s="19">
        <f t="shared" si="3"/>
        <v>-0.94789935912651324</v>
      </c>
    </row>
    <row r="57" spans="1:26" s="24" customFormat="1" hidden="1" outlineLevel="1" x14ac:dyDescent="0.25">
      <c r="A57" s="44"/>
      <c r="B57" s="11" t="str">
        <f>CONCATENATE("          ", "4127", " - ", "NON-TAXABLE SALES-SCHOOL SUPPL")</f>
        <v xml:space="preserve">          4127 - NON-TAXABLE SALES-SCHOOL SUPPL</v>
      </c>
      <c r="C57" s="11"/>
      <c r="D57" s="2">
        <f>--1788.16</f>
        <v>1788.16</v>
      </c>
      <c r="E57" s="2"/>
      <c r="F57" s="19"/>
      <c r="G57" s="2"/>
      <c r="H57" s="2">
        <f>--1692.39</f>
        <v>1692.39</v>
      </c>
      <c r="I57" s="2"/>
      <c r="J57" s="19"/>
      <c r="K57" s="2"/>
      <c r="L57" s="2">
        <f t="shared" si="0"/>
        <v>95.769999999999982</v>
      </c>
      <c r="M57" s="2"/>
      <c r="N57" s="19">
        <f t="shared" si="1"/>
        <v>5.658861137208325E-2</v>
      </c>
      <c r="O57" s="11"/>
      <c r="P57" s="2">
        <f>--1860.41</f>
        <v>1860.41</v>
      </c>
      <c r="Q57" s="2"/>
      <c r="R57" s="19"/>
      <c r="S57" s="2"/>
      <c r="T57" s="2">
        <f>--1870.28</f>
        <v>1870.28</v>
      </c>
      <c r="U57" s="2"/>
      <c r="V57" s="19"/>
      <c r="W57" s="2"/>
      <c r="X57" s="2">
        <f t="shared" si="2"/>
        <v>-9.8699999999998909</v>
      </c>
      <c r="Y57" s="2"/>
      <c r="Z57" s="19">
        <f t="shared" si="3"/>
        <v>-5.2772846846460908E-3</v>
      </c>
    </row>
    <row r="58" spans="1:26" s="24" customFormat="1" hidden="1" outlineLevel="1" x14ac:dyDescent="0.25">
      <c r="A58" s="44"/>
      <c r="B58" s="11" t="str">
        <f>CONCATENATE("          ", "4128", " - ", "NON-TAXABLE SALES-ART/TECH")</f>
        <v xml:space="preserve">          4128 - NON-TAXABLE SALES-ART/TECH</v>
      </c>
      <c r="C58" s="11"/>
      <c r="D58" s="2">
        <f>0</f>
        <v>0</v>
      </c>
      <c r="E58" s="2"/>
      <c r="F58" s="19"/>
      <c r="G58" s="2"/>
      <c r="H58" s="2">
        <f>--128.61</f>
        <v>128.61000000000001</v>
      </c>
      <c r="I58" s="2"/>
      <c r="J58" s="19"/>
      <c r="K58" s="2"/>
      <c r="L58" s="2">
        <f t="shared" si="0"/>
        <v>-128.61000000000001</v>
      </c>
      <c r="M58" s="2"/>
      <c r="N58" s="19">
        <f t="shared" si="1"/>
        <v>-1</v>
      </c>
      <c r="O58" s="11"/>
      <c r="P58" s="2">
        <f>0</f>
        <v>0</v>
      </c>
      <c r="Q58" s="2"/>
      <c r="R58" s="19"/>
      <c r="S58" s="2"/>
      <c r="T58" s="2">
        <f>--130.1</f>
        <v>130.1</v>
      </c>
      <c r="U58" s="2"/>
      <c r="V58" s="19"/>
      <c r="W58" s="2"/>
      <c r="X58" s="2">
        <f t="shared" si="2"/>
        <v>-130.1</v>
      </c>
      <c r="Y58" s="2"/>
      <c r="Z58" s="19">
        <f t="shared" si="3"/>
        <v>-1</v>
      </c>
    </row>
    <row r="59" spans="1:26" s="24" customFormat="1" hidden="1" outlineLevel="1" x14ac:dyDescent="0.25">
      <c r="A59" s="44"/>
      <c r="B59" s="11" t="str">
        <f>CONCATENATE("          ", "4131", " - ", "NON-TAXABLE SALES-FOOD")</f>
        <v xml:space="preserve">          4131 - NON-TAXABLE SALES-FOOD</v>
      </c>
      <c r="C59" s="11"/>
      <c r="D59" s="2">
        <f>--1575.79</f>
        <v>1575.79</v>
      </c>
      <c r="E59" s="2"/>
      <c r="F59" s="19"/>
      <c r="G59" s="2"/>
      <c r="H59" s="2">
        <f>--2447.58</f>
        <v>2447.58</v>
      </c>
      <c r="I59" s="2"/>
      <c r="J59" s="19"/>
      <c r="K59" s="2"/>
      <c r="L59" s="2">
        <f t="shared" si="0"/>
        <v>-871.79</v>
      </c>
      <c r="M59" s="2"/>
      <c r="N59" s="19">
        <f t="shared" si="1"/>
        <v>-0.35618447609475479</v>
      </c>
      <c r="O59" s="11"/>
      <c r="P59" s="2">
        <f>--1835.22</f>
        <v>1835.22</v>
      </c>
      <c r="Q59" s="2"/>
      <c r="R59" s="19"/>
      <c r="S59" s="2"/>
      <c r="T59" s="2">
        <f>--2717.2</f>
        <v>2717.2</v>
      </c>
      <c r="U59" s="2"/>
      <c r="V59" s="19"/>
      <c r="W59" s="2"/>
      <c r="X59" s="2">
        <f t="shared" si="2"/>
        <v>-881.97999999999979</v>
      </c>
      <c r="Y59" s="2"/>
      <c r="Z59" s="19">
        <f t="shared" si="3"/>
        <v>-0.3245914912409833</v>
      </c>
    </row>
    <row r="60" spans="1:26" s="24" customFormat="1" hidden="1" outlineLevel="1" x14ac:dyDescent="0.25">
      <c r="A60" s="44"/>
      <c r="B60" s="11" t="str">
        <f>CONCATENATE("          ", "4132", " - ", "NON-TAXABLE SALES-JUICE")</f>
        <v xml:space="preserve">          4132 - NON-TAXABLE SALES-JUICE</v>
      </c>
      <c r="C60" s="11"/>
      <c r="D60" s="2">
        <f>--625.8</f>
        <v>625.79999999999995</v>
      </c>
      <c r="E60" s="2"/>
      <c r="F60" s="19"/>
      <c r="G60" s="2"/>
      <c r="H60" s="2">
        <f>--62624.81</f>
        <v>62624.81</v>
      </c>
      <c r="I60" s="2"/>
      <c r="J60" s="19"/>
      <c r="K60" s="2"/>
      <c r="L60" s="2">
        <f t="shared" si="0"/>
        <v>-61999.009999999995</v>
      </c>
      <c r="M60" s="2"/>
      <c r="N60" s="19">
        <f t="shared" si="1"/>
        <v>-0.99000715531112982</v>
      </c>
      <c r="O60" s="11"/>
      <c r="P60" s="2">
        <f>--648.29</f>
        <v>648.29</v>
      </c>
      <c r="Q60" s="2"/>
      <c r="R60" s="19"/>
      <c r="S60" s="2"/>
      <c r="T60" s="2">
        <f>--94757.75</f>
        <v>94757.75</v>
      </c>
      <c r="U60" s="2"/>
      <c r="V60" s="19"/>
      <c r="W60" s="2"/>
      <c r="X60" s="2">
        <f t="shared" si="2"/>
        <v>-94109.46</v>
      </c>
      <c r="Y60" s="2"/>
      <c r="Z60" s="19">
        <f t="shared" si="3"/>
        <v>-0.99315844878123427</v>
      </c>
    </row>
    <row r="61" spans="1:26" s="24" customFormat="1" hidden="1" outlineLevel="1" x14ac:dyDescent="0.25">
      <c r="A61" s="44"/>
      <c r="B61" s="11" t="str">
        <f>CONCATENATE("          ", "4133", " - ", "NON-TAXABLE SALES-CANDY")</f>
        <v xml:space="preserve">          4133 - NON-TAXABLE SALES-CANDY</v>
      </c>
      <c r="C61" s="11"/>
      <c r="D61" s="2">
        <f>--12.43</f>
        <v>12.43</v>
      </c>
      <c r="E61" s="2"/>
      <c r="F61" s="19"/>
      <c r="G61" s="2"/>
      <c r="H61" s="2">
        <f>--900.13</f>
        <v>900.13</v>
      </c>
      <c r="I61" s="2"/>
      <c r="J61" s="19"/>
      <c r="K61" s="2"/>
      <c r="L61" s="2">
        <f t="shared" si="0"/>
        <v>-887.7</v>
      </c>
      <c r="M61" s="2"/>
      <c r="N61" s="19">
        <f t="shared" si="1"/>
        <v>-0.98619088353904438</v>
      </c>
      <c r="O61" s="11"/>
      <c r="P61" s="2">
        <f>--80.71</f>
        <v>80.709999999999994</v>
      </c>
      <c r="Q61" s="2"/>
      <c r="R61" s="19"/>
      <c r="S61" s="2"/>
      <c r="T61" s="2">
        <f>--1372.35</f>
        <v>1372.35</v>
      </c>
      <c r="U61" s="2"/>
      <c r="V61" s="19"/>
      <c r="W61" s="2"/>
      <c r="X61" s="2">
        <f t="shared" si="2"/>
        <v>-1291.6399999999999</v>
      </c>
      <c r="Y61" s="2"/>
      <c r="Z61" s="19">
        <f t="shared" si="3"/>
        <v>-0.94118847232848757</v>
      </c>
    </row>
    <row r="62" spans="1:26" s="24" customFormat="1" hidden="1" outlineLevel="1" x14ac:dyDescent="0.25">
      <c r="A62" s="44"/>
      <c r="B62" s="11" t="str">
        <f>CONCATENATE("          ", "4134", " - ", "NON-TAXABLE SALES-SODA")</f>
        <v xml:space="preserve">          4134 - NON-TAXABLE SALES-SODA</v>
      </c>
      <c r="C62" s="11"/>
      <c r="D62" s="2">
        <f t="shared" ref="D62:D64" si="13">0</f>
        <v>0</v>
      </c>
      <c r="E62" s="2"/>
      <c r="F62" s="19"/>
      <c r="G62" s="2"/>
      <c r="H62" s="2">
        <f>0</f>
        <v>0</v>
      </c>
      <c r="I62" s="2"/>
      <c r="J62" s="19"/>
      <c r="K62" s="2"/>
      <c r="L62" s="2">
        <f t="shared" si="0"/>
        <v>0</v>
      </c>
      <c r="M62" s="2"/>
      <c r="N62" s="19">
        <f t="shared" si="1"/>
        <v>0</v>
      </c>
      <c r="O62" s="11"/>
      <c r="P62" s="2">
        <f>--45.53</f>
        <v>45.53</v>
      </c>
      <c r="Q62" s="2"/>
      <c r="R62" s="19"/>
      <c r="S62" s="2"/>
      <c r="T62" s="2">
        <f>-3.39</f>
        <v>-3.39</v>
      </c>
      <c r="U62" s="2"/>
      <c r="V62" s="19"/>
      <c r="W62" s="2"/>
      <c r="X62" s="2">
        <f t="shared" si="2"/>
        <v>48.92</v>
      </c>
      <c r="Y62" s="2"/>
      <c r="Z62" s="19">
        <f t="shared" si="3"/>
        <v>-14.430678466076696</v>
      </c>
    </row>
    <row r="63" spans="1:26" s="24" customFormat="1" hidden="1" outlineLevel="1" x14ac:dyDescent="0.25">
      <c r="A63" s="44"/>
      <c r="B63" s="11" t="str">
        <f>CONCATENATE("          ", "4135", " - ", "NON-TAXABLE SALES")</f>
        <v xml:space="preserve">          4135 - NON-TAXABLE SALES</v>
      </c>
      <c r="C63" s="11"/>
      <c r="D63" s="2">
        <f t="shared" si="13"/>
        <v>0</v>
      </c>
      <c r="E63" s="2"/>
      <c r="F63" s="19"/>
      <c r="G63" s="2"/>
      <c r="H63" s="2">
        <f>--32.21</f>
        <v>32.21</v>
      </c>
      <c r="I63" s="2"/>
      <c r="J63" s="19"/>
      <c r="K63" s="2"/>
      <c r="L63" s="2">
        <f t="shared" si="0"/>
        <v>-32.21</v>
      </c>
      <c r="M63" s="2"/>
      <c r="N63" s="19">
        <f t="shared" si="1"/>
        <v>-1</v>
      </c>
      <c r="O63" s="11"/>
      <c r="P63" s="2">
        <f>0</f>
        <v>0</v>
      </c>
      <c r="Q63" s="2"/>
      <c r="R63" s="19"/>
      <c r="S63" s="2"/>
      <c r="T63" s="2">
        <f>--53.75</f>
        <v>53.75</v>
      </c>
      <c r="U63" s="2"/>
      <c r="V63" s="19"/>
      <c r="W63" s="2"/>
      <c r="X63" s="2">
        <f t="shared" si="2"/>
        <v>-53.75</v>
      </c>
      <c r="Y63" s="2"/>
      <c r="Z63" s="19">
        <f t="shared" si="3"/>
        <v>-1</v>
      </c>
    </row>
    <row r="64" spans="1:26" s="24" customFormat="1" hidden="1" outlineLevel="1" x14ac:dyDescent="0.25">
      <c r="A64" s="44"/>
      <c r="B64" s="11" t="str">
        <f>CONCATENATE("          ", "4137", " - ", "NON-TAXABLE SALES-WATER")</f>
        <v xml:space="preserve">          4137 - NON-TAXABLE SALES-WATER</v>
      </c>
      <c r="C64" s="11"/>
      <c r="D64" s="2">
        <f t="shared" si="13"/>
        <v>0</v>
      </c>
      <c r="E64" s="2"/>
      <c r="F64" s="19"/>
      <c r="G64" s="2"/>
      <c r="H64" s="2">
        <f>--726.72</f>
        <v>726.72</v>
      </c>
      <c r="I64" s="2"/>
      <c r="J64" s="19"/>
      <c r="K64" s="2"/>
      <c r="L64" s="2">
        <f t="shared" si="0"/>
        <v>-726.72</v>
      </c>
      <c r="M64" s="2"/>
      <c r="N64" s="19">
        <f t="shared" si="1"/>
        <v>-1</v>
      </c>
      <c r="O64" s="11"/>
      <c r="P64" s="2">
        <f>--68.25</f>
        <v>68.25</v>
      </c>
      <c r="Q64" s="2"/>
      <c r="R64" s="19"/>
      <c r="S64" s="2"/>
      <c r="T64" s="2">
        <f>--990.24</f>
        <v>990.24</v>
      </c>
      <c r="U64" s="2"/>
      <c r="V64" s="19"/>
      <c r="W64" s="2"/>
      <c r="X64" s="2">
        <f t="shared" si="2"/>
        <v>-921.99</v>
      </c>
      <c r="Y64" s="2"/>
      <c r="Z64" s="19">
        <f t="shared" si="3"/>
        <v>-0.93107731459040233</v>
      </c>
    </row>
    <row r="65" spans="1:26" s="24" customFormat="1" hidden="1" outlineLevel="1" x14ac:dyDescent="0.25">
      <c r="A65" s="44"/>
      <c r="B65" s="11" t="str">
        <f>CONCATENATE("          ", "4140", " - ", "NON-TAXABLE SALES-LOGO CLOTHIN")</f>
        <v xml:space="preserve">          4140 - NON-TAXABLE SALES-LOGO CLOTHIN</v>
      </c>
      <c r="C65" s="11"/>
      <c r="D65" s="2">
        <f>--7266.5</f>
        <v>7266.5</v>
      </c>
      <c r="E65" s="2"/>
      <c r="F65" s="19"/>
      <c r="G65" s="2"/>
      <c r="H65" s="2">
        <f>--1979.29</f>
        <v>1979.29</v>
      </c>
      <c r="I65" s="2"/>
      <c r="J65" s="19"/>
      <c r="K65" s="2"/>
      <c r="L65" s="2">
        <f t="shared" si="0"/>
        <v>5287.21</v>
      </c>
      <c r="M65" s="2"/>
      <c r="N65" s="19">
        <f t="shared" si="1"/>
        <v>2.6712659590055021</v>
      </c>
      <c r="O65" s="11"/>
      <c r="P65" s="2">
        <f>--14112.74</f>
        <v>14112.74</v>
      </c>
      <c r="Q65" s="2"/>
      <c r="R65" s="19"/>
      <c r="S65" s="2"/>
      <c r="T65" s="2">
        <f>--5142.96</f>
        <v>5142.96</v>
      </c>
      <c r="U65" s="2"/>
      <c r="V65" s="19"/>
      <c r="W65" s="2"/>
      <c r="X65" s="2">
        <f t="shared" si="2"/>
        <v>8969.7799999999988</v>
      </c>
      <c r="Y65" s="2"/>
      <c r="Z65" s="19">
        <f t="shared" si="3"/>
        <v>1.7440890071087465</v>
      </c>
    </row>
    <row r="66" spans="1:26" s="24" customFormat="1" hidden="1" outlineLevel="1" x14ac:dyDescent="0.25">
      <c r="A66" s="44"/>
      <c r="B66" s="11" t="str">
        <f>CONCATENATE("          ", "4141", " - ", "NON-TAXABLE SALES-LOGO GIFTS")</f>
        <v xml:space="preserve">          4141 - NON-TAXABLE SALES-LOGO GIFTS</v>
      </c>
      <c r="C66" s="11"/>
      <c r="D66" s="2">
        <f>--1189.06</f>
        <v>1189.06</v>
      </c>
      <c r="E66" s="2"/>
      <c r="F66" s="19"/>
      <c r="G66" s="2"/>
      <c r="H66" s="2">
        <f>--432.15</f>
        <v>432.15</v>
      </c>
      <c r="I66" s="2"/>
      <c r="J66" s="19"/>
      <c r="K66" s="2"/>
      <c r="L66" s="2">
        <f t="shared" si="0"/>
        <v>756.91</v>
      </c>
      <c r="M66" s="2"/>
      <c r="N66" s="19">
        <f t="shared" si="1"/>
        <v>1.7514983223417795</v>
      </c>
      <c r="O66" s="11"/>
      <c r="P66" s="2">
        <f>--2389.25</f>
        <v>2389.25</v>
      </c>
      <c r="Q66" s="2"/>
      <c r="R66" s="19"/>
      <c r="S66" s="2"/>
      <c r="T66" s="2">
        <f>--694.3</f>
        <v>694.3</v>
      </c>
      <c r="U66" s="2"/>
      <c r="V66" s="19"/>
      <c r="W66" s="2"/>
      <c r="X66" s="2">
        <f t="shared" si="2"/>
        <v>1694.95</v>
      </c>
      <c r="Y66" s="2"/>
      <c r="Z66" s="19">
        <f t="shared" si="3"/>
        <v>2.4412357770416251</v>
      </c>
    </row>
    <row r="67" spans="1:26" s="24" customFormat="1" hidden="1" outlineLevel="1" x14ac:dyDescent="0.25">
      <c r="A67" s="44"/>
      <c r="B67" s="11" t="str">
        <f>CONCATENATE("          ", "4142", " - ", "NON-TAXABLE SALES-EVERYDAY GIF")</f>
        <v xml:space="preserve">          4142 - NON-TAXABLE SALES-EVERYDAY GIF</v>
      </c>
      <c r="C67" s="11"/>
      <c r="D67" s="2">
        <f>--339.4</f>
        <v>339.4</v>
      </c>
      <c r="E67" s="2"/>
      <c r="F67" s="19"/>
      <c r="G67" s="2"/>
      <c r="H67" s="2">
        <f>--577.66</f>
        <v>577.66</v>
      </c>
      <c r="I67" s="2"/>
      <c r="J67" s="19"/>
      <c r="K67" s="2"/>
      <c r="L67" s="2">
        <f t="shared" si="0"/>
        <v>-238.26</v>
      </c>
      <c r="M67" s="2"/>
      <c r="N67" s="19">
        <f t="shared" si="1"/>
        <v>-0.41245715472769451</v>
      </c>
      <c r="O67" s="11"/>
      <c r="P67" s="2">
        <f>--979.57</f>
        <v>979.57</v>
      </c>
      <c r="Q67" s="2"/>
      <c r="R67" s="19"/>
      <c r="S67" s="2"/>
      <c r="T67" s="2">
        <f>--920.1</f>
        <v>920.1</v>
      </c>
      <c r="U67" s="2"/>
      <c r="V67" s="19"/>
      <c r="W67" s="2"/>
      <c r="X67" s="2">
        <f t="shared" si="2"/>
        <v>59.470000000000027</v>
      </c>
      <c r="Y67" s="2"/>
      <c r="Z67" s="19">
        <f t="shared" si="3"/>
        <v>6.463427888273017E-2</v>
      </c>
    </row>
    <row r="68" spans="1:26" s="24" customFormat="1" hidden="1" outlineLevel="1" x14ac:dyDescent="0.25">
      <c r="A68" s="44"/>
      <c r="B68" s="11" t="str">
        <f>CONCATENATE("          ", "4143", " - ", "NON-TAXABLE SALES-CARDS")</f>
        <v xml:space="preserve">          4143 - NON-TAXABLE SALES-CARDS</v>
      </c>
      <c r="C68" s="11"/>
      <c r="D68" s="2">
        <f>--19.98</f>
        <v>19.98</v>
      </c>
      <c r="E68" s="2"/>
      <c r="F68" s="19"/>
      <c r="G68" s="2"/>
      <c r="H68" s="2">
        <f>0</f>
        <v>0</v>
      </c>
      <c r="I68" s="2"/>
      <c r="J68" s="19"/>
      <c r="K68" s="2"/>
      <c r="L68" s="2">
        <f t="shared" si="0"/>
        <v>19.98</v>
      </c>
      <c r="M68" s="2"/>
      <c r="N68" s="19">
        <f t="shared" si="1"/>
        <v>0</v>
      </c>
      <c r="O68" s="11"/>
      <c r="P68" s="2">
        <f>--19.98</f>
        <v>19.98</v>
      </c>
      <c r="Q68" s="2"/>
      <c r="R68" s="19"/>
      <c r="S68" s="2"/>
      <c r="T68" s="2">
        <f>0</f>
        <v>0</v>
      </c>
      <c r="U68" s="2"/>
      <c r="V68" s="19"/>
      <c r="W68" s="2"/>
      <c r="X68" s="2">
        <f t="shared" si="2"/>
        <v>19.98</v>
      </c>
      <c r="Y68" s="2"/>
      <c r="Z68" s="19">
        <f t="shared" si="3"/>
        <v>0</v>
      </c>
    </row>
    <row r="69" spans="1:26" s="24" customFormat="1" hidden="1" outlineLevel="1" x14ac:dyDescent="0.25">
      <c r="A69" s="44"/>
      <c r="B69" s="11" t="str">
        <f>CONCATENATE("          ", "4144", " - ", "NON-TAXABLE SALES-ACCESSORIES")</f>
        <v xml:space="preserve">          4144 - NON-TAXABLE SALES-ACCESSORIES</v>
      </c>
      <c r="C69" s="11"/>
      <c r="D69" s="2">
        <f>--107.95</f>
        <v>107.95</v>
      </c>
      <c r="E69" s="2"/>
      <c r="F69" s="19"/>
      <c r="G69" s="2"/>
      <c r="H69" s="2">
        <f>--117.86</f>
        <v>117.86</v>
      </c>
      <c r="I69" s="2"/>
      <c r="J69" s="19"/>
      <c r="K69" s="2"/>
      <c r="L69" s="2">
        <f t="shared" si="0"/>
        <v>-9.9099999999999966</v>
      </c>
      <c r="M69" s="2"/>
      <c r="N69" s="19">
        <f t="shared" si="1"/>
        <v>-8.4082810113694187E-2</v>
      </c>
      <c r="O69" s="11"/>
      <c r="P69" s="2">
        <f>--155.8</f>
        <v>155.80000000000001</v>
      </c>
      <c r="Q69" s="2"/>
      <c r="R69" s="19"/>
      <c r="S69" s="2"/>
      <c r="T69" s="2">
        <f>--139.76</f>
        <v>139.76</v>
      </c>
      <c r="U69" s="2"/>
      <c r="V69" s="19"/>
      <c r="W69" s="2"/>
      <c r="X69" s="2">
        <f t="shared" si="2"/>
        <v>16.04000000000002</v>
      </c>
      <c r="Y69" s="2"/>
      <c r="Z69" s="19">
        <f t="shared" si="3"/>
        <v>0.11476817401259318</v>
      </c>
    </row>
    <row r="70" spans="1:26" s="24" customFormat="1" hidden="1" outlineLevel="1" x14ac:dyDescent="0.25">
      <c r="A70" s="44"/>
      <c r="B70" s="11" t="str">
        <f>CONCATENATE("          ", "4145", " - ", "NON-TAXABLE SALES-SPECIAL ORDE")</f>
        <v xml:space="preserve">          4145 - NON-TAXABLE SALES-SPECIAL ORDE</v>
      </c>
      <c r="C70" s="11"/>
      <c r="D70" s="2">
        <f>--350</f>
        <v>350</v>
      </c>
      <c r="E70" s="2"/>
      <c r="F70" s="19"/>
      <c r="G70" s="2"/>
      <c r="H70" s="2">
        <f>--90</f>
        <v>90</v>
      </c>
      <c r="I70" s="2"/>
      <c r="J70" s="19"/>
      <c r="K70" s="2"/>
      <c r="L70" s="2">
        <f t="shared" si="0"/>
        <v>260</v>
      </c>
      <c r="M70" s="2"/>
      <c r="N70" s="19">
        <f t="shared" si="1"/>
        <v>2.8888888888888888</v>
      </c>
      <c r="O70" s="11"/>
      <c r="P70" s="2">
        <f>--35846</f>
        <v>35846</v>
      </c>
      <c r="Q70" s="2"/>
      <c r="R70" s="19"/>
      <c r="S70" s="2"/>
      <c r="T70" s="2">
        <f>--90</f>
        <v>90</v>
      </c>
      <c r="U70" s="2"/>
      <c r="V70" s="19"/>
      <c r="W70" s="2"/>
      <c r="X70" s="2">
        <f t="shared" si="2"/>
        <v>35756</v>
      </c>
      <c r="Y70" s="2"/>
      <c r="Z70" s="19">
        <f t="shared" si="3"/>
        <v>397.28888888888889</v>
      </c>
    </row>
    <row r="71" spans="1:26" s="24" customFormat="1" hidden="1" outlineLevel="1" x14ac:dyDescent="0.25">
      <c r="A71" s="44"/>
      <c r="B71" s="11" t="str">
        <f>CONCATENATE("          ", "4146", " - ", "NON-TAXABLE SALES-COIN OP MACH")</f>
        <v xml:space="preserve">          4146 - NON-TAXABLE SALES-COIN OP MACH</v>
      </c>
      <c r="C71" s="11"/>
      <c r="D71" s="2">
        <f>--15.5</f>
        <v>15.5</v>
      </c>
      <c r="E71" s="2"/>
      <c r="F71" s="19"/>
      <c r="G71" s="2"/>
      <c r="H71" s="2">
        <f>--13281.65</f>
        <v>13281.65</v>
      </c>
      <c r="I71" s="2"/>
      <c r="J71" s="19"/>
      <c r="K71" s="2"/>
      <c r="L71" s="2">
        <f t="shared" si="0"/>
        <v>-13266.15</v>
      </c>
      <c r="M71" s="2"/>
      <c r="N71" s="19">
        <f t="shared" si="1"/>
        <v>-0.99883297632447776</v>
      </c>
      <c r="O71" s="11"/>
      <c r="P71" s="2">
        <f>--15.5</f>
        <v>15.5</v>
      </c>
      <c r="Q71" s="2"/>
      <c r="R71" s="19"/>
      <c r="S71" s="2"/>
      <c r="T71" s="2">
        <f>--15348.75</f>
        <v>15348.75</v>
      </c>
      <c r="U71" s="2"/>
      <c r="V71" s="19"/>
      <c r="W71" s="2"/>
      <c r="X71" s="2">
        <f t="shared" si="2"/>
        <v>-15333.25</v>
      </c>
      <c r="Y71" s="2"/>
      <c r="Z71" s="19">
        <f t="shared" si="3"/>
        <v>-0.99899014577734346</v>
      </c>
    </row>
    <row r="72" spans="1:26" s="24" customFormat="1" hidden="1" outlineLevel="1" x14ac:dyDescent="0.25">
      <c r="A72" s="44"/>
      <c r="B72" s="11" t="str">
        <f>CONCATENATE("          ", "4147", " - ", "NON-TAXABLE SALES-MISC")</f>
        <v xml:space="preserve">          4147 - NON-TAXABLE SALES-MISC</v>
      </c>
      <c r="C72" s="11"/>
      <c r="D72" s="2">
        <f>--23</f>
        <v>23</v>
      </c>
      <c r="E72" s="2"/>
      <c r="F72" s="19"/>
      <c r="G72" s="2"/>
      <c r="H72" s="2">
        <f>--53.9</f>
        <v>53.9</v>
      </c>
      <c r="I72" s="2"/>
      <c r="J72" s="19"/>
      <c r="K72" s="2"/>
      <c r="L72" s="2">
        <f t="shared" si="0"/>
        <v>-30.9</v>
      </c>
      <c r="M72" s="2"/>
      <c r="N72" s="19">
        <f t="shared" si="1"/>
        <v>-0.57328385899814471</v>
      </c>
      <c r="O72" s="11"/>
      <c r="P72" s="2">
        <f>--24</f>
        <v>24</v>
      </c>
      <c r="Q72" s="2"/>
      <c r="R72" s="19"/>
      <c r="S72" s="2"/>
      <c r="T72" s="2">
        <f>--70.4</f>
        <v>70.400000000000006</v>
      </c>
      <c r="U72" s="2"/>
      <c r="V72" s="19"/>
      <c r="W72" s="2"/>
      <c r="X72" s="2">
        <f t="shared" si="2"/>
        <v>-46.400000000000006</v>
      </c>
      <c r="Y72" s="2"/>
      <c r="Z72" s="19">
        <f t="shared" si="3"/>
        <v>-0.65909090909090917</v>
      </c>
    </row>
    <row r="73" spans="1:26" s="24" customFormat="1" hidden="1" outlineLevel="1" x14ac:dyDescent="0.25">
      <c r="A73" s="44"/>
      <c r="B73" s="11" t="str">
        <f>CONCATENATE("          ", "4151", " - ", "NON-TAXABLE SALES-FOOD")</f>
        <v xml:space="preserve">          4151 - NON-TAXABLE SALES-FOOD</v>
      </c>
      <c r="C73" s="11"/>
      <c r="D73" s="2">
        <f>0</f>
        <v>0</v>
      </c>
      <c r="E73" s="2"/>
      <c r="F73" s="19"/>
      <c r="G73" s="2"/>
      <c r="H73" s="2">
        <f>--40740.65</f>
        <v>40740.65</v>
      </c>
      <c r="I73" s="2"/>
      <c r="J73" s="19"/>
      <c r="K73" s="2"/>
      <c r="L73" s="2">
        <f t="shared" si="0"/>
        <v>-40740.65</v>
      </c>
      <c r="M73" s="2"/>
      <c r="N73" s="19">
        <f t="shared" si="1"/>
        <v>-1</v>
      </c>
      <c r="O73" s="11"/>
      <c r="P73" s="2">
        <f>0</f>
        <v>0</v>
      </c>
      <c r="Q73" s="2"/>
      <c r="R73" s="19"/>
      <c r="S73" s="2"/>
      <c r="T73" s="2">
        <f>--56137.17</f>
        <v>56137.17</v>
      </c>
      <c r="U73" s="2"/>
      <c r="V73" s="19"/>
      <c r="W73" s="2"/>
      <c r="X73" s="2">
        <f t="shared" si="2"/>
        <v>-56137.17</v>
      </c>
      <c r="Y73" s="2"/>
      <c r="Z73" s="19">
        <f t="shared" si="3"/>
        <v>-1</v>
      </c>
    </row>
    <row r="74" spans="1:26" s="24" customFormat="1" hidden="1" outlineLevel="1" x14ac:dyDescent="0.25">
      <c r="A74" s="44"/>
      <c r="B74" s="11" t="str">
        <f>CONCATENATE("          ", "4153", " - ", "NON-TAXABLE SALES-FOOD")</f>
        <v xml:space="preserve">          4153 - NON-TAXABLE SALES-FOOD</v>
      </c>
      <c r="C74" s="11"/>
      <c r="D74" s="2">
        <f>--110</f>
        <v>110</v>
      </c>
      <c r="E74" s="2"/>
      <c r="F74" s="19"/>
      <c r="G74" s="2"/>
      <c r="H74" s="2">
        <f>--227.5</f>
        <v>227.5</v>
      </c>
      <c r="I74" s="2"/>
      <c r="J74" s="19"/>
      <c r="K74" s="2"/>
      <c r="L74" s="2">
        <f t="shared" si="0"/>
        <v>-117.5</v>
      </c>
      <c r="M74" s="2"/>
      <c r="N74" s="19">
        <f t="shared" si="1"/>
        <v>-0.51648351648351654</v>
      </c>
      <c r="O74" s="11"/>
      <c r="P74" s="2">
        <f>--110</f>
        <v>110</v>
      </c>
      <c r="Q74" s="2"/>
      <c r="R74" s="19"/>
      <c r="S74" s="2"/>
      <c r="T74" s="2">
        <f>--464.5</f>
        <v>464.5</v>
      </c>
      <c r="U74" s="2"/>
      <c r="V74" s="19"/>
      <c r="W74" s="2"/>
      <c r="X74" s="2">
        <f t="shared" si="2"/>
        <v>-354.5</v>
      </c>
      <c r="Y74" s="2"/>
      <c r="Z74" s="19">
        <f t="shared" si="3"/>
        <v>-0.76318622174381057</v>
      </c>
    </row>
    <row r="75" spans="1:26" s="24" customFormat="1" hidden="1" outlineLevel="1" x14ac:dyDescent="0.25">
      <c r="A75" s="44"/>
      <c r="B75" s="11" t="str">
        <f>CONCATENATE("          ", "4201", " - ", "SALES RETURN TAXABLE-NEW TEXT")</f>
        <v xml:space="preserve">          4201 - SALES RETURN TAXABLE-NEW TEXT</v>
      </c>
      <c r="C75" s="11"/>
      <c r="D75" s="2">
        <f>-18222.39</f>
        <v>-18222.39</v>
      </c>
      <c r="E75" s="2"/>
      <c r="F75" s="19"/>
      <c r="G75" s="2"/>
      <c r="H75" s="2">
        <f>-58563.26</f>
        <v>-58563.26</v>
      </c>
      <c r="I75" s="2"/>
      <c r="J75" s="19"/>
      <c r="K75" s="2"/>
      <c r="L75" s="2">
        <f t="shared" si="0"/>
        <v>40340.870000000003</v>
      </c>
      <c r="M75" s="2"/>
      <c r="N75" s="19">
        <f t="shared" si="1"/>
        <v>-0.68884262932084039</v>
      </c>
      <c r="O75" s="11"/>
      <c r="P75" s="2">
        <f>-18855.79</f>
        <v>-18855.79</v>
      </c>
      <c r="Q75" s="2"/>
      <c r="R75" s="19"/>
      <c r="S75" s="2"/>
      <c r="T75" s="2">
        <f>-59170.41</f>
        <v>-59170.41</v>
      </c>
      <c r="U75" s="2"/>
      <c r="V75" s="19"/>
      <c r="W75" s="2"/>
      <c r="X75" s="2">
        <f t="shared" si="2"/>
        <v>40314.620000000003</v>
      </c>
      <c r="Y75" s="2"/>
      <c r="Z75" s="19">
        <f t="shared" si="3"/>
        <v>-0.68133075298954326</v>
      </c>
    </row>
    <row r="76" spans="1:26" s="24" customFormat="1" hidden="1" outlineLevel="1" x14ac:dyDescent="0.25">
      <c r="A76" s="44"/>
      <c r="B76" s="11" t="str">
        <f>CONCATENATE("          ", "4202", " - ", "SALES RETURN TAXABLE-USED TEXT")</f>
        <v xml:space="preserve">          4202 - SALES RETURN TAXABLE-USED TEXT</v>
      </c>
      <c r="C76" s="11"/>
      <c r="D76" s="2">
        <f>-8869.4</f>
        <v>-8869.4</v>
      </c>
      <c r="E76" s="2"/>
      <c r="F76" s="19"/>
      <c r="G76" s="2"/>
      <c r="H76" s="2">
        <f>-20533</f>
        <v>-20533</v>
      </c>
      <c r="I76" s="2"/>
      <c r="J76" s="19"/>
      <c r="K76" s="2"/>
      <c r="L76" s="2">
        <f t="shared" si="0"/>
        <v>11663.6</v>
      </c>
      <c r="M76" s="2"/>
      <c r="N76" s="19">
        <f t="shared" si="1"/>
        <v>-0.56804168898845764</v>
      </c>
      <c r="O76" s="11"/>
      <c r="P76" s="2">
        <f>-9047.75</f>
        <v>-9047.75</v>
      </c>
      <c r="Q76" s="2"/>
      <c r="R76" s="19"/>
      <c r="S76" s="2"/>
      <c r="T76" s="2">
        <f>-21254.45</f>
        <v>-21254.45</v>
      </c>
      <c r="U76" s="2"/>
      <c r="V76" s="19"/>
      <c r="W76" s="2"/>
      <c r="X76" s="2">
        <f t="shared" si="2"/>
        <v>12206.7</v>
      </c>
      <c r="Y76" s="2"/>
      <c r="Z76" s="19">
        <f t="shared" si="3"/>
        <v>-0.57431267334605229</v>
      </c>
    </row>
    <row r="77" spans="1:26" s="24" customFormat="1" hidden="1" outlineLevel="1" x14ac:dyDescent="0.25">
      <c r="A77" s="44"/>
      <c r="B77" s="11" t="str">
        <f>CONCATENATE("          ", "4204", " - ", "SALES RETURN TAXABLE-DIGITAL T")</f>
        <v xml:space="preserve">          4204 - SALES RETURN TAXABLE-DIGITAL T</v>
      </c>
      <c r="C77" s="11"/>
      <c r="D77" s="2">
        <f>-1141.08</f>
        <v>-1141.08</v>
      </c>
      <c r="E77" s="2"/>
      <c r="F77" s="19"/>
      <c r="G77" s="2"/>
      <c r="H77" s="2">
        <f>-6848.37</f>
        <v>-6848.37</v>
      </c>
      <c r="I77" s="2"/>
      <c r="J77" s="19"/>
      <c r="K77" s="2"/>
      <c r="L77" s="2">
        <f t="shared" si="0"/>
        <v>5707.29</v>
      </c>
      <c r="M77" s="2"/>
      <c r="N77" s="19">
        <f t="shared" si="1"/>
        <v>-0.83337932967990924</v>
      </c>
      <c r="O77" s="11"/>
      <c r="P77" s="2">
        <f>-1141.08</f>
        <v>-1141.08</v>
      </c>
      <c r="Q77" s="2"/>
      <c r="R77" s="19"/>
      <c r="S77" s="2"/>
      <c r="T77" s="2">
        <f>-6848.37</f>
        <v>-6848.37</v>
      </c>
      <c r="U77" s="2"/>
      <c r="V77" s="19"/>
      <c r="W77" s="2"/>
      <c r="X77" s="2">
        <f t="shared" si="2"/>
        <v>5707.29</v>
      </c>
      <c r="Y77" s="2"/>
      <c r="Z77" s="19">
        <f t="shared" si="3"/>
        <v>-0.83337932967990924</v>
      </c>
    </row>
    <row r="78" spans="1:26" s="24" customFormat="1" hidden="1" outlineLevel="1" x14ac:dyDescent="0.25">
      <c r="A78" s="44"/>
      <c r="B78" s="11" t="str">
        <f>CONCATENATE("          ", "4218", " - ", "SALES RETURN TAXABLE-STUDY GUI")</f>
        <v xml:space="preserve">          4218 - SALES RETURN TAXABLE-STUDY GUI</v>
      </c>
      <c r="C78" s="11"/>
      <c r="D78" s="2">
        <f t="shared" ref="D78:D80" si="14">0</f>
        <v>0</v>
      </c>
      <c r="E78" s="2"/>
      <c r="F78" s="19"/>
      <c r="G78" s="2"/>
      <c r="H78" s="2">
        <f>-26.8</f>
        <v>-26.8</v>
      </c>
      <c r="I78" s="2"/>
      <c r="J78" s="19"/>
      <c r="K78" s="2"/>
      <c r="L78" s="2">
        <f t="shared" si="0"/>
        <v>26.8</v>
      </c>
      <c r="M78" s="2"/>
      <c r="N78" s="19">
        <f t="shared" si="1"/>
        <v>-1</v>
      </c>
      <c r="O78" s="11"/>
      <c r="P78" s="2">
        <f t="shared" ref="P78:P79" si="15">0</f>
        <v>0</v>
      </c>
      <c r="Q78" s="2"/>
      <c r="R78" s="19"/>
      <c r="S78" s="2"/>
      <c r="T78" s="2">
        <f>-26.8</f>
        <v>-26.8</v>
      </c>
      <c r="U78" s="2"/>
      <c r="V78" s="19"/>
      <c r="W78" s="2"/>
      <c r="X78" s="2">
        <f t="shared" si="2"/>
        <v>26.8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"4225", " - ", "SALES RETURN TAXABLE-TEST FORM")</f>
        <v xml:space="preserve">          4225 - SALES RETURN TAXABLE-TEST FORM</v>
      </c>
      <c r="C79" s="11"/>
      <c r="D79" s="2">
        <f t="shared" si="14"/>
        <v>0</v>
      </c>
      <c r="E79" s="2"/>
      <c r="F79" s="19"/>
      <c r="G79" s="2"/>
      <c r="H79" s="2">
        <f>-8.61</f>
        <v>-8.61</v>
      </c>
      <c r="I79" s="2"/>
      <c r="J79" s="19"/>
      <c r="K79" s="2"/>
      <c r="L79" s="2">
        <f t="shared" si="0"/>
        <v>8.61</v>
      </c>
      <c r="M79" s="2"/>
      <c r="N79" s="19">
        <f t="shared" si="1"/>
        <v>-1</v>
      </c>
      <c r="O79" s="11"/>
      <c r="P79" s="2">
        <f t="shared" si="15"/>
        <v>0</v>
      </c>
      <c r="Q79" s="2"/>
      <c r="R79" s="19"/>
      <c r="S79" s="2"/>
      <c r="T79" s="2">
        <f>-12.69</f>
        <v>-12.69</v>
      </c>
      <c r="U79" s="2"/>
      <c r="V79" s="19"/>
      <c r="W79" s="2"/>
      <c r="X79" s="2">
        <f t="shared" si="2"/>
        <v>12.69</v>
      </c>
      <c r="Y79" s="2"/>
      <c r="Z79" s="19">
        <f t="shared" si="3"/>
        <v>-1</v>
      </c>
    </row>
    <row r="80" spans="1:26" s="24" customFormat="1" hidden="1" outlineLevel="1" x14ac:dyDescent="0.25">
      <c r="A80" s="44"/>
      <c r="B80" s="11" t="str">
        <f>CONCATENATE("          ", "4226", " - ", "SALES RETURN TAXABLE-WRITING I")</f>
        <v xml:space="preserve">          4226 - SALES RETURN TAXABLE-WRITING I</v>
      </c>
      <c r="C80" s="11"/>
      <c r="D80" s="2">
        <f t="shared" si="14"/>
        <v>0</v>
      </c>
      <c r="E80" s="2"/>
      <c r="F80" s="19"/>
      <c r="G80" s="2"/>
      <c r="H80" s="2">
        <f>-60.28</f>
        <v>-60.28</v>
      </c>
      <c r="I80" s="2"/>
      <c r="J80" s="19"/>
      <c r="K80" s="2"/>
      <c r="L80" s="2">
        <f t="shared" si="0"/>
        <v>60.28</v>
      </c>
      <c r="M80" s="2"/>
      <c r="N80" s="19">
        <f t="shared" si="1"/>
        <v>-1</v>
      </c>
      <c r="O80" s="11"/>
      <c r="P80" s="2">
        <f>-6.38</f>
        <v>-6.38</v>
      </c>
      <c r="Q80" s="2"/>
      <c r="R80" s="19"/>
      <c r="S80" s="2"/>
      <c r="T80" s="2">
        <f>-124.21</f>
        <v>-124.21</v>
      </c>
      <c r="U80" s="2"/>
      <c r="V80" s="19"/>
      <c r="W80" s="2"/>
      <c r="X80" s="2">
        <f t="shared" si="2"/>
        <v>117.83</v>
      </c>
      <c r="Y80" s="2"/>
      <c r="Z80" s="19">
        <f t="shared" si="3"/>
        <v>-0.94863537557362532</v>
      </c>
    </row>
    <row r="81" spans="1:26" s="24" customFormat="1" hidden="1" outlineLevel="1" x14ac:dyDescent="0.25">
      <c r="A81" s="44"/>
      <c r="B81" s="11" t="str">
        <f>CONCATENATE("          ", "4227", " - ", "SALES RETURN TAXABLE-SCHOOL SU")</f>
        <v xml:space="preserve">          4227 - SALES RETURN TAXABLE-SCHOOL SU</v>
      </c>
      <c r="C81" s="11"/>
      <c r="D81" s="2">
        <f>-359.61</f>
        <v>-359.61</v>
      </c>
      <c r="E81" s="2"/>
      <c r="F81" s="19"/>
      <c r="G81" s="2"/>
      <c r="H81" s="2">
        <f>-1531.15</f>
        <v>-1531.15</v>
      </c>
      <c r="I81" s="2"/>
      <c r="J81" s="19"/>
      <c r="K81" s="2"/>
      <c r="L81" s="2">
        <f t="shared" si="0"/>
        <v>1171.54</v>
      </c>
      <c r="M81" s="2"/>
      <c r="N81" s="19">
        <f t="shared" si="1"/>
        <v>-0.76513731508996496</v>
      </c>
      <c r="O81" s="11"/>
      <c r="P81" s="2">
        <f>-416.38</f>
        <v>-416.38</v>
      </c>
      <c r="Q81" s="2"/>
      <c r="R81" s="19"/>
      <c r="S81" s="2"/>
      <c r="T81" s="2">
        <f>-1696.59</f>
        <v>-1696.59</v>
      </c>
      <c r="U81" s="2"/>
      <c r="V81" s="19"/>
      <c r="W81" s="2"/>
      <c r="X81" s="2">
        <f t="shared" si="2"/>
        <v>1280.21</v>
      </c>
      <c r="Y81" s="2"/>
      <c r="Z81" s="19">
        <f t="shared" si="3"/>
        <v>-0.75457830118060354</v>
      </c>
    </row>
    <row r="82" spans="1:26" s="24" customFormat="1" hidden="1" outlineLevel="1" x14ac:dyDescent="0.25">
      <c r="A82" s="44"/>
      <c r="B82" s="11" t="str">
        <f>CONCATENATE("          ", "4228", " - ", "SALES RETURN TAXABLE-ART/TECH")</f>
        <v xml:space="preserve">          4228 - SALES RETURN TAXABLE-ART/TECH</v>
      </c>
      <c r="C82" s="11"/>
      <c r="D82" s="2">
        <f>-164.44</f>
        <v>-164.44</v>
      </c>
      <c r="E82" s="2"/>
      <c r="F82" s="19"/>
      <c r="G82" s="2"/>
      <c r="H82" s="2">
        <f>-858.36</f>
        <v>-858.36</v>
      </c>
      <c r="I82" s="2"/>
      <c r="J82" s="19"/>
      <c r="K82" s="2"/>
      <c r="L82" s="2">
        <f t="shared" si="0"/>
        <v>693.92000000000007</v>
      </c>
      <c r="M82" s="2"/>
      <c r="N82" s="19">
        <f t="shared" si="1"/>
        <v>-0.80842536930891473</v>
      </c>
      <c r="O82" s="11"/>
      <c r="P82" s="2">
        <f>-164.44</f>
        <v>-164.44</v>
      </c>
      <c r="Q82" s="2"/>
      <c r="R82" s="19"/>
      <c r="S82" s="2"/>
      <c r="T82" s="2">
        <f>-868.73</f>
        <v>-868.73</v>
      </c>
      <c r="U82" s="2"/>
      <c r="V82" s="19"/>
      <c r="W82" s="2"/>
      <c r="X82" s="2">
        <f t="shared" si="2"/>
        <v>704.29</v>
      </c>
      <c r="Y82" s="2"/>
      <c r="Z82" s="19">
        <f t="shared" si="3"/>
        <v>-0.81071218905758979</v>
      </c>
    </row>
    <row r="83" spans="1:26" s="24" customFormat="1" hidden="1" outlineLevel="1" x14ac:dyDescent="0.25">
      <c r="A83" s="44"/>
      <c r="B83" s="11" t="str">
        <f>CONCATENATE("          ", "4240", " - ", "SALES RETURN TAXABLE-LOGO CLOT")</f>
        <v xml:space="preserve">          4240 - SALES RETURN TAXABLE-LOGO CLOT</v>
      </c>
      <c r="C83" s="11"/>
      <c r="D83" s="2">
        <f>-4788.72</f>
        <v>-4788.72</v>
      </c>
      <c r="E83" s="2"/>
      <c r="F83" s="19"/>
      <c r="G83" s="2"/>
      <c r="H83" s="2">
        <f>-6807.65</f>
        <v>-6807.65</v>
      </c>
      <c r="I83" s="2"/>
      <c r="J83" s="19"/>
      <c r="K83" s="2"/>
      <c r="L83" s="2">
        <f t="shared" si="0"/>
        <v>2018.9299999999994</v>
      </c>
      <c r="M83" s="2"/>
      <c r="N83" s="19">
        <f t="shared" si="1"/>
        <v>-0.29656783177748552</v>
      </c>
      <c r="O83" s="11"/>
      <c r="P83" s="2">
        <f>-8156.82</f>
        <v>-8156.82</v>
      </c>
      <c r="Q83" s="2"/>
      <c r="R83" s="19"/>
      <c r="S83" s="2"/>
      <c r="T83" s="2">
        <f>-11254.49</f>
        <v>-11254.49</v>
      </c>
      <c r="U83" s="2"/>
      <c r="V83" s="19"/>
      <c r="W83" s="2"/>
      <c r="X83" s="2">
        <f t="shared" si="2"/>
        <v>3097.67</v>
      </c>
      <c r="Y83" s="2"/>
      <c r="Z83" s="19">
        <f t="shared" si="3"/>
        <v>-0.27523859366350678</v>
      </c>
    </row>
    <row r="84" spans="1:26" s="24" customFormat="1" hidden="1" outlineLevel="1" x14ac:dyDescent="0.25">
      <c r="A84" s="44"/>
      <c r="B84" s="11" t="str">
        <f>CONCATENATE("          ", "4241", " - ", "SALES RETURN TAXABLE-LOGO GIFT")</f>
        <v xml:space="preserve">          4241 - SALES RETURN TAXABLE-LOGO GIFT</v>
      </c>
      <c r="C84" s="11"/>
      <c r="D84" s="2">
        <f>-986.21</f>
        <v>-986.21</v>
      </c>
      <c r="E84" s="2"/>
      <c r="F84" s="19"/>
      <c r="G84" s="2"/>
      <c r="H84" s="2">
        <f>-971.11</f>
        <v>-971.11</v>
      </c>
      <c r="I84" s="2"/>
      <c r="J84" s="19"/>
      <c r="K84" s="2"/>
      <c r="L84" s="2">
        <f t="shared" si="0"/>
        <v>-15.100000000000023</v>
      </c>
      <c r="M84" s="2"/>
      <c r="N84" s="19">
        <f t="shared" si="1"/>
        <v>1.5549216875534205E-2</v>
      </c>
      <c r="O84" s="11"/>
      <c r="P84" s="2">
        <f>-1328.19</f>
        <v>-1328.19</v>
      </c>
      <c r="Q84" s="2"/>
      <c r="R84" s="19"/>
      <c r="S84" s="2"/>
      <c r="T84" s="2">
        <f>-1690.01</f>
        <v>-1690.01</v>
      </c>
      <c r="U84" s="2"/>
      <c r="V84" s="19"/>
      <c r="W84" s="2"/>
      <c r="X84" s="2">
        <f t="shared" si="2"/>
        <v>361.81999999999994</v>
      </c>
      <c r="Y84" s="2"/>
      <c r="Z84" s="19">
        <f t="shared" si="3"/>
        <v>-0.21409340773131516</v>
      </c>
    </row>
    <row r="85" spans="1:26" s="24" customFormat="1" hidden="1" outlineLevel="1" x14ac:dyDescent="0.25">
      <c r="A85" s="44"/>
      <c r="B85" s="11" t="str">
        <f>CONCATENATE("          ", "4242", " - ", "SALES RETURN TAXABLE-EVERYDAY")</f>
        <v xml:space="preserve">          4242 - SALES RETURN TAXABLE-EVERYDAY</v>
      </c>
      <c r="C85" s="11"/>
      <c r="D85" s="2">
        <f>-470.53</f>
        <v>-470.53</v>
      </c>
      <c r="E85" s="2"/>
      <c r="F85" s="19"/>
      <c r="G85" s="2"/>
      <c r="H85" s="2">
        <f>-450.83</f>
        <v>-450.83</v>
      </c>
      <c r="I85" s="2"/>
      <c r="J85" s="19"/>
      <c r="K85" s="2"/>
      <c r="L85" s="2">
        <f t="shared" si="0"/>
        <v>-19.699999999999989</v>
      </c>
      <c r="M85" s="2"/>
      <c r="N85" s="19">
        <f t="shared" si="1"/>
        <v>4.3697180755495398E-2</v>
      </c>
      <c r="O85" s="11"/>
      <c r="P85" s="2">
        <f>-649.49</f>
        <v>-649.49</v>
      </c>
      <c r="Q85" s="2"/>
      <c r="R85" s="19"/>
      <c r="S85" s="2"/>
      <c r="T85" s="2">
        <f>-824.81</f>
        <v>-824.81</v>
      </c>
      <c r="U85" s="2"/>
      <c r="V85" s="19"/>
      <c r="W85" s="2"/>
      <c r="X85" s="2">
        <f t="shared" si="2"/>
        <v>175.31999999999994</v>
      </c>
      <c r="Y85" s="2"/>
      <c r="Z85" s="19">
        <f t="shared" si="3"/>
        <v>-0.21255804367066347</v>
      </c>
    </row>
    <row r="86" spans="1:26" s="24" customFormat="1" hidden="1" outlineLevel="1" x14ac:dyDescent="0.25">
      <c r="A86" s="44"/>
      <c r="B86" s="11" t="str">
        <f>CONCATENATE("          ", "4243", " - ", "SALES RETURN TAXABLE-CARDS")</f>
        <v xml:space="preserve">          4243 - SALES RETURN TAXABLE-CARDS</v>
      </c>
      <c r="C86" s="11"/>
      <c r="D86" s="2">
        <f>-93.43</f>
        <v>-93.43</v>
      </c>
      <c r="E86" s="2"/>
      <c r="F86" s="19"/>
      <c r="G86" s="2"/>
      <c r="H86" s="2">
        <f>0</f>
        <v>0</v>
      </c>
      <c r="I86" s="2"/>
      <c r="J86" s="19"/>
      <c r="K86" s="2"/>
      <c r="L86" s="2">
        <f t="shared" si="0"/>
        <v>-93.43</v>
      </c>
      <c r="M86" s="2"/>
      <c r="N86" s="19">
        <f t="shared" si="1"/>
        <v>0</v>
      </c>
      <c r="O86" s="11"/>
      <c r="P86" s="2">
        <f>-93.43</f>
        <v>-93.43</v>
      </c>
      <c r="Q86" s="2"/>
      <c r="R86" s="19"/>
      <c r="S86" s="2"/>
      <c r="T86" s="2">
        <f>0</f>
        <v>0</v>
      </c>
      <c r="U86" s="2"/>
      <c r="V86" s="19"/>
      <c r="W86" s="2"/>
      <c r="X86" s="2">
        <f t="shared" si="2"/>
        <v>-93.43</v>
      </c>
      <c r="Y86" s="2"/>
      <c r="Z86" s="19">
        <f t="shared" si="3"/>
        <v>0</v>
      </c>
    </row>
    <row r="87" spans="1:26" s="24" customFormat="1" hidden="1" outlineLevel="1" x14ac:dyDescent="0.25">
      <c r="A87" s="44"/>
      <c r="B87" s="11" t="str">
        <f>CONCATENATE("          ", "4244", " - ", "SALES RETURN TAXABLE-ACCESSORI")</f>
        <v xml:space="preserve">          4244 - SALES RETURN TAXABLE-ACCESSORI</v>
      </c>
      <c r="C87" s="11"/>
      <c r="D87" s="2">
        <f>-350.99</f>
        <v>-350.99</v>
      </c>
      <c r="E87" s="2"/>
      <c r="F87" s="19"/>
      <c r="G87" s="2"/>
      <c r="H87" s="2">
        <f>-443.68</f>
        <v>-443.68</v>
      </c>
      <c r="I87" s="2"/>
      <c r="J87" s="19"/>
      <c r="K87" s="2"/>
      <c r="L87" s="2">
        <f t="shared" si="0"/>
        <v>92.69</v>
      </c>
      <c r="M87" s="2"/>
      <c r="N87" s="19">
        <f t="shared" si="1"/>
        <v>-0.20891182834475297</v>
      </c>
      <c r="O87" s="11"/>
      <c r="P87" s="2">
        <f>-350.99</f>
        <v>-350.99</v>
      </c>
      <c r="Q87" s="2"/>
      <c r="R87" s="19"/>
      <c r="S87" s="2"/>
      <c r="T87" s="2">
        <f>-550.47</f>
        <v>-550.47</v>
      </c>
      <c r="U87" s="2"/>
      <c r="V87" s="19"/>
      <c r="W87" s="2"/>
      <c r="X87" s="2">
        <f t="shared" si="2"/>
        <v>199.48000000000002</v>
      </c>
      <c r="Y87" s="2"/>
      <c r="Z87" s="19">
        <f t="shared" si="3"/>
        <v>-0.36238123785129073</v>
      </c>
    </row>
    <row r="88" spans="1:26" s="24" customFormat="1" hidden="1" outlineLevel="1" x14ac:dyDescent="0.25">
      <c r="A88" s="44"/>
      <c r="B88" s="11" t="str">
        <f>CONCATENATE("          ", "4245", " - ", "SALES RETURN TAXABLE-SPECIAL O")</f>
        <v xml:space="preserve">          4245 - SALES RETURN TAXABLE-SPECIAL O</v>
      </c>
      <c r="C88" s="11"/>
      <c r="D88" s="2">
        <f>-57.96</f>
        <v>-57.96</v>
      </c>
      <c r="E88" s="2"/>
      <c r="F88" s="19"/>
      <c r="G88" s="2"/>
      <c r="H88" s="2">
        <f>-19.98</f>
        <v>-19.98</v>
      </c>
      <c r="I88" s="2"/>
      <c r="J88" s="19"/>
      <c r="K88" s="2"/>
      <c r="L88" s="2">
        <f t="shared" si="0"/>
        <v>-37.980000000000004</v>
      </c>
      <c r="M88" s="2"/>
      <c r="N88" s="19">
        <f t="shared" si="1"/>
        <v>1.900900900900901</v>
      </c>
      <c r="O88" s="11"/>
      <c r="P88" s="2">
        <f>-1178.96</f>
        <v>-1178.96</v>
      </c>
      <c r="Q88" s="2"/>
      <c r="R88" s="19"/>
      <c r="S88" s="2"/>
      <c r="T88" s="2">
        <f>-19.98</f>
        <v>-19.98</v>
      </c>
      <c r="U88" s="2"/>
      <c r="V88" s="19"/>
      <c r="W88" s="2"/>
      <c r="X88" s="2">
        <f t="shared" si="2"/>
        <v>-1158.98</v>
      </c>
      <c r="Y88" s="2"/>
      <c r="Z88" s="19">
        <f t="shared" si="3"/>
        <v>58.007007007007005</v>
      </c>
    </row>
    <row r="89" spans="1:26" s="24" customFormat="1" hidden="1" outlineLevel="1" x14ac:dyDescent="0.25">
      <c r="A89" s="44"/>
      <c r="B89" s="11" t="str">
        <f>CONCATENATE("          ", "4292", " - ", "SALES RETURN TAXABLE-GRAD MERC")</f>
        <v xml:space="preserve">          4292 - SALES RETURN TAXABLE-GRAD MERC</v>
      </c>
      <c r="C89" s="11"/>
      <c r="D89" s="2">
        <f t="shared" ref="D89:D90" si="16">0</f>
        <v>0</v>
      </c>
      <c r="E89" s="2"/>
      <c r="F89" s="19"/>
      <c r="G89" s="2"/>
      <c r="H89" s="2">
        <f>-359.2</f>
        <v>-359.2</v>
      </c>
      <c r="I89" s="2"/>
      <c r="J89" s="19"/>
      <c r="K89" s="2"/>
      <c r="L89" s="2">
        <f t="shared" si="0"/>
        <v>359.2</v>
      </c>
      <c r="M89" s="2"/>
      <c r="N89" s="19">
        <f t="shared" si="1"/>
        <v>-1</v>
      </c>
      <c r="O89" s="11"/>
      <c r="P89" s="2">
        <f t="shared" ref="P89:P90" si="17">0</f>
        <v>0</v>
      </c>
      <c r="Q89" s="2"/>
      <c r="R89" s="19"/>
      <c r="S89" s="2"/>
      <c r="T89" s="2">
        <f>-369.15</f>
        <v>-369.15</v>
      </c>
      <c r="U89" s="2"/>
      <c r="V89" s="19"/>
      <c r="W89" s="2"/>
      <c r="X89" s="2">
        <f t="shared" si="2"/>
        <v>369.15</v>
      </c>
      <c r="Y89" s="2"/>
      <c r="Z89" s="19">
        <f t="shared" si="3"/>
        <v>-1</v>
      </c>
    </row>
    <row r="90" spans="1:26" s="24" customFormat="1" hidden="1" outlineLevel="1" x14ac:dyDescent="0.25">
      <c r="A90" s="44"/>
      <c r="B90" s="11" t="str">
        <f>CONCATENATE("          ", "4295", " - ", "SALES RETURN TAXABLE-CUSTOMER")</f>
        <v xml:space="preserve">          4295 - SALES RETURN TAXABLE-CUSTOMER</v>
      </c>
      <c r="C90" s="11"/>
      <c r="D90" s="2">
        <f t="shared" si="16"/>
        <v>0</v>
      </c>
      <c r="E90" s="2"/>
      <c r="F90" s="19"/>
      <c r="G90" s="2"/>
      <c r="H90" s="2">
        <f>--0.99</f>
        <v>0.99</v>
      </c>
      <c r="I90" s="2"/>
      <c r="J90" s="19"/>
      <c r="K90" s="2"/>
      <c r="L90" s="2">
        <f t="shared" si="0"/>
        <v>-0.99</v>
      </c>
      <c r="M90" s="2"/>
      <c r="N90" s="19">
        <f t="shared" si="1"/>
        <v>-1</v>
      </c>
      <c r="O90" s="11"/>
      <c r="P90" s="2">
        <f t="shared" si="17"/>
        <v>0</v>
      </c>
      <c r="Q90" s="2"/>
      <c r="R90" s="19"/>
      <c r="S90" s="2"/>
      <c r="T90" s="2">
        <f>--0.99</f>
        <v>0.99</v>
      </c>
      <c r="U90" s="2"/>
      <c r="V90" s="19"/>
      <c r="W90" s="2"/>
      <c r="X90" s="2">
        <f t="shared" si="2"/>
        <v>-0.99</v>
      </c>
      <c r="Y90" s="2"/>
      <c r="Z90" s="19">
        <f t="shared" si="3"/>
        <v>-1</v>
      </c>
    </row>
    <row r="91" spans="1:26" s="24" customFormat="1" hidden="1" outlineLevel="1" x14ac:dyDescent="0.25">
      <c r="A91" s="44"/>
      <c r="B91" s="11" t="str">
        <f>CONCATENATE("          ", "4301", " - ", "SALES RETURN NON TAXABLE-NEW T")</f>
        <v xml:space="preserve">          4301 - SALES RETURN NON TAXABLE-NEW T</v>
      </c>
      <c r="C91" s="11"/>
      <c r="D91" s="2">
        <f>-20.25</f>
        <v>-20.25</v>
      </c>
      <c r="E91" s="2"/>
      <c r="F91" s="19"/>
      <c r="G91" s="2"/>
      <c r="H91" s="2">
        <f>-2665.19</f>
        <v>-2665.19</v>
      </c>
      <c r="I91" s="2"/>
      <c r="J91" s="19"/>
      <c r="K91" s="2"/>
      <c r="L91" s="2">
        <f t="shared" si="0"/>
        <v>2644.94</v>
      </c>
      <c r="M91" s="2"/>
      <c r="N91" s="19">
        <f t="shared" si="1"/>
        <v>-0.99240204263110698</v>
      </c>
      <c r="O91" s="11"/>
      <c r="P91" s="2">
        <f>-20.25</f>
        <v>-20.25</v>
      </c>
      <c r="Q91" s="2"/>
      <c r="R91" s="19"/>
      <c r="S91" s="2"/>
      <c r="T91" s="2">
        <f>-2919.78</f>
        <v>-2919.78</v>
      </c>
      <c r="U91" s="2"/>
      <c r="V91" s="19"/>
      <c r="W91" s="2"/>
      <c r="X91" s="2">
        <f t="shared" si="2"/>
        <v>2899.53</v>
      </c>
      <c r="Y91" s="2"/>
      <c r="Z91" s="19">
        <f t="shared" si="3"/>
        <v>-0.99306454595894211</v>
      </c>
    </row>
    <row r="92" spans="1:26" s="24" customFormat="1" hidden="1" outlineLevel="1" x14ac:dyDescent="0.25">
      <c r="A92" s="44"/>
      <c r="B92" s="11" t="str">
        <f>CONCATENATE("          ", "4302", " - ", "SALES RETURN NON TAXABLE-TEXT")</f>
        <v xml:space="preserve">          4302 - SALES RETURN NON TAXABLE-TEXT</v>
      </c>
      <c r="C92" s="11"/>
      <c r="D92" s="2">
        <f>-346.17</f>
        <v>-346.17</v>
      </c>
      <c r="E92" s="2"/>
      <c r="F92" s="19"/>
      <c r="G92" s="2"/>
      <c r="H92" s="2">
        <f>-250.25</f>
        <v>-250.25</v>
      </c>
      <c r="I92" s="2"/>
      <c r="J92" s="19"/>
      <c r="K92" s="2"/>
      <c r="L92" s="2">
        <f t="shared" si="0"/>
        <v>-95.920000000000016</v>
      </c>
      <c r="M92" s="2"/>
      <c r="N92" s="19">
        <f t="shared" si="1"/>
        <v>0.38329670329670334</v>
      </c>
      <c r="O92" s="11"/>
      <c r="P92" s="2">
        <f>-409.84</f>
        <v>-409.84</v>
      </c>
      <c r="Q92" s="2"/>
      <c r="R92" s="19"/>
      <c r="S92" s="2"/>
      <c r="T92" s="2">
        <f>-250.25</f>
        <v>-250.25</v>
      </c>
      <c r="U92" s="2"/>
      <c r="V92" s="19"/>
      <c r="W92" s="2"/>
      <c r="X92" s="2">
        <f t="shared" si="2"/>
        <v>-159.58999999999997</v>
      </c>
      <c r="Y92" s="2"/>
      <c r="Z92" s="19">
        <f t="shared" si="3"/>
        <v>0.63772227772227763</v>
      </c>
    </row>
    <row r="93" spans="1:26" s="24" customFormat="1" hidden="1" outlineLevel="1" x14ac:dyDescent="0.25">
      <c r="A93" s="44"/>
      <c r="B93" s="11" t="str">
        <f>CONCATENATE("          ", "4304", " - ", "SALES RETURN NON TAXABLE-DIGIT")</f>
        <v xml:space="preserve">          4304 - SALES RETURN NON TAXABLE-DIGIT</v>
      </c>
      <c r="C93" s="11"/>
      <c r="D93" s="2">
        <f>-5500.68</f>
        <v>-5500.68</v>
      </c>
      <c r="E93" s="2"/>
      <c r="F93" s="19"/>
      <c r="G93" s="2"/>
      <c r="H93" s="2">
        <f>-8466.55</f>
        <v>-8466.5499999999993</v>
      </c>
      <c r="I93" s="2"/>
      <c r="J93" s="19"/>
      <c r="K93" s="2"/>
      <c r="L93" s="2">
        <f t="shared" si="0"/>
        <v>2965.869999999999</v>
      </c>
      <c r="M93" s="2"/>
      <c r="N93" s="19">
        <f t="shared" si="1"/>
        <v>-0.35030443332880562</v>
      </c>
      <c r="O93" s="11"/>
      <c r="P93" s="2">
        <f>-5952.73</f>
        <v>-5952.73</v>
      </c>
      <c r="Q93" s="2"/>
      <c r="R93" s="19"/>
      <c r="S93" s="2"/>
      <c r="T93" s="2">
        <f>-8466.55</f>
        <v>-8466.5499999999993</v>
      </c>
      <c r="U93" s="2"/>
      <c r="V93" s="19"/>
      <c r="W93" s="2"/>
      <c r="X93" s="2">
        <f t="shared" si="2"/>
        <v>2513.8199999999997</v>
      </c>
      <c r="Y93" s="2"/>
      <c r="Z93" s="19">
        <f t="shared" si="3"/>
        <v>-0.29691196532235681</v>
      </c>
    </row>
    <row r="94" spans="1:26" s="24" customFormat="1" hidden="1" outlineLevel="1" x14ac:dyDescent="0.25">
      <c r="A94" s="44"/>
      <c r="B94" s="11" t="str">
        <f>CONCATENATE("          ", "4311", " - ", "SALES RETURN NON TAXABLE-NO VA")</f>
        <v xml:space="preserve">          4311 - SALES RETURN NON TAXABLE-NO VA</v>
      </c>
      <c r="C94" s="11"/>
      <c r="D94" s="2">
        <f t="shared" ref="D94:D95" si="18">0</f>
        <v>0</v>
      </c>
      <c r="E94" s="2"/>
      <c r="F94" s="19"/>
      <c r="G94" s="2"/>
      <c r="H94" s="2">
        <f>-79.06</f>
        <v>-79.06</v>
      </c>
      <c r="I94" s="2"/>
      <c r="J94" s="19"/>
      <c r="K94" s="2"/>
      <c r="L94" s="2">
        <f t="shared" si="0"/>
        <v>79.06</v>
      </c>
      <c r="M94" s="2"/>
      <c r="N94" s="19">
        <f t="shared" si="1"/>
        <v>-1</v>
      </c>
      <c r="O94" s="11"/>
      <c r="P94" s="2">
        <f t="shared" ref="P94:P95" si="19">0</f>
        <v>0</v>
      </c>
      <c r="Q94" s="2"/>
      <c r="R94" s="19"/>
      <c r="S94" s="2"/>
      <c r="T94" s="2">
        <f>-111.04</f>
        <v>-111.04</v>
      </c>
      <c r="U94" s="2"/>
      <c r="V94" s="19"/>
      <c r="W94" s="2"/>
      <c r="X94" s="2">
        <f t="shared" si="2"/>
        <v>111.04</v>
      </c>
      <c r="Y94" s="2"/>
      <c r="Z94" s="19">
        <f t="shared" si="3"/>
        <v>-1</v>
      </c>
    </row>
    <row r="95" spans="1:26" s="24" customFormat="1" hidden="1" outlineLevel="1" x14ac:dyDescent="0.25">
      <c r="A95" s="44"/>
      <c r="B95" s="11" t="str">
        <f>CONCATENATE("          ", "4327", " - ", "SALES RETURN NON TAXABLE-SCHOO")</f>
        <v xml:space="preserve">          4327 - SALES RETURN NON TAXABLE-SCHOO</v>
      </c>
      <c r="C95" s="11"/>
      <c r="D95" s="2">
        <f t="shared" si="18"/>
        <v>0</v>
      </c>
      <c r="E95" s="2"/>
      <c r="F95" s="19"/>
      <c r="G95" s="2"/>
      <c r="H95" s="2">
        <f>-13.58</f>
        <v>-13.58</v>
      </c>
      <c r="I95" s="2"/>
      <c r="J95" s="19"/>
      <c r="K95" s="2"/>
      <c r="L95" s="2">
        <f t="shared" si="0"/>
        <v>13.58</v>
      </c>
      <c r="M95" s="2"/>
      <c r="N95" s="19">
        <f t="shared" si="1"/>
        <v>-1</v>
      </c>
      <c r="O95" s="11"/>
      <c r="P95" s="2">
        <f t="shared" si="19"/>
        <v>0</v>
      </c>
      <c r="Q95" s="2"/>
      <c r="R95" s="19"/>
      <c r="S95" s="2"/>
      <c r="T95" s="2">
        <f>-13.58</f>
        <v>-13.58</v>
      </c>
      <c r="U95" s="2"/>
      <c r="V95" s="19"/>
      <c r="W95" s="2"/>
      <c r="X95" s="2">
        <f t="shared" si="2"/>
        <v>13.58</v>
      </c>
      <c r="Y95" s="2"/>
      <c r="Z95" s="19">
        <f t="shared" si="3"/>
        <v>-1</v>
      </c>
    </row>
    <row r="96" spans="1:26" s="24" customFormat="1" hidden="1" outlineLevel="1" x14ac:dyDescent="0.25">
      <c r="A96" s="44"/>
      <c r="B96" s="11" t="str">
        <f>CONCATENATE("          ", "4340", " - ", "SALES RETURN NON TAXABLE-LOGO")</f>
        <v xml:space="preserve">          4340 - SALES RETURN NON TAXABLE-LOGO</v>
      </c>
      <c r="C96" s="11"/>
      <c r="D96" s="2">
        <f>-69.9</f>
        <v>-69.900000000000006</v>
      </c>
      <c r="E96" s="2"/>
      <c r="F96" s="19"/>
      <c r="G96" s="2"/>
      <c r="H96" s="2">
        <f>-44.95</f>
        <v>-44.95</v>
      </c>
      <c r="I96" s="2"/>
      <c r="J96" s="19"/>
      <c r="K96" s="2"/>
      <c r="L96" s="2">
        <f t="shared" si="0"/>
        <v>-24.950000000000003</v>
      </c>
      <c r="M96" s="2"/>
      <c r="N96" s="19">
        <f t="shared" si="1"/>
        <v>0.55506117908787544</v>
      </c>
      <c r="O96" s="11"/>
      <c r="P96" s="2">
        <f>-504.14</f>
        <v>-504.14</v>
      </c>
      <c r="Q96" s="2"/>
      <c r="R96" s="19"/>
      <c r="S96" s="2"/>
      <c r="T96" s="2">
        <f>-268.5</f>
        <v>-268.5</v>
      </c>
      <c r="U96" s="2"/>
      <c r="V96" s="19"/>
      <c r="W96" s="2"/>
      <c r="X96" s="2">
        <f t="shared" si="2"/>
        <v>-235.64</v>
      </c>
      <c r="Y96" s="2"/>
      <c r="Z96" s="19">
        <f t="shared" si="3"/>
        <v>0.87761638733705771</v>
      </c>
    </row>
    <row r="97" spans="1:26" s="24" customFormat="1" hidden="1" outlineLevel="1" x14ac:dyDescent="0.25">
      <c r="A97" s="44"/>
      <c r="B97" s="11" t="str">
        <f>CONCATENATE("          ", "4341", " - ", "SALES RETURN NON TAXABLE-LOGO")</f>
        <v xml:space="preserve">          4341 - SALES RETURN NON TAXABLE-LOGO</v>
      </c>
      <c r="C97" s="11"/>
      <c r="D97" s="2">
        <f>0</f>
        <v>0</v>
      </c>
      <c r="E97" s="2"/>
      <c r="F97" s="19"/>
      <c r="G97" s="2"/>
      <c r="H97" s="2">
        <f>-3.95</f>
        <v>-3.95</v>
      </c>
      <c r="I97" s="2"/>
      <c r="J97" s="19"/>
      <c r="K97" s="2"/>
      <c r="L97" s="2">
        <f t="shared" si="0"/>
        <v>3.95</v>
      </c>
      <c r="M97" s="2"/>
      <c r="N97" s="19">
        <f t="shared" si="1"/>
        <v>-1</v>
      </c>
      <c r="O97" s="11"/>
      <c r="P97" s="2">
        <f>-16.95</f>
        <v>-16.95</v>
      </c>
      <c r="Q97" s="2"/>
      <c r="R97" s="19"/>
      <c r="S97" s="2"/>
      <c r="T97" s="2">
        <f>-3.95</f>
        <v>-3.95</v>
      </c>
      <c r="U97" s="2"/>
      <c r="V97" s="19"/>
      <c r="W97" s="2"/>
      <c r="X97" s="2">
        <f t="shared" si="2"/>
        <v>-13</v>
      </c>
      <c r="Y97" s="2"/>
      <c r="Z97" s="19">
        <f t="shared" si="3"/>
        <v>3.2911392405063289</v>
      </c>
    </row>
    <row r="98" spans="1:26" s="24" customFormat="1" hidden="1" outlineLevel="1" x14ac:dyDescent="0.25">
      <c r="A98" s="44"/>
      <c r="B98" s="11" t="str">
        <f>CONCATENATE("          ", "4342", " - ", "SALES RETURN NON TAXABLE-EVERY")</f>
        <v xml:space="preserve">          4342 - SALES RETURN NON TAXABLE-EVERY</v>
      </c>
      <c r="C98" s="11"/>
      <c r="D98" s="2">
        <f>-13.9</f>
        <v>-13.9</v>
      </c>
      <c r="E98" s="2"/>
      <c r="F98" s="19"/>
      <c r="G98" s="2"/>
      <c r="H98" s="2">
        <f>0</f>
        <v>0</v>
      </c>
      <c r="I98" s="2"/>
      <c r="J98" s="19"/>
      <c r="K98" s="2"/>
      <c r="L98" s="2">
        <f t="shared" si="0"/>
        <v>-13.9</v>
      </c>
      <c r="M98" s="2"/>
      <c r="N98" s="19">
        <f t="shared" si="1"/>
        <v>0</v>
      </c>
      <c r="O98" s="11"/>
      <c r="P98" s="2">
        <f>-93.75</f>
        <v>-93.75</v>
      </c>
      <c r="Q98" s="2"/>
      <c r="R98" s="19"/>
      <c r="S98" s="2"/>
      <c r="T98" s="2">
        <f>0</f>
        <v>0</v>
      </c>
      <c r="U98" s="2"/>
      <c r="V98" s="19"/>
      <c r="W98" s="2"/>
      <c r="X98" s="2">
        <f t="shared" si="2"/>
        <v>-93.75</v>
      </c>
      <c r="Y98" s="2"/>
      <c r="Z98" s="19">
        <f t="shared" si="3"/>
        <v>0</v>
      </c>
    </row>
    <row r="99" spans="1:26" s="24" customFormat="1" hidden="1" outlineLevel="1" x14ac:dyDescent="0.25">
      <c r="A99" s="44"/>
      <c r="B99" s="11" t="str">
        <f>CONCATENATE("          ", "4346", " - ", "SALES RETURN NON TAXABLE-COIN-")</f>
        <v xml:space="preserve">          4346 - SALES RETURN NON TAXABLE-COIN-</v>
      </c>
      <c r="C99" s="11"/>
      <c r="D99" s="2">
        <f>0</f>
        <v>0</v>
      </c>
      <c r="E99" s="2"/>
      <c r="F99" s="19"/>
      <c r="G99" s="2"/>
      <c r="H99" s="2">
        <f>-8.15</f>
        <v>-8.15</v>
      </c>
      <c r="I99" s="2"/>
      <c r="J99" s="19"/>
      <c r="K99" s="2"/>
      <c r="L99" s="2">
        <f t="shared" si="0"/>
        <v>8.15</v>
      </c>
      <c r="M99" s="2"/>
      <c r="N99" s="19">
        <f t="shared" si="1"/>
        <v>-1</v>
      </c>
      <c r="O99" s="11"/>
      <c r="P99" s="2">
        <f>0</f>
        <v>0</v>
      </c>
      <c r="Q99" s="2"/>
      <c r="R99" s="19"/>
      <c r="S99" s="2"/>
      <c r="T99" s="2">
        <f>-8.15</f>
        <v>-8.15</v>
      </c>
      <c r="U99" s="2"/>
      <c r="V99" s="19"/>
      <c r="W99" s="2"/>
      <c r="X99" s="2">
        <f t="shared" si="2"/>
        <v>8.15</v>
      </c>
      <c r="Y99" s="2"/>
      <c r="Z99" s="19">
        <f t="shared" si="3"/>
        <v>-1</v>
      </c>
    </row>
    <row r="100" spans="1:26" x14ac:dyDescent="0.25">
      <c r="A100" s="9"/>
      <c r="B100" s="10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collapsed="1" x14ac:dyDescent="0.25">
      <c r="A101" s="10"/>
      <c r="B101" s="25" t="s">
        <v>8</v>
      </c>
      <c r="C101" s="10"/>
      <c r="D101" s="4">
        <f>SUM(OSRRefD16x_0)</f>
        <v>1079380.29</v>
      </c>
      <c r="E101" s="4"/>
      <c r="F101" s="12">
        <f t="shared" ref="F101:F150" si="20">IF(D$12=0,0,D101/D$12)</f>
        <v>0.67549373194641338</v>
      </c>
      <c r="G101" s="4"/>
      <c r="H101" s="4">
        <f>SUM(OSRRefH16x_0)</f>
        <v>1836476.3300000005</v>
      </c>
      <c r="I101" s="4"/>
      <c r="J101" s="12">
        <f t="shared" ref="J101:J150" si="21">IF(H$12=0,0,H101/H$12)</f>
        <v>0.64853647374291301</v>
      </c>
      <c r="K101" s="4"/>
      <c r="L101" s="4">
        <f t="shared" ref="L101:L150" si="22">+D101-H101</f>
        <v>-757096.0400000005</v>
      </c>
      <c r="M101" s="4"/>
      <c r="N101" s="12">
        <f t="shared" ref="N101:N150" si="23">IF(H101=0,0,L101/H101)</f>
        <v>-0.41225472260783252</v>
      </c>
      <c r="O101" s="10"/>
      <c r="P101" s="4">
        <f>SUM(OSRRefP16x_0)</f>
        <v>1220548.6900000002</v>
      </c>
      <c r="Q101" s="4"/>
      <c r="R101" s="12">
        <f t="shared" ref="R101:R150" si="24">IF(P$12=0,0,P101/P$12)</f>
        <v>0.66858119025776541</v>
      </c>
      <c r="S101" s="4"/>
      <c r="T101" s="4">
        <f>SUM(OSRRefT16x_0)</f>
        <v>2055665.0800000015</v>
      </c>
      <c r="U101" s="4"/>
      <c r="V101" s="12">
        <f t="shared" ref="V101:V150" si="25">IF(T$12=0,0,T101/T$12)</f>
        <v>0.63397782178562523</v>
      </c>
      <c r="W101" s="4"/>
      <c r="X101" s="4">
        <f t="shared" ref="X101:X150" si="26">+P101-T101</f>
        <v>-835116.39000000129</v>
      </c>
      <c r="Y101" s="4"/>
      <c r="Z101" s="12">
        <f t="shared" ref="Z101:Z150" si="27">IF(T101=0,0,X101/T101)</f>
        <v>-0.40625119243646474</v>
      </c>
    </row>
    <row r="102" spans="1:26" s="24" customFormat="1" hidden="1" outlineLevel="1" x14ac:dyDescent="0.25">
      <c r="A102" s="44"/>
      <c r="B102" s="11" t="str">
        <f>CONCATENATE("          ", "5001", " - ", "PURCHASES @ COST-NEW TEXT")</f>
        <v xml:space="preserve">          5001 - PURCHASES @ COST-NEW TEXT</v>
      </c>
      <c r="C102" s="11"/>
      <c r="D102" s="2">
        <v>538222.14</v>
      </c>
      <c r="E102" s="2"/>
      <c r="F102" s="19">
        <f t="shared" si="20"/>
        <v>0.33682816458023795</v>
      </c>
      <c r="G102" s="2"/>
      <c r="H102" s="2">
        <v>1483764.14</v>
      </c>
      <c r="I102" s="2"/>
      <c r="J102" s="19">
        <f t="shared" si="21"/>
        <v>0.52397907204270122</v>
      </c>
      <c r="K102" s="2"/>
      <c r="L102" s="2">
        <f t="shared" si="22"/>
        <v>-945541.99999999988</v>
      </c>
      <c r="M102" s="2"/>
      <c r="N102" s="19">
        <f t="shared" si="23"/>
        <v>-0.63725896489181899</v>
      </c>
      <c r="O102" s="11"/>
      <c r="P102" s="2">
        <v>691332.77</v>
      </c>
      <c r="Q102" s="2"/>
      <c r="R102" s="19">
        <f t="shared" si="24"/>
        <v>0.37869205056522404</v>
      </c>
      <c r="S102" s="2"/>
      <c r="T102" s="2">
        <v>1827758.7</v>
      </c>
      <c r="U102" s="2"/>
      <c r="V102" s="19">
        <f t="shared" si="25"/>
        <v>0.56369030667959064</v>
      </c>
      <c r="W102" s="2"/>
      <c r="X102" s="2">
        <f t="shared" si="26"/>
        <v>-1136425.93</v>
      </c>
      <c r="Y102" s="2"/>
      <c r="Z102" s="19">
        <f t="shared" si="27"/>
        <v>-0.62175927818042942</v>
      </c>
    </row>
    <row r="103" spans="1:26" s="24" customFormat="1" hidden="1" outlineLevel="1" x14ac:dyDescent="0.25">
      <c r="A103" s="44"/>
      <c r="B103" s="11" t="str">
        <f>CONCATENATE("          ", "5002", " - ", "PURCHASES @ COST-USED TEXT")</f>
        <v xml:space="preserve">          5002 - PURCHASES @ COST-USED TEXT</v>
      </c>
      <c r="C103" s="11"/>
      <c r="D103" s="2">
        <v>128042.67</v>
      </c>
      <c r="E103" s="2"/>
      <c r="F103" s="19">
        <f t="shared" si="20"/>
        <v>8.0131184354573559E-2</v>
      </c>
      <c r="G103" s="2"/>
      <c r="H103" s="2">
        <v>224687.41999999998</v>
      </c>
      <c r="I103" s="2"/>
      <c r="J103" s="19">
        <f t="shared" si="21"/>
        <v>7.9346509770258145E-2</v>
      </c>
      <c r="K103" s="2"/>
      <c r="L103" s="2">
        <f t="shared" si="22"/>
        <v>-96644.749999999985</v>
      </c>
      <c r="M103" s="2"/>
      <c r="N103" s="19">
        <f t="shared" si="23"/>
        <v>-0.43012977762617949</v>
      </c>
      <c r="O103" s="11"/>
      <c r="P103" s="2">
        <v>188367.52</v>
      </c>
      <c r="Q103" s="2"/>
      <c r="R103" s="19">
        <f t="shared" si="24"/>
        <v>0.10318226692579008</v>
      </c>
      <c r="S103" s="2"/>
      <c r="T103" s="2">
        <v>334980.67</v>
      </c>
      <c r="U103" s="2"/>
      <c r="V103" s="19">
        <f t="shared" si="25"/>
        <v>0.10330978405630609</v>
      </c>
      <c r="W103" s="2"/>
      <c r="X103" s="2">
        <f t="shared" si="26"/>
        <v>-146613.15</v>
      </c>
      <c r="Y103" s="2"/>
      <c r="Z103" s="19">
        <f t="shared" si="27"/>
        <v>-0.4376764486141842</v>
      </c>
    </row>
    <row r="104" spans="1:26" s="24" customFormat="1" hidden="1" outlineLevel="1" x14ac:dyDescent="0.25">
      <c r="A104" s="44"/>
      <c r="B104" s="11" t="str">
        <f>CONCATENATE("          ", "5003", " - ", "PURCHASES @ COST-RENTAL TEXT")</f>
        <v xml:space="preserve">          5003 - PURCHASES @ COST-RENTAL TEXT</v>
      </c>
      <c r="C104" s="11"/>
      <c r="D104" s="2">
        <v>58.8</v>
      </c>
      <c r="E104" s="2"/>
      <c r="F104" s="19">
        <f t="shared" si="20"/>
        <v>3.6797995855982422E-5</v>
      </c>
      <c r="G104" s="2"/>
      <c r="H104" s="2">
        <v>-38374.199999999997</v>
      </c>
      <c r="I104" s="2"/>
      <c r="J104" s="19">
        <f t="shared" si="21"/>
        <v>-1.3551532325333746E-2</v>
      </c>
      <c r="K104" s="2"/>
      <c r="L104" s="2">
        <f t="shared" si="22"/>
        <v>38433</v>
      </c>
      <c r="M104" s="2"/>
      <c r="N104" s="19">
        <f t="shared" si="23"/>
        <v>-1.0015322795002892</v>
      </c>
      <c r="O104" s="11"/>
      <c r="P104" s="2">
        <v>-11867.84</v>
      </c>
      <c r="Q104" s="2"/>
      <c r="R104" s="19">
        <f t="shared" si="24"/>
        <v>-6.500858718703568E-3</v>
      </c>
      <c r="S104" s="2"/>
      <c r="T104" s="2">
        <v>-78.400000000000006</v>
      </c>
      <c r="U104" s="2"/>
      <c r="V104" s="19">
        <f t="shared" si="25"/>
        <v>-2.4178968505897366E-5</v>
      </c>
      <c r="W104" s="2"/>
      <c r="X104" s="2">
        <f t="shared" si="26"/>
        <v>-11789.44</v>
      </c>
      <c r="Y104" s="2"/>
      <c r="Z104" s="19">
        <f t="shared" si="27"/>
        <v>150.37551020408162</v>
      </c>
    </row>
    <row r="105" spans="1:26" s="24" customFormat="1" hidden="1" outlineLevel="1" x14ac:dyDescent="0.25">
      <c r="A105" s="44"/>
      <c r="B105" s="11" t="str">
        <f>CONCATENATE("          ", "5004", " - ", "PURCHASES @ COST-DIGITAL TEXT")</f>
        <v xml:space="preserve">          5004 - PURCHASES @ COST-DIGITAL TEXT</v>
      </c>
      <c r="C105" s="11"/>
      <c r="D105" s="2">
        <v>117504.49</v>
      </c>
      <c r="E105" s="2"/>
      <c r="F105" s="19">
        <f t="shared" si="20"/>
        <v>7.3536220001349129E-2</v>
      </c>
      <c r="G105" s="2"/>
      <c r="H105" s="2">
        <v>169007.92</v>
      </c>
      <c r="I105" s="2"/>
      <c r="J105" s="19">
        <f t="shared" si="21"/>
        <v>5.96837534363562E-2</v>
      </c>
      <c r="K105" s="2"/>
      <c r="L105" s="2">
        <f t="shared" si="22"/>
        <v>-51503.430000000008</v>
      </c>
      <c r="M105" s="2"/>
      <c r="N105" s="19">
        <f t="shared" si="23"/>
        <v>-0.30473974237420354</v>
      </c>
      <c r="O105" s="11"/>
      <c r="P105" s="2">
        <v>122429.97</v>
      </c>
      <c r="Q105" s="2"/>
      <c r="R105" s="19">
        <f t="shared" si="24"/>
        <v>6.706358847988482E-2</v>
      </c>
      <c r="S105" s="2"/>
      <c r="T105" s="2">
        <v>302966.49000000005</v>
      </c>
      <c r="U105" s="2"/>
      <c r="V105" s="19">
        <f t="shared" si="25"/>
        <v>9.3436444133319765E-2</v>
      </c>
      <c r="W105" s="2"/>
      <c r="X105" s="2">
        <f t="shared" si="26"/>
        <v>-180536.52000000005</v>
      </c>
      <c r="Y105" s="2"/>
      <c r="Z105" s="19">
        <f t="shared" si="27"/>
        <v>-0.59589600156769817</v>
      </c>
    </row>
    <row r="106" spans="1:26" s="24" customFormat="1" hidden="1" outlineLevel="1" x14ac:dyDescent="0.25">
      <c r="A106" s="44"/>
      <c r="B106" s="11" t="str">
        <f>CONCATENATE("          ", "5011", " - ", "PURCHASES @ COST-NO VALUE TEXT")</f>
        <v xml:space="preserve">          5011 - PURCHASES @ COST-NO VALUE TEXT</v>
      </c>
      <c r="C106" s="11"/>
      <c r="D106" s="2"/>
      <c r="E106" s="2"/>
      <c r="F106" s="19">
        <f t="shared" si="20"/>
        <v>0</v>
      </c>
      <c r="G106" s="2"/>
      <c r="H106" s="2">
        <v>369</v>
      </c>
      <c r="I106" s="2"/>
      <c r="J106" s="19">
        <f t="shared" si="21"/>
        <v>1.3030930750473373E-4</v>
      </c>
      <c r="K106" s="2"/>
      <c r="L106" s="2">
        <f t="shared" si="22"/>
        <v>-369</v>
      </c>
      <c r="M106" s="2"/>
      <c r="N106" s="19">
        <f t="shared" si="23"/>
        <v>-1</v>
      </c>
      <c r="O106" s="11"/>
      <c r="P106" s="2"/>
      <c r="Q106" s="2"/>
      <c r="R106" s="19">
        <f t="shared" si="24"/>
        <v>0</v>
      </c>
      <c r="S106" s="2"/>
      <c r="T106" s="2">
        <v>657</v>
      </c>
      <c r="U106" s="2"/>
      <c r="V106" s="19">
        <f t="shared" si="25"/>
        <v>2.0262222332110419E-4</v>
      </c>
      <c r="W106" s="2"/>
      <c r="X106" s="2">
        <f t="shared" si="26"/>
        <v>-657</v>
      </c>
      <c r="Y106" s="2"/>
      <c r="Z106" s="19">
        <f t="shared" si="27"/>
        <v>-1</v>
      </c>
    </row>
    <row r="107" spans="1:26" s="24" customFormat="1" hidden="1" outlineLevel="1" x14ac:dyDescent="0.25">
      <c r="A107" s="44"/>
      <c r="B107" s="11" t="str">
        <f>CONCATENATE("          ", "5013", " - ", "PURCHASES @ COST-TRADE BOOKS")</f>
        <v xml:space="preserve">          5013 - PURCHASES @ COST-TRADE BOOKS</v>
      </c>
      <c r="C107" s="11"/>
      <c r="D107" s="2"/>
      <c r="E107" s="2"/>
      <c r="F107" s="19">
        <f t="shared" si="20"/>
        <v>0</v>
      </c>
      <c r="G107" s="2"/>
      <c r="H107" s="2"/>
      <c r="I107" s="2"/>
      <c r="J107" s="19">
        <f t="shared" si="21"/>
        <v>0</v>
      </c>
      <c r="K107" s="2"/>
      <c r="L107" s="2">
        <f t="shared" si="22"/>
        <v>0</v>
      </c>
      <c r="M107" s="2"/>
      <c r="N107" s="19">
        <f t="shared" si="23"/>
        <v>0</v>
      </c>
      <c r="O107" s="11"/>
      <c r="P107" s="2">
        <v>108.54</v>
      </c>
      <c r="Q107" s="2"/>
      <c r="R107" s="19">
        <f t="shared" si="24"/>
        <v>5.9455065566108518E-5</v>
      </c>
      <c r="S107" s="2"/>
      <c r="T107" s="2">
        <v>204.9</v>
      </c>
      <c r="U107" s="2"/>
      <c r="V107" s="19">
        <f t="shared" si="25"/>
        <v>6.3192227638499617E-5</v>
      </c>
      <c r="W107" s="2"/>
      <c r="X107" s="2">
        <f t="shared" si="26"/>
        <v>-96.36</v>
      </c>
      <c r="Y107" s="2"/>
      <c r="Z107" s="19">
        <f t="shared" si="27"/>
        <v>-0.47027818448023423</v>
      </c>
    </row>
    <row r="108" spans="1:26" s="24" customFormat="1" hidden="1" outlineLevel="1" x14ac:dyDescent="0.25">
      <c r="A108" s="44"/>
      <c r="B108" s="11" t="str">
        <f>CONCATENATE("          ", "5014", " - ", "PURCHASES @ COST-REMAINDERS")</f>
        <v xml:space="preserve">          5014 - PURCHASES @ COST-REMAINDERS</v>
      </c>
      <c r="C108" s="11"/>
      <c r="D108" s="2"/>
      <c r="E108" s="2"/>
      <c r="F108" s="19">
        <f t="shared" si="20"/>
        <v>0</v>
      </c>
      <c r="G108" s="2"/>
      <c r="H108" s="2">
        <v>133.84</v>
      </c>
      <c r="I108" s="2"/>
      <c r="J108" s="19">
        <f t="shared" si="21"/>
        <v>4.7264492456459515E-5</v>
      </c>
      <c r="K108" s="2"/>
      <c r="L108" s="2">
        <f t="shared" si="22"/>
        <v>-133.84</v>
      </c>
      <c r="M108" s="2"/>
      <c r="N108" s="19">
        <f t="shared" si="23"/>
        <v>-1</v>
      </c>
      <c r="O108" s="11"/>
      <c r="P108" s="2">
        <v>-12.51</v>
      </c>
      <c r="Q108" s="2"/>
      <c r="R108" s="19">
        <f t="shared" si="24"/>
        <v>-6.8526153513176472E-6</v>
      </c>
      <c r="S108" s="2"/>
      <c r="T108" s="2">
        <v>234.32</v>
      </c>
      <c r="U108" s="2"/>
      <c r="V108" s="19">
        <f t="shared" si="25"/>
        <v>7.2265508932421813E-5</v>
      </c>
      <c r="W108" s="2"/>
      <c r="X108" s="2">
        <f t="shared" si="26"/>
        <v>-246.82999999999998</v>
      </c>
      <c r="Y108" s="2"/>
      <c r="Z108" s="19">
        <f t="shared" si="27"/>
        <v>-1.0533885285080231</v>
      </c>
    </row>
    <row r="109" spans="1:26" s="24" customFormat="1" hidden="1" outlineLevel="1" x14ac:dyDescent="0.25">
      <c r="A109" s="44"/>
      <c r="B109" s="11" t="str">
        <f>CONCATENATE("          ", "5017", " - ", "PURCHASES @ COST-DORM/HOUSEWAR")</f>
        <v xml:space="preserve">          5017 - PURCHASES @ COST-DORM/HOUSEWAR</v>
      </c>
      <c r="C109" s="11"/>
      <c r="D109" s="2"/>
      <c r="E109" s="2"/>
      <c r="F109" s="19">
        <f t="shared" si="20"/>
        <v>0</v>
      </c>
      <c r="G109" s="2"/>
      <c r="H109" s="2">
        <v>139.86000000000001</v>
      </c>
      <c r="I109" s="2"/>
      <c r="J109" s="19">
        <f t="shared" si="21"/>
        <v>4.9390405820086885E-5</v>
      </c>
      <c r="K109" s="2"/>
      <c r="L109" s="2">
        <f t="shared" si="22"/>
        <v>-139.86000000000001</v>
      </c>
      <c r="M109" s="2"/>
      <c r="N109" s="19">
        <f t="shared" si="23"/>
        <v>-1</v>
      </c>
      <c r="O109" s="11"/>
      <c r="P109" s="2"/>
      <c r="Q109" s="2"/>
      <c r="R109" s="19">
        <f t="shared" si="24"/>
        <v>0</v>
      </c>
      <c r="S109" s="2"/>
      <c r="T109" s="2">
        <v>139.86000000000001</v>
      </c>
      <c r="U109" s="2"/>
      <c r="V109" s="19">
        <f t="shared" si="25"/>
        <v>4.3133552745341911E-5</v>
      </c>
      <c r="W109" s="2"/>
      <c r="X109" s="2">
        <f t="shared" si="26"/>
        <v>-139.86000000000001</v>
      </c>
      <c r="Y109" s="2"/>
      <c r="Z109" s="19">
        <f t="shared" si="27"/>
        <v>-1</v>
      </c>
    </row>
    <row r="110" spans="1:26" s="24" customFormat="1" hidden="1" outlineLevel="1" x14ac:dyDescent="0.25">
      <c r="A110" s="44"/>
      <c r="B110" s="11" t="str">
        <f>CONCATENATE("          ", "5018", " - ", "PURCHASES @ COST-STUDY GUIDES")</f>
        <v xml:space="preserve">          5018 - PURCHASES @ COST-STUDY GUIDES</v>
      </c>
      <c r="C110" s="11"/>
      <c r="D110" s="2"/>
      <c r="E110" s="2"/>
      <c r="F110" s="19">
        <f t="shared" si="20"/>
        <v>0</v>
      </c>
      <c r="G110" s="2"/>
      <c r="H110" s="2"/>
      <c r="I110" s="2"/>
      <c r="J110" s="19">
        <f t="shared" si="21"/>
        <v>0</v>
      </c>
      <c r="K110" s="2"/>
      <c r="L110" s="2">
        <f t="shared" si="22"/>
        <v>0</v>
      </c>
      <c r="M110" s="2"/>
      <c r="N110" s="19">
        <f t="shared" si="23"/>
        <v>0</v>
      </c>
      <c r="O110" s="11"/>
      <c r="P110" s="2"/>
      <c r="Q110" s="2"/>
      <c r="R110" s="19">
        <f t="shared" si="24"/>
        <v>0</v>
      </c>
      <c r="S110" s="2"/>
      <c r="T110" s="2">
        <v>503.93</v>
      </c>
      <c r="U110" s="2"/>
      <c r="V110" s="19">
        <f t="shared" si="25"/>
        <v>1.554146377446028E-4</v>
      </c>
      <c r="W110" s="2"/>
      <c r="X110" s="2">
        <f t="shared" si="26"/>
        <v>-503.93</v>
      </c>
      <c r="Y110" s="2"/>
      <c r="Z110" s="19">
        <f t="shared" si="27"/>
        <v>-1</v>
      </c>
    </row>
    <row r="111" spans="1:26" s="24" customFormat="1" hidden="1" outlineLevel="1" x14ac:dyDescent="0.25">
      <c r="A111" s="44"/>
      <c r="B111" s="11" t="str">
        <f>CONCATENATE("          ", "5025", " - ", "PURCHASES @ COST-TEST FORMS")</f>
        <v xml:space="preserve">          5025 - PURCHASES @ COST-TEST FORMS</v>
      </c>
      <c r="C111" s="11"/>
      <c r="D111" s="2"/>
      <c r="E111" s="2"/>
      <c r="F111" s="19">
        <f t="shared" si="20"/>
        <v>0</v>
      </c>
      <c r="G111" s="2"/>
      <c r="H111" s="2">
        <v>878.02</v>
      </c>
      <c r="I111" s="2"/>
      <c r="J111" s="19">
        <f t="shared" si="21"/>
        <v>3.1006552351031517E-4</v>
      </c>
      <c r="K111" s="2"/>
      <c r="L111" s="2">
        <f t="shared" si="22"/>
        <v>-878.02</v>
      </c>
      <c r="M111" s="2"/>
      <c r="N111" s="19">
        <f t="shared" si="23"/>
        <v>-1</v>
      </c>
      <c r="O111" s="11"/>
      <c r="P111" s="2"/>
      <c r="Q111" s="2"/>
      <c r="R111" s="19">
        <f t="shared" si="24"/>
        <v>0</v>
      </c>
      <c r="S111" s="2"/>
      <c r="T111" s="2">
        <v>1757.14</v>
      </c>
      <c r="U111" s="2"/>
      <c r="V111" s="19">
        <f t="shared" si="25"/>
        <v>5.4191113163842473E-4</v>
      </c>
      <c r="W111" s="2"/>
      <c r="X111" s="2">
        <f t="shared" si="26"/>
        <v>-1757.14</v>
      </c>
      <c r="Y111" s="2"/>
      <c r="Z111" s="19">
        <f t="shared" si="27"/>
        <v>-1</v>
      </c>
    </row>
    <row r="112" spans="1:26" s="24" customFormat="1" hidden="1" outlineLevel="1" x14ac:dyDescent="0.25">
      <c r="A112" s="44"/>
      <c r="B112" s="11" t="str">
        <f>CONCATENATE("          ", "5026", " - ", "PURCHASES @ COST-WRITING INSTR")</f>
        <v xml:space="preserve">          5026 - PURCHASES @ COST-WRITING INSTR</v>
      </c>
      <c r="C112" s="11"/>
      <c r="D112" s="2"/>
      <c r="E112" s="2"/>
      <c r="F112" s="19">
        <f t="shared" si="20"/>
        <v>0</v>
      </c>
      <c r="G112" s="2"/>
      <c r="H112" s="2">
        <v>2205.4899999999998</v>
      </c>
      <c r="I112" s="2"/>
      <c r="J112" s="19">
        <f t="shared" si="21"/>
        <v>7.7885060869543399E-4</v>
      </c>
      <c r="K112" s="2"/>
      <c r="L112" s="2">
        <f t="shared" si="22"/>
        <v>-2205.4899999999998</v>
      </c>
      <c r="M112" s="2"/>
      <c r="N112" s="19">
        <f t="shared" si="23"/>
        <v>-1</v>
      </c>
      <c r="O112" s="11"/>
      <c r="P112" s="2"/>
      <c r="Q112" s="2"/>
      <c r="R112" s="19">
        <f t="shared" si="24"/>
        <v>0</v>
      </c>
      <c r="S112" s="2"/>
      <c r="T112" s="2">
        <v>12536.53</v>
      </c>
      <c r="U112" s="2"/>
      <c r="V112" s="19">
        <f t="shared" si="25"/>
        <v>3.8663311740208864E-3</v>
      </c>
      <c r="W112" s="2"/>
      <c r="X112" s="2">
        <f t="shared" si="26"/>
        <v>-12536.53</v>
      </c>
      <c r="Y112" s="2"/>
      <c r="Z112" s="19">
        <f t="shared" si="27"/>
        <v>-1</v>
      </c>
    </row>
    <row r="113" spans="1:26" s="24" customFormat="1" hidden="1" outlineLevel="1" x14ac:dyDescent="0.25">
      <c r="A113" s="44"/>
      <c r="B113" s="11" t="str">
        <f>CONCATENATE("          ", "5027", " - ", "PURCHASES @ COST-SCHOOL SUPPLI")</f>
        <v xml:space="preserve">          5027 - PURCHASES @ COST-SCHOOL SUPPLI</v>
      </c>
      <c r="C113" s="11"/>
      <c r="D113" s="2"/>
      <c r="E113" s="2"/>
      <c r="F113" s="19">
        <f t="shared" si="20"/>
        <v>0</v>
      </c>
      <c r="G113" s="2"/>
      <c r="H113" s="2">
        <v>-588.74</v>
      </c>
      <c r="I113" s="2"/>
      <c r="J113" s="19">
        <f t="shared" si="21"/>
        <v>-2.0790867669468003E-4</v>
      </c>
      <c r="K113" s="2"/>
      <c r="L113" s="2">
        <f t="shared" si="22"/>
        <v>588.74</v>
      </c>
      <c r="M113" s="2"/>
      <c r="N113" s="19">
        <f t="shared" si="23"/>
        <v>-1</v>
      </c>
      <c r="O113" s="11"/>
      <c r="P113" s="2">
        <v>8503.4</v>
      </c>
      <c r="Q113" s="2"/>
      <c r="R113" s="19">
        <f t="shared" si="24"/>
        <v>4.6579160174575925E-3</v>
      </c>
      <c r="S113" s="2"/>
      <c r="T113" s="2">
        <v>49526.729999999996</v>
      </c>
      <c r="U113" s="2"/>
      <c r="V113" s="19">
        <f t="shared" si="25"/>
        <v>1.5274301592730639E-2</v>
      </c>
      <c r="W113" s="2"/>
      <c r="X113" s="2">
        <f t="shared" si="26"/>
        <v>-41023.329999999994</v>
      </c>
      <c r="Y113" s="2"/>
      <c r="Z113" s="19">
        <f t="shared" si="27"/>
        <v>-0.82830685571205687</v>
      </c>
    </row>
    <row r="114" spans="1:26" s="24" customFormat="1" hidden="1" outlineLevel="1" x14ac:dyDescent="0.25">
      <c r="A114" s="44"/>
      <c r="B114" s="11" t="str">
        <f>CONCATENATE("          ", "5028", " - ", "PURCHASES @ COST-ART/TECH")</f>
        <v xml:space="preserve">          5028 - PURCHASES @ COST-ART/TECH</v>
      </c>
      <c r="C114" s="11"/>
      <c r="D114" s="2"/>
      <c r="E114" s="2"/>
      <c r="F114" s="19">
        <f t="shared" si="20"/>
        <v>0</v>
      </c>
      <c r="G114" s="2"/>
      <c r="H114" s="2">
        <v>27987.119999999999</v>
      </c>
      <c r="I114" s="2"/>
      <c r="J114" s="19">
        <f t="shared" si="21"/>
        <v>9.8834206673492769E-3</v>
      </c>
      <c r="K114" s="2"/>
      <c r="L114" s="2">
        <f t="shared" si="22"/>
        <v>-27987.119999999999</v>
      </c>
      <c r="M114" s="2"/>
      <c r="N114" s="19">
        <f t="shared" si="23"/>
        <v>-1</v>
      </c>
      <c r="O114" s="11"/>
      <c r="P114" s="2"/>
      <c r="Q114" s="2"/>
      <c r="R114" s="19">
        <f t="shared" si="24"/>
        <v>0</v>
      </c>
      <c r="S114" s="2"/>
      <c r="T114" s="2">
        <v>56014.77</v>
      </c>
      <c r="U114" s="2"/>
      <c r="V114" s="19">
        <f t="shared" si="25"/>
        <v>1.7275246934886281E-2</v>
      </c>
      <c r="W114" s="2"/>
      <c r="X114" s="2">
        <f t="shared" si="26"/>
        <v>-56014.77</v>
      </c>
      <c r="Y114" s="2"/>
      <c r="Z114" s="19">
        <f t="shared" si="27"/>
        <v>-1</v>
      </c>
    </row>
    <row r="115" spans="1:26" s="24" customFormat="1" hidden="1" outlineLevel="1" x14ac:dyDescent="0.25">
      <c r="A115" s="44"/>
      <c r="B115" s="11" t="str">
        <f>CONCATENATE("          ", "5031", " - ", "PURCHASES @ COST-FOOD")</f>
        <v xml:space="preserve">          5031 - PURCHASES @ COST-FOOD</v>
      </c>
      <c r="C115" s="11"/>
      <c r="D115" s="2"/>
      <c r="E115" s="2"/>
      <c r="F115" s="19">
        <f t="shared" si="20"/>
        <v>0</v>
      </c>
      <c r="G115" s="2"/>
      <c r="H115" s="2">
        <v>2679.04</v>
      </c>
      <c r="I115" s="2"/>
      <c r="J115" s="19">
        <f t="shared" si="21"/>
        <v>9.460808866598423E-4</v>
      </c>
      <c r="K115" s="2"/>
      <c r="L115" s="2">
        <f t="shared" si="22"/>
        <v>-2679.04</v>
      </c>
      <c r="M115" s="2"/>
      <c r="N115" s="19">
        <f t="shared" si="23"/>
        <v>-1</v>
      </c>
      <c r="O115" s="11"/>
      <c r="P115" s="2"/>
      <c r="Q115" s="2"/>
      <c r="R115" s="19">
        <f t="shared" si="24"/>
        <v>0</v>
      </c>
      <c r="S115" s="2"/>
      <c r="T115" s="2">
        <v>2679.04</v>
      </c>
      <c r="U115" s="2"/>
      <c r="V115" s="19">
        <f t="shared" si="25"/>
        <v>8.262298952300928E-4</v>
      </c>
      <c r="W115" s="2"/>
      <c r="X115" s="2">
        <f t="shared" si="26"/>
        <v>-2679.04</v>
      </c>
      <c r="Y115" s="2"/>
      <c r="Z115" s="19">
        <f t="shared" si="27"/>
        <v>-1</v>
      </c>
    </row>
    <row r="116" spans="1:26" s="24" customFormat="1" hidden="1" outlineLevel="1" x14ac:dyDescent="0.25">
      <c r="A116" s="44"/>
      <c r="B116" s="11" t="str">
        <f>CONCATENATE("          ", "5032", " - ", "PURCHASES @ COST-JUICE")</f>
        <v xml:space="preserve">          5032 - PURCHASES @ COST-JUICE</v>
      </c>
      <c r="C116" s="11"/>
      <c r="D116" s="2"/>
      <c r="E116" s="2"/>
      <c r="F116" s="19">
        <f t="shared" si="20"/>
        <v>0</v>
      </c>
      <c r="G116" s="2"/>
      <c r="H116" s="2">
        <v>227.18</v>
      </c>
      <c r="I116" s="2"/>
      <c r="J116" s="19">
        <f t="shared" si="21"/>
        <v>8.0226743845326304E-5</v>
      </c>
      <c r="K116" s="2"/>
      <c r="L116" s="2">
        <f t="shared" si="22"/>
        <v>-227.18</v>
      </c>
      <c r="M116" s="2"/>
      <c r="N116" s="19">
        <f t="shared" si="23"/>
        <v>-1</v>
      </c>
      <c r="O116" s="11"/>
      <c r="P116" s="2"/>
      <c r="Q116" s="2"/>
      <c r="R116" s="19">
        <f t="shared" si="24"/>
        <v>0</v>
      </c>
      <c r="S116" s="2"/>
      <c r="T116" s="2">
        <v>341.6</v>
      </c>
      <c r="U116" s="2"/>
      <c r="V116" s="19">
        <f t="shared" si="25"/>
        <v>1.0535121991855281E-4</v>
      </c>
      <c r="W116" s="2"/>
      <c r="X116" s="2">
        <f t="shared" si="26"/>
        <v>-341.6</v>
      </c>
      <c r="Y116" s="2"/>
      <c r="Z116" s="19">
        <f t="shared" si="27"/>
        <v>-1</v>
      </c>
    </row>
    <row r="117" spans="1:26" s="24" customFormat="1" hidden="1" outlineLevel="1" x14ac:dyDescent="0.25">
      <c r="A117" s="44"/>
      <c r="B117" s="11" t="str">
        <f>CONCATENATE("          ", "5033", " - ", "PURCHASES @ COST-CANDY")</f>
        <v xml:space="preserve">          5033 - PURCHASES @ COST-CANDY</v>
      </c>
      <c r="C117" s="11"/>
      <c r="D117" s="2"/>
      <c r="E117" s="2"/>
      <c r="F117" s="19">
        <f t="shared" si="20"/>
        <v>0</v>
      </c>
      <c r="G117" s="2"/>
      <c r="H117" s="2">
        <v>986.46</v>
      </c>
      <c r="I117" s="2"/>
      <c r="J117" s="19">
        <f t="shared" si="21"/>
        <v>3.4836021539598813E-4</v>
      </c>
      <c r="K117" s="2"/>
      <c r="L117" s="2">
        <f t="shared" si="22"/>
        <v>-986.46</v>
      </c>
      <c r="M117" s="2"/>
      <c r="N117" s="19">
        <f t="shared" si="23"/>
        <v>-1</v>
      </c>
      <c r="O117" s="11"/>
      <c r="P117" s="2"/>
      <c r="Q117" s="2"/>
      <c r="R117" s="19">
        <f t="shared" si="24"/>
        <v>0</v>
      </c>
      <c r="S117" s="2"/>
      <c r="T117" s="2">
        <v>986.46</v>
      </c>
      <c r="U117" s="2"/>
      <c r="V117" s="19">
        <f t="shared" si="25"/>
        <v>3.0422940398376933E-4</v>
      </c>
      <c r="W117" s="2"/>
      <c r="X117" s="2">
        <f t="shared" si="26"/>
        <v>-986.46</v>
      </c>
      <c r="Y117" s="2"/>
      <c r="Z117" s="19">
        <f t="shared" si="27"/>
        <v>-1</v>
      </c>
    </row>
    <row r="118" spans="1:26" s="24" customFormat="1" hidden="1" outlineLevel="1" x14ac:dyDescent="0.25">
      <c r="A118" s="44"/>
      <c r="B118" s="11" t="str">
        <f>CONCATENATE("          ", "5034", " - ", "PURCHASES @ COST-SODA")</f>
        <v xml:space="preserve">          5034 - PURCHASES @ COST-SODA</v>
      </c>
      <c r="C118" s="11"/>
      <c r="D118" s="2"/>
      <c r="E118" s="2"/>
      <c r="F118" s="19">
        <f t="shared" si="20"/>
        <v>0</v>
      </c>
      <c r="G118" s="2"/>
      <c r="H118" s="2">
        <v>350.04</v>
      </c>
      <c r="I118" s="2"/>
      <c r="J118" s="19">
        <f t="shared" si="21"/>
        <v>1.2361373983457179E-4</v>
      </c>
      <c r="K118" s="2"/>
      <c r="L118" s="2">
        <f t="shared" si="22"/>
        <v>-350.04</v>
      </c>
      <c r="M118" s="2"/>
      <c r="N118" s="19">
        <f t="shared" si="23"/>
        <v>-1</v>
      </c>
      <c r="O118" s="11"/>
      <c r="P118" s="2"/>
      <c r="Q118" s="2"/>
      <c r="R118" s="19">
        <f t="shared" si="24"/>
        <v>0</v>
      </c>
      <c r="S118" s="2"/>
      <c r="T118" s="2">
        <v>288.5</v>
      </c>
      <c r="U118" s="2"/>
      <c r="V118" s="19">
        <f t="shared" si="25"/>
        <v>8.8974903239175883E-5</v>
      </c>
      <c r="W118" s="2"/>
      <c r="X118" s="2">
        <f t="shared" si="26"/>
        <v>-288.5</v>
      </c>
      <c r="Y118" s="2"/>
      <c r="Z118" s="19">
        <f t="shared" si="27"/>
        <v>-1</v>
      </c>
    </row>
    <row r="119" spans="1:26" s="24" customFormat="1" hidden="1" outlineLevel="1" x14ac:dyDescent="0.25">
      <c r="A119" s="44"/>
      <c r="B119" s="11" t="str">
        <f>CONCATENATE("          ", "5035", " - ", "PURCHASES @ COST-HEALTH &amp; BEAU")</f>
        <v xml:space="preserve">          5035 - PURCHASES @ COST-HEALTH &amp; BEAU</v>
      </c>
      <c r="C119" s="11"/>
      <c r="D119" s="2"/>
      <c r="E119" s="2"/>
      <c r="F119" s="19">
        <f t="shared" si="20"/>
        <v>0</v>
      </c>
      <c r="G119" s="2"/>
      <c r="H119" s="2">
        <v>76.73</v>
      </c>
      <c r="I119" s="2"/>
      <c r="J119" s="19">
        <f t="shared" si="21"/>
        <v>2.7096566842379996E-5</v>
      </c>
      <c r="K119" s="2"/>
      <c r="L119" s="2">
        <f t="shared" si="22"/>
        <v>-76.73</v>
      </c>
      <c r="M119" s="2"/>
      <c r="N119" s="19">
        <f t="shared" si="23"/>
        <v>-1</v>
      </c>
      <c r="O119" s="11"/>
      <c r="P119" s="2"/>
      <c r="Q119" s="2"/>
      <c r="R119" s="19">
        <f t="shared" si="24"/>
        <v>0</v>
      </c>
      <c r="S119" s="2"/>
      <c r="T119" s="2">
        <v>76.73</v>
      </c>
      <c r="U119" s="2"/>
      <c r="V119" s="19">
        <f t="shared" si="25"/>
        <v>2.3663931804304909E-5</v>
      </c>
      <c r="W119" s="2"/>
      <c r="X119" s="2">
        <f t="shared" si="26"/>
        <v>-76.73</v>
      </c>
      <c r="Y119" s="2"/>
      <c r="Z119" s="19">
        <f t="shared" si="27"/>
        <v>-1</v>
      </c>
    </row>
    <row r="120" spans="1:26" s="24" customFormat="1" hidden="1" outlineLevel="1" x14ac:dyDescent="0.25">
      <c r="A120" s="44"/>
      <c r="B120" s="11" t="str">
        <f>CONCATENATE("          ", "5037", " - ", "PURCHASES @ COST-WATER")</f>
        <v xml:space="preserve">          5037 - PURCHASES @ COST-WATER</v>
      </c>
      <c r="C120" s="11"/>
      <c r="D120" s="2"/>
      <c r="E120" s="2"/>
      <c r="F120" s="19">
        <f t="shared" si="20"/>
        <v>0</v>
      </c>
      <c r="G120" s="2"/>
      <c r="H120" s="2">
        <v>462.36</v>
      </c>
      <c r="I120" s="2"/>
      <c r="J120" s="19">
        <f t="shared" si="21"/>
        <v>1.6327862172869562E-4</v>
      </c>
      <c r="K120" s="2"/>
      <c r="L120" s="2">
        <f t="shared" si="22"/>
        <v>-462.36</v>
      </c>
      <c r="M120" s="2"/>
      <c r="N120" s="19">
        <f t="shared" si="23"/>
        <v>-1</v>
      </c>
      <c r="O120" s="11"/>
      <c r="P120" s="2"/>
      <c r="Q120" s="2"/>
      <c r="R120" s="19">
        <f t="shared" si="24"/>
        <v>0</v>
      </c>
      <c r="S120" s="2"/>
      <c r="T120" s="2">
        <v>495.94</v>
      </c>
      <c r="U120" s="2"/>
      <c r="V120" s="19">
        <f t="shared" si="25"/>
        <v>1.5295048011243289E-4</v>
      </c>
      <c r="W120" s="2"/>
      <c r="X120" s="2">
        <f t="shared" si="26"/>
        <v>-495.94</v>
      </c>
      <c r="Y120" s="2"/>
      <c r="Z120" s="19">
        <f t="shared" si="27"/>
        <v>-1</v>
      </c>
    </row>
    <row r="121" spans="1:26" s="24" customFormat="1" hidden="1" outlineLevel="1" x14ac:dyDescent="0.25">
      <c r="A121" s="44"/>
      <c r="B121" s="11" t="str">
        <f>CONCATENATE("          ", "5040", " - ", "PURCHASES @ COST-LOGO CLOTHING")</f>
        <v xml:space="preserve">          5040 - PURCHASES @ COST-LOGO CLOTHING</v>
      </c>
      <c r="C121" s="11"/>
      <c r="D121" s="2">
        <v>7628.83</v>
      </c>
      <c r="E121" s="2"/>
      <c r="F121" s="19">
        <f t="shared" si="20"/>
        <v>4.7742458286733737E-3</v>
      </c>
      <c r="G121" s="2"/>
      <c r="H121" s="2">
        <v>106647.4</v>
      </c>
      <c r="I121" s="2"/>
      <c r="J121" s="19">
        <f t="shared" si="21"/>
        <v>3.7661649976098478E-2</v>
      </c>
      <c r="K121" s="2"/>
      <c r="L121" s="2">
        <f t="shared" si="22"/>
        <v>-99018.569999999992</v>
      </c>
      <c r="M121" s="2"/>
      <c r="N121" s="19">
        <f t="shared" si="23"/>
        <v>-0.92846679806540056</v>
      </c>
      <c r="O121" s="11"/>
      <c r="P121" s="2">
        <v>9351.9</v>
      </c>
      <c r="Q121" s="2"/>
      <c r="R121" s="19">
        <f t="shared" si="24"/>
        <v>5.1226997205425662E-3</v>
      </c>
      <c r="S121" s="2"/>
      <c r="T121" s="2">
        <v>185568.97</v>
      </c>
      <c r="U121" s="2"/>
      <c r="V121" s="19">
        <f t="shared" si="25"/>
        <v>5.7230437261502717E-2</v>
      </c>
      <c r="W121" s="2"/>
      <c r="X121" s="2">
        <f t="shared" si="26"/>
        <v>-176217.07</v>
      </c>
      <c r="Y121" s="2"/>
      <c r="Z121" s="19">
        <f t="shared" si="27"/>
        <v>-0.9496041822078336</v>
      </c>
    </row>
    <row r="122" spans="1:26" s="24" customFormat="1" hidden="1" outlineLevel="1" x14ac:dyDescent="0.25">
      <c r="A122" s="44"/>
      <c r="B122" s="11" t="str">
        <f>CONCATENATE("          ", "5041", " - ", "PURCHASES @ COST-LOGO GIFTS")</f>
        <v xml:space="preserve">          5041 - PURCHASES @ COST-LOGO GIFTS</v>
      </c>
      <c r="C122" s="11"/>
      <c r="D122" s="2">
        <v>1843.29</v>
      </c>
      <c r="E122" s="2"/>
      <c r="F122" s="19">
        <f t="shared" si="20"/>
        <v>1.1535608466220041E-3</v>
      </c>
      <c r="G122" s="2"/>
      <c r="H122" s="2">
        <v>16578.89</v>
      </c>
      <c r="I122" s="2"/>
      <c r="J122" s="19">
        <f t="shared" si="21"/>
        <v>5.8546983064963545E-3</v>
      </c>
      <c r="K122" s="2"/>
      <c r="L122" s="2">
        <f t="shared" si="22"/>
        <v>-14735.599999999999</v>
      </c>
      <c r="M122" s="2"/>
      <c r="N122" s="19">
        <f t="shared" si="23"/>
        <v>-0.888817043843104</v>
      </c>
      <c r="O122" s="11"/>
      <c r="P122" s="2">
        <v>1129.54</v>
      </c>
      <c r="Q122" s="2"/>
      <c r="R122" s="19">
        <f t="shared" si="24"/>
        <v>6.1872926809970709E-4</v>
      </c>
      <c r="S122" s="2"/>
      <c r="T122" s="2">
        <v>28529.16</v>
      </c>
      <c r="U122" s="2"/>
      <c r="V122" s="19">
        <f t="shared" si="25"/>
        <v>8.7985415961697299E-3</v>
      </c>
      <c r="W122" s="2"/>
      <c r="X122" s="2">
        <f t="shared" si="26"/>
        <v>-27399.62</v>
      </c>
      <c r="Y122" s="2"/>
      <c r="Z122" s="19">
        <f t="shared" si="27"/>
        <v>-0.96040752689528885</v>
      </c>
    </row>
    <row r="123" spans="1:26" s="24" customFormat="1" hidden="1" outlineLevel="1" x14ac:dyDescent="0.25">
      <c r="A123" s="44"/>
      <c r="B123" s="11" t="str">
        <f>CONCATENATE("          ", "5042", " - ", "PURCHASES @ COST-EVERYDAY GIFT")</f>
        <v xml:space="preserve">          5042 - PURCHASES @ COST-EVERYDAY GIFT</v>
      </c>
      <c r="C123" s="11"/>
      <c r="D123" s="2">
        <v>732.99</v>
      </c>
      <c r="E123" s="2"/>
      <c r="F123" s="19">
        <f t="shared" si="20"/>
        <v>4.587170575251115E-4</v>
      </c>
      <c r="G123" s="2"/>
      <c r="H123" s="2">
        <v>15979.86</v>
      </c>
      <c r="I123" s="2"/>
      <c r="J123" s="19">
        <f t="shared" si="21"/>
        <v>5.6431558011452417E-3</v>
      </c>
      <c r="K123" s="2"/>
      <c r="L123" s="2">
        <f t="shared" si="22"/>
        <v>-15246.87</v>
      </c>
      <c r="M123" s="2"/>
      <c r="N123" s="19">
        <f t="shared" si="23"/>
        <v>-0.95413038662416316</v>
      </c>
      <c r="O123" s="11"/>
      <c r="P123" s="2">
        <v>969.15</v>
      </c>
      <c r="Q123" s="2"/>
      <c r="R123" s="19">
        <f t="shared" si="24"/>
        <v>5.3087227559788159E-4</v>
      </c>
      <c r="S123" s="2"/>
      <c r="T123" s="2">
        <v>23732.22</v>
      </c>
      <c r="U123" s="2"/>
      <c r="V123" s="19">
        <f t="shared" si="25"/>
        <v>7.3191403055488215E-3</v>
      </c>
      <c r="W123" s="2"/>
      <c r="X123" s="2">
        <f t="shared" si="26"/>
        <v>-22763.07</v>
      </c>
      <c r="Y123" s="2"/>
      <c r="Z123" s="19">
        <f t="shared" si="27"/>
        <v>-0.95916311242690311</v>
      </c>
    </row>
    <row r="124" spans="1:26" s="24" customFormat="1" hidden="1" outlineLevel="1" x14ac:dyDescent="0.25">
      <c r="A124" s="44"/>
      <c r="B124" s="11" t="str">
        <f>CONCATENATE("          ", "5043", " - ", "PURCHASES @ COST-CARDS")</f>
        <v xml:space="preserve">          5043 - PURCHASES @ COST-CARDS</v>
      </c>
      <c r="C124" s="11"/>
      <c r="D124" s="2">
        <v>1406.55</v>
      </c>
      <c r="E124" s="2"/>
      <c r="F124" s="19">
        <f t="shared" si="20"/>
        <v>8.8024185495292652E-4</v>
      </c>
      <c r="G124" s="2"/>
      <c r="H124" s="2">
        <v>15.24</v>
      </c>
      <c r="I124" s="2"/>
      <c r="J124" s="19">
        <f t="shared" si="21"/>
        <v>5.3818803424719296E-6</v>
      </c>
      <c r="K124" s="2"/>
      <c r="L124" s="2">
        <f t="shared" si="22"/>
        <v>1391.31</v>
      </c>
      <c r="M124" s="2"/>
      <c r="N124" s="19">
        <f t="shared" si="23"/>
        <v>91.293307086614163</v>
      </c>
      <c r="O124" s="11"/>
      <c r="P124" s="2">
        <v>1715.25</v>
      </c>
      <c r="Q124" s="2"/>
      <c r="R124" s="19">
        <f t="shared" si="24"/>
        <v>9.3956422712610671E-4</v>
      </c>
      <c r="S124" s="2"/>
      <c r="T124" s="2">
        <v>513.5</v>
      </c>
      <c r="U124" s="2"/>
      <c r="V124" s="19">
        <f t="shared" si="25"/>
        <v>1.5836607560941704E-4</v>
      </c>
      <c r="W124" s="2"/>
      <c r="X124" s="2">
        <f t="shared" si="26"/>
        <v>1201.75</v>
      </c>
      <c r="Y124" s="2"/>
      <c r="Z124" s="19">
        <f t="shared" si="27"/>
        <v>2.3403115871470304</v>
      </c>
    </row>
    <row r="125" spans="1:26" s="24" customFormat="1" hidden="1" outlineLevel="1" x14ac:dyDescent="0.25">
      <c r="A125" s="44"/>
      <c r="B125" s="11" t="str">
        <f>CONCATENATE("          ", "5044", " - ", "PURCHASES @ COST-ACCESSORIES")</f>
        <v xml:space="preserve">          5044 - PURCHASES @ COST-ACCESSORIES</v>
      </c>
      <c r="C125" s="11"/>
      <c r="D125" s="2"/>
      <c r="E125" s="2"/>
      <c r="F125" s="19">
        <f t="shared" si="20"/>
        <v>0</v>
      </c>
      <c r="G125" s="2"/>
      <c r="H125" s="2">
        <v>13249.12</v>
      </c>
      <c r="I125" s="2"/>
      <c r="J125" s="19">
        <f t="shared" si="21"/>
        <v>4.6788174857645467E-3</v>
      </c>
      <c r="K125" s="2"/>
      <c r="L125" s="2">
        <f t="shared" si="22"/>
        <v>-13249.12</v>
      </c>
      <c r="M125" s="2"/>
      <c r="N125" s="19">
        <f t="shared" si="23"/>
        <v>-1</v>
      </c>
      <c r="O125" s="11"/>
      <c r="P125" s="2"/>
      <c r="Q125" s="2"/>
      <c r="R125" s="19">
        <f t="shared" si="24"/>
        <v>0</v>
      </c>
      <c r="S125" s="2"/>
      <c r="T125" s="2">
        <v>18088.12</v>
      </c>
      <c r="U125" s="2"/>
      <c r="V125" s="19">
        <f t="shared" si="25"/>
        <v>5.5784704567715844E-3</v>
      </c>
      <c r="W125" s="2"/>
      <c r="X125" s="2">
        <f t="shared" si="26"/>
        <v>-18088.12</v>
      </c>
      <c r="Y125" s="2"/>
      <c r="Z125" s="19">
        <f t="shared" si="27"/>
        <v>-1</v>
      </c>
    </row>
    <row r="126" spans="1:26" s="24" customFormat="1" hidden="1" outlineLevel="1" x14ac:dyDescent="0.25">
      <c r="A126" s="44"/>
      <c r="B126" s="11" t="str">
        <f>CONCATENATE("          ", "5045", " - ", "PURCHASES @ COST-SPECIAL ORDER")</f>
        <v xml:space="preserve">          5045 - PURCHASES @ COST-SPECIAL ORDER</v>
      </c>
      <c r="C126" s="11"/>
      <c r="D126" s="2">
        <v>5633.96</v>
      </c>
      <c r="E126" s="2"/>
      <c r="F126" s="19">
        <f t="shared" si="20"/>
        <v>3.5258237539586863E-3</v>
      </c>
      <c r="G126" s="2"/>
      <c r="H126" s="2">
        <v>4152.78</v>
      </c>
      <c r="I126" s="2"/>
      <c r="J126" s="19">
        <f t="shared" si="21"/>
        <v>1.4665200163130299E-3</v>
      </c>
      <c r="K126" s="2"/>
      <c r="L126" s="2">
        <f t="shared" si="22"/>
        <v>1481.1800000000003</v>
      </c>
      <c r="M126" s="2"/>
      <c r="N126" s="19">
        <f t="shared" si="23"/>
        <v>0.35667191616218541</v>
      </c>
      <c r="O126" s="11"/>
      <c r="P126" s="2">
        <v>8390.17</v>
      </c>
      <c r="Q126" s="2"/>
      <c r="R126" s="19">
        <f t="shared" si="24"/>
        <v>4.5958919058485042E-3</v>
      </c>
      <c r="S126" s="2"/>
      <c r="T126" s="2">
        <v>20145.63</v>
      </c>
      <c r="U126" s="2"/>
      <c r="V126" s="19">
        <f t="shared" si="25"/>
        <v>6.2130172614982288E-3</v>
      </c>
      <c r="W126" s="2"/>
      <c r="X126" s="2">
        <f t="shared" si="26"/>
        <v>-11755.460000000001</v>
      </c>
      <c r="Y126" s="2"/>
      <c r="Z126" s="19">
        <f t="shared" si="27"/>
        <v>-0.58352406948802293</v>
      </c>
    </row>
    <row r="127" spans="1:26" s="24" customFormat="1" hidden="1" outlineLevel="1" x14ac:dyDescent="0.25">
      <c r="A127" s="44"/>
      <c r="B127" s="11" t="str">
        <f>CONCATENATE("          ", "5053", " - ", "PURCHASES @ COST-FOOD")</f>
        <v xml:space="preserve">          5053 - PURCHASES @ COST-FOOD</v>
      </c>
      <c r="C127" s="11"/>
      <c r="D127" s="2">
        <v>-2111.6799999999998</v>
      </c>
      <c r="E127" s="2"/>
      <c r="F127" s="19">
        <f t="shared" si="20"/>
        <v>-1.3215236715843702E-3</v>
      </c>
      <c r="G127" s="2"/>
      <c r="H127" s="2">
        <v>95948.59</v>
      </c>
      <c r="I127" s="2"/>
      <c r="J127" s="19">
        <f t="shared" si="21"/>
        <v>3.3883453438904115E-2</v>
      </c>
      <c r="K127" s="2"/>
      <c r="L127" s="2">
        <f t="shared" si="22"/>
        <v>-98060.26999999999</v>
      </c>
      <c r="M127" s="2"/>
      <c r="N127" s="19">
        <f t="shared" si="23"/>
        <v>-1.0220084526515709</v>
      </c>
      <c r="O127" s="11"/>
      <c r="P127" s="2">
        <v>-2338.5500000000002</v>
      </c>
      <c r="Q127" s="2"/>
      <c r="R127" s="19">
        <f t="shared" si="24"/>
        <v>-1.2809898984671372E-3</v>
      </c>
      <c r="S127" s="2"/>
      <c r="T127" s="2">
        <v>137505.66</v>
      </c>
      <c r="U127" s="2"/>
      <c r="V127" s="19">
        <f t="shared" si="25"/>
        <v>4.2407462021972334E-2</v>
      </c>
      <c r="W127" s="2"/>
      <c r="X127" s="2">
        <f t="shared" si="26"/>
        <v>-139844.21</v>
      </c>
      <c r="Y127" s="2"/>
      <c r="Z127" s="19">
        <f t="shared" si="27"/>
        <v>-1.017006936296295</v>
      </c>
    </row>
    <row r="128" spans="1:26" s="24" customFormat="1" hidden="1" outlineLevel="1" x14ac:dyDescent="0.25">
      <c r="A128" s="44"/>
      <c r="B128" s="11" t="str">
        <f>CONCATENATE("          ", "5059", " - ", "PURCHASES @ COST-FOOD")</f>
        <v xml:space="preserve">          5059 - PURCHASES @ COST-FOOD</v>
      </c>
      <c r="C128" s="11"/>
      <c r="D128" s="2">
        <v>68.91</v>
      </c>
      <c r="E128" s="2"/>
      <c r="F128" s="19">
        <f t="shared" si="20"/>
        <v>4.3124998204689604E-5</v>
      </c>
      <c r="G128" s="2"/>
      <c r="H128" s="2">
        <v>-29750.09</v>
      </c>
      <c r="I128" s="2"/>
      <c r="J128" s="19">
        <f t="shared" si="21"/>
        <v>-1.0505998986730361E-2</v>
      </c>
      <c r="K128" s="2"/>
      <c r="L128" s="2">
        <f t="shared" si="22"/>
        <v>29819</v>
      </c>
      <c r="M128" s="2"/>
      <c r="N128" s="19">
        <f t="shared" si="23"/>
        <v>-1.0023162955137279</v>
      </c>
      <c r="O128" s="11"/>
      <c r="P128" s="2">
        <v>68.91</v>
      </c>
      <c r="Q128" s="2"/>
      <c r="R128" s="19">
        <f t="shared" si="24"/>
        <v>3.7746900388433178E-5</v>
      </c>
      <c r="S128" s="2"/>
      <c r="T128" s="2">
        <v>-46040.84</v>
      </c>
      <c r="U128" s="2"/>
      <c r="V128" s="19">
        <f t="shared" si="25"/>
        <v>-1.4199234953380862E-2</v>
      </c>
      <c r="W128" s="2"/>
      <c r="X128" s="2">
        <f t="shared" si="26"/>
        <v>46109.75</v>
      </c>
      <c r="Y128" s="2"/>
      <c r="Z128" s="19">
        <f t="shared" si="27"/>
        <v>-1.0014967146559446</v>
      </c>
    </row>
    <row r="129" spans="1:26" s="24" customFormat="1" hidden="1" outlineLevel="1" x14ac:dyDescent="0.25">
      <c r="A129" s="44"/>
      <c r="B129" s="11" t="str">
        <f>CONCATENATE("          ", "5081", " - ", "PURCHASES @ COST-ELECTRONICS")</f>
        <v xml:space="preserve">          5081 - PURCHASES @ COST-ELECTRONICS</v>
      </c>
      <c r="C129" s="11"/>
      <c r="D129" s="2"/>
      <c r="E129" s="2"/>
      <c r="F129" s="19">
        <f t="shared" si="20"/>
        <v>0</v>
      </c>
      <c r="G129" s="2"/>
      <c r="H129" s="2">
        <v>304.16000000000003</v>
      </c>
      <c r="I129" s="2"/>
      <c r="J129" s="19">
        <f t="shared" si="21"/>
        <v>1.0741159612639515E-4</v>
      </c>
      <c r="K129" s="2"/>
      <c r="L129" s="2">
        <f t="shared" si="22"/>
        <v>-304.16000000000003</v>
      </c>
      <c r="M129" s="2"/>
      <c r="N129" s="19">
        <f t="shared" si="23"/>
        <v>-1</v>
      </c>
      <c r="O129" s="11"/>
      <c r="P129" s="2"/>
      <c r="Q129" s="2"/>
      <c r="R129" s="19">
        <f t="shared" si="24"/>
        <v>0</v>
      </c>
      <c r="S129" s="2"/>
      <c r="T129" s="2">
        <v>304.16000000000003</v>
      </c>
      <c r="U129" s="2"/>
      <c r="V129" s="19">
        <f t="shared" si="25"/>
        <v>9.3804528836144687E-5</v>
      </c>
      <c r="W129" s="2"/>
      <c r="X129" s="2">
        <f t="shared" si="26"/>
        <v>-304.16000000000003</v>
      </c>
      <c r="Y129" s="2"/>
      <c r="Z129" s="19">
        <f t="shared" si="27"/>
        <v>-1</v>
      </c>
    </row>
    <row r="130" spans="1:26" s="24" customFormat="1" hidden="1" outlineLevel="1" x14ac:dyDescent="0.25">
      <c r="A130" s="44"/>
      <c r="B130" s="11" t="str">
        <f>CONCATENATE("          ", "5082", " - ", "PURCHASES @ COST-COMPUTER HARD")</f>
        <v xml:space="preserve">          5082 - PURCHASES @ COST-COMPUTER HARD</v>
      </c>
      <c r="C130" s="11"/>
      <c r="D130" s="2"/>
      <c r="E130" s="2"/>
      <c r="F130" s="19">
        <f t="shared" si="20"/>
        <v>0</v>
      </c>
      <c r="G130" s="2"/>
      <c r="H130" s="2">
        <v>130.6</v>
      </c>
      <c r="I130" s="2"/>
      <c r="J130" s="19">
        <f t="shared" si="21"/>
        <v>4.6120313171052098E-5</v>
      </c>
      <c r="K130" s="2"/>
      <c r="L130" s="2">
        <f t="shared" si="22"/>
        <v>-130.6</v>
      </c>
      <c r="M130" s="2"/>
      <c r="N130" s="19">
        <f t="shared" si="23"/>
        <v>-1</v>
      </c>
      <c r="O130" s="11"/>
      <c r="P130" s="2"/>
      <c r="Q130" s="2"/>
      <c r="R130" s="19">
        <f t="shared" si="24"/>
        <v>0</v>
      </c>
      <c r="S130" s="2"/>
      <c r="T130" s="2">
        <v>130.6</v>
      </c>
      <c r="U130" s="2"/>
      <c r="V130" s="19">
        <f t="shared" si="25"/>
        <v>4.0277720495793311E-5</v>
      </c>
      <c r="W130" s="2"/>
      <c r="X130" s="2">
        <f t="shared" si="26"/>
        <v>-130.6</v>
      </c>
      <c r="Y130" s="2"/>
      <c r="Z130" s="19">
        <f t="shared" si="27"/>
        <v>-1</v>
      </c>
    </row>
    <row r="131" spans="1:26" s="24" customFormat="1" hidden="1" outlineLevel="1" x14ac:dyDescent="0.25">
      <c r="A131" s="44"/>
      <c r="B131" s="11" t="str">
        <f>CONCATENATE("          ", "5083", " - ", "PURCHASES @ COST-COMPUTER EQUI")</f>
        <v xml:space="preserve">          5083 - PURCHASES @ COST-COMPUTER EQUI</v>
      </c>
      <c r="C131" s="11"/>
      <c r="D131" s="2"/>
      <c r="E131" s="2"/>
      <c r="F131" s="19">
        <f t="shared" si="20"/>
        <v>0</v>
      </c>
      <c r="G131" s="2"/>
      <c r="H131" s="2">
        <v>81.45</v>
      </c>
      <c r="I131" s="2"/>
      <c r="J131" s="19">
        <f t="shared" si="21"/>
        <v>2.8763395924825371E-5</v>
      </c>
      <c r="K131" s="2"/>
      <c r="L131" s="2">
        <f t="shared" si="22"/>
        <v>-81.45</v>
      </c>
      <c r="M131" s="2"/>
      <c r="N131" s="19">
        <f t="shared" si="23"/>
        <v>-1</v>
      </c>
      <c r="O131" s="11"/>
      <c r="P131" s="2"/>
      <c r="Q131" s="2"/>
      <c r="R131" s="19">
        <f t="shared" si="24"/>
        <v>0</v>
      </c>
      <c r="S131" s="2"/>
      <c r="T131" s="2">
        <v>81.45</v>
      </c>
      <c r="U131" s="2"/>
      <c r="V131" s="19">
        <f t="shared" si="25"/>
        <v>2.5119604398027301E-5</v>
      </c>
      <c r="W131" s="2"/>
      <c r="X131" s="2">
        <f t="shared" si="26"/>
        <v>-81.45</v>
      </c>
      <c r="Y131" s="2"/>
      <c r="Z131" s="19">
        <f t="shared" si="27"/>
        <v>-1</v>
      </c>
    </row>
    <row r="132" spans="1:26" s="24" customFormat="1" hidden="1" outlineLevel="1" x14ac:dyDescent="0.25">
      <c r="A132" s="44"/>
      <c r="B132" s="11" t="str">
        <f>CONCATENATE("          ", "5086", " - ", "PURCHASES @ COST-COMPUTER SUPP")</f>
        <v xml:space="preserve">          5086 - PURCHASES @ COST-COMPUTER SUPP</v>
      </c>
      <c r="C132" s="11"/>
      <c r="D132" s="2"/>
      <c r="E132" s="2"/>
      <c r="F132" s="19">
        <f t="shared" si="20"/>
        <v>0</v>
      </c>
      <c r="G132" s="2"/>
      <c r="H132" s="2">
        <v>58</v>
      </c>
      <c r="I132" s="2"/>
      <c r="J132" s="19">
        <f t="shared" si="21"/>
        <v>2.0482221775811804E-5</v>
      </c>
      <c r="K132" s="2"/>
      <c r="L132" s="2">
        <f t="shared" si="22"/>
        <v>-58</v>
      </c>
      <c r="M132" s="2"/>
      <c r="N132" s="19">
        <f t="shared" si="23"/>
        <v>-1</v>
      </c>
      <c r="O132" s="11"/>
      <c r="P132" s="2"/>
      <c r="Q132" s="2"/>
      <c r="R132" s="19">
        <f t="shared" si="24"/>
        <v>0</v>
      </c>
      <c r="S132" s="2"/>
      <c r="T132" s="2">
        <v>58</v>
      </c>
      <c r="U132" s="2"/>
      <c r="V132" s="19">
        <f t="shared" si="25"/>
        <v>1.78875022109955E-5</v>
      </c>
      <c r="W132" s="2"/>
      <c r="X132" s="2">
        <f t="shared" si="26"/>
        <v>-58</v>
      </c>
      <c r="Y132" s="2"/>
      <c r="Z132" s="19">
        <f t="shared" si="27"/>
        <v>-1</v>
      </c>
    </row>
    <row r="133" spans="1:26" s="24" customFormat="1" hidden="1" outlineLevel="1" x14ac:dyDescent="0.25">
      <c r="A133" s="44"/>
      <c r="B133" s="11" t="str">
        <f>CONCATENATE("          ", "5092", " - ", "PURCHASES @ COST-GRAD MERCH")</f>
        <v xml:space="preserve">          5092 - PURCHASES @ COST-GRAD MERCH</v>
      </c>
      <c r="C133" s="11"/>
      <c r="D133" s="2"/>
      <c r="E133" s="2"/>
      <c r="F133" s="19">
        <f t="shared" si="20"/>
        <v>0</v>
      </c>
      <c r="G133" s="2"/>
      <c r="H133" s="2">
        <v>-600.6</v>
      </c>
      <c r="I133" s="2"/>
      <c r="J133" s="19">
        <f t="shared" si="21"/>
        <v>-2.1209693790607881E-4</v>
      </c>
      <c r="K133" s="2"/>
      <c r="L133" s="2">
        <f t="shared" si="22"/>
        <v>600.6</v>
      </c>
      <c r="M133" s="2"/>
      <c r="N133" s="19">
        <f t="shared" si="23"/>
        <v>-1</v>
      </c>
      <c r="O133" s="11"/>
      <c r="P133" s="2"/>
      <c r="Q133" s="2"/>
      <c r="R133" s="19">
        <f t="shared" si="24"/>
        <v>0</v>
      </c>
      <c r="S133" s="2"/>
      <c r="T133" s="2">
        <v>628</v>
      </c>
      <c r="U133" s="2"/>
      <c r="V133" s="19">
        <f t="shared" si="25"/>
        <v>1.9367847221560643E-4</v>
      </c>
      <c r="W133" s="2"/>
      <c r="X133" s="2">
        <f t="shared" si="26"/>
        <v>-628</v>
      </c>
      <c r="Y133" s="2"/>
      <c r="Z133" s="19">
        <f t="shared" si="27"/>
        <v>-1</v>
      </c>
    </row>
    <row r="134" spans="1:26" s="24" customFormat="1" hidden="1" outlineLevel="1" x14ac:dyDescent="0.25">
      <c r="A134" s="44"/>
      <c r="B134" s="11" t="str">
        <f>CONCATENATE("          ", "5095", " - ", "PURCHASES @ COST-CUSTOMER SERV")</f>
        <v xml:space="preserve">          5095 - PURCHASES @ COST-CUSTOMER SERV</v>
      </c>
      <c r="C134" s="11"/>
      <c r="D134" s="2"/>
      <c r="E134" s="2"/>
      <c r="F134" s="19">
        <f t="shared" si="20"/>
        <v>0</v>
      </c>
      <c r="G134" s="2"/>
      <c r="H134" s="2"/>
      <c r="I134" s="2"/>
      <c r="J134" s="19">
        <f t="shared" si="21"/>
        <v>0</v>
      </c>
      <c r="K134" s="2"/>
      <c r="L134" s="2">
        <f t="shared" si="22"/>
        <v>0</v>
      </c>
      <c r="M134" s="2"/>
      <c r="N134" s="19">
        <f t="shared" si="23"/>
        <v>0</v>
      </c>
      <c r="O134" s="11"/>
      <c r="P134" s="2"/>
      <c r="Q134" s="2"/>
      <c r="R134" s="19">
        <f t="shared" si="24"/>
        <v>0</v>
      </c>
      <c r="S134" s="2"/>
      <c r="T134" s="2">
        <v>0</v>
      </c>
      <c r="U134" s="2"/>
      <c r="V134" s="19">
        <f t="shared" si="25"/>
        <v>0</v>
      </c>
      <c r="W134" s="2"/>
      <c r="X134" s="2">
        <f t="shared" si="26"/>
        <v>0</v>
      </c>
      <c r="Y134" s="2"/>
      <c r="Z134" s="19">
        <f t="shared" si="27"/>
        <v>0</v>
      </c>
    </row>
    <row r="135" spans="1:26" s="24" customFormat="1" hidden="1" outlineLevel="1" x14ac:dyDescent="0.25">
      <c r="A135" s="44"/>
      <c r="B135" s="11" t="str">
        <f>CONCATENATE("          ", "5200", " - ", "PURCHASES OFFSET")</f>
        <v xml:space="preserve">          5200 - PURCHASES OFFSET</v>
      </c>
      <c r="C135" s="11"/>
      <c r="D135" s="2">
        <v>-497237.30000000005</v>
      </c>
      <c r="E135" s="2"/>
      <c r="F135" s="19">
        <f t="shared" si="20"/>
        <v>-0.31117918545646073</v>
      </c>
      <c r="G135" s="2"/>
      <c r="H135" s="2">
        <v>-1527442</v>
      </c>
      <c r="I135" s="2"/>
      <c r="J135" s="19">
        <f t="shared" si="21"/>
        <v>-0.53940354816706093</v>
      </c>
      <c r="K135" s="2"/>
      <c r="L135" s="2">
        <f t="shared" si="22"/>
        <v>1030204.7</v>
      </c>
      <c r="M135" s="2"/>
      <c r="N135" s="19">
        <f t="shared" si="23"/>
        <v>-0.67446403856905857</v>
      </c>
      <c r="O135" s="11"/>
      <c r="P135" s="2">
        <v>-713002.58000000007</v>
      </c>
      <c r="Q135" s="2"/>
      <c r="R135" s="19">
        <f t="shared" si="24"/>
        <v>-0.39056214430352437</v>
      </c>
      <c r="S135" s="2"/>
      <c r="T135" s="2">
        <v>-2356311</v>
      </c>
      <c r="U135" s="2"/>
      <c r="V135" s="19">
        <f t="shared" si="25"/>
        <v>-0.72669859003953474</v>
      </c>
      <c r="W135" s="2"/>
      <c r="X135" s="2">
        <f t="shared" si="26"/>
        <v>1643308.42</v>
      </c>
      <c r="Y135" s="2"/>
      <c r="Z135" s="19">
        <f t="shared" si="27"/>
        <v>-0.69740726924417018</v>
      </c>
    </row>
    <row r="136" spans="1:26" s="24" customFormat="1" hidden="1" outlineLevel="1" x14ac:dyDescent="0.25">
      <c r="A136" s="44"/>
      <c r="B136" s="11" t="str">
        <f>CONCATENATE("          ", "5300", " - ", "COG$ OFFSET")</f>
        <v xml:space="preserve">          5300 - COG$ OFFSET</v>
      </c>
      <c r="C136" s="11"/>
      <c r="D136" s="2">
        <v>770429</v>
      </c>
      <c r="E136" s="2"/>
      <c r="F136" s="19">
        <f t="shared" si="20"/>
        <v>0.48214699233552183</v>
      </c>
      <c r="G136" s="2"/>
      <c r="H136" s="2">
        <v>1248264</v>
      </c>
      <c r="I136" s="2"/>
      <c r="J136" s="19">
        <f t="shared" si="21"/>
        <v>0.4408141393579646</v>
      </c>
      <c r="K136" s="2"/>
      <c r="L136" s="2">
        <f t="shared" si="22"/>
        <v>-477835</v>
      </c>
      <c r="M136" s="2"/>
      <c r="N136" s="19">
        <f t="shared" si="23"/>
        <v>-0.3827996321291009</v>
      </c>
      <c r="O136" s="11"/>
      <c r="P136" s="2">
        <v>906057</v>
      </c>
      <c r="Q136" s="2"/>
      <c r="R136" s="19">
        <f t="shared" si="24"/>
        <v>0.49631175918215936</v>
      </c>
      <c r="S136" s="2"/>
      <c r="T136" s="2">
        <v>1429434</v>
      </c>
      <c r="U136" s="2"/>
      <c r="V136" s="19">
        <f t="shared" si="25"/>
        <v>0.44084489371503688</v>
      </c>
      <c r="W136" s="2"/>
      <c r="X136" s="2">
        <f t="shared" si="26"/>
        <v>-523377</v>
      </c>
      <c r="Y136" s="2"/>
      <c r="Z136" s="19">
        <f t="shared" si="27"/>
        <v>-0.36614282296349465</v>
      </c>
    </row>
    <row r="137" spans="1:26" s="24" customFormat="1" hidden="1" outlineLevel="1" x14ac:dyDescent="0.25">
      <c r="A137" s="44"/>
      <c r="B137" s="11" t="str">
        <f>CONCATENATE("          ", "5500", " - ", "FREIGHT-IN")</f>
        <v xml:space="preserve">          5500 - FREIGHT-IN</v>
      </c>
      <c r="C137" s="11"/>
      <c r="D137" s="2"/>
      <c r="E137" s="2"/>
      <c r="F137" s="19">
        <f t="shared" si="20"/>
        <v>0</v>
      </c>
      <c r="G137" s="2"/>
      <c r="H137" s="2"/>
      <c r="I137" s="2"/>
      <c r="J137" s="19">
        <f t="shared" si="21"/>
        <v>0</v>
      </c>
      <c r="K137" s="2"/>
      <c r="L137" s="2">
        <f t="shared" si="22"/>
        <v>0</v>
      </c>
      <c r="M137" s="2"/>
      <c r="N137" s="19">
        <f t="shared" si="23"/>
        <v>0</v>
      </c>
      <c r="O137" s="11"/>
      <c r="P137" s="2"/>
      <c r="Q137" s="2"/>
      <c r="R137" s="19">
        <f t="shared" si="24"/>
        <v>0</v>
      </c>
      <c r="S137" s="2"/>
      <c r="T137" s="2">
        <v>49</v>
      </c>
      <c r="U137" s="2"/>
      <c r="V137" s="19">
        <f t="shared" si="25"/>
        <v>1.5111855316185853E-5</v>
      </c>
      <c r="W137" s="2"/>
      <c r="X137" s="2">
        <f t="shared" si="26"/>
        <v>-49</v>
      </c>
      <c r="Y137" s="2"/>
      <c r="Z137" s="19">
        <f t="shared" si="27"/>
        <v>-1</v>
      </c>
    </row>
    <row r="138" spans="1:26" s="24" customFormat="1" hidden="1" outlineLevel="1" x14ac:dyDescent="0.25">
      <c r="A138" s="44"/>
      <c r="B138" s="11" t="str">
        <f>CONCATENATE("          ", "5501", " - ", "FREIGHT-IN-NEW TEXT")</f>
        <v xml:space="preserve">          5501 - FREIGHT-IN-NEW TEXT</v>
      </c>
      <c r="C138" s="11"/>
      <c r="D138" s="2">
        <v>4680.5600000000004</v>
      </c>
      <c r="E138" s="2"/>
      <c r="F138" s="19">
        <f t="shared" si="20"/>
        <v>2.9291705354366855E-3</v>
      </c>
      <c r="G138" s="2"/>
      <c r="H138" s="2">
        <v>11008.16</v>
      </c>
      <c r="I138" s="2"/>
      <c r="J138" s="19">
        <f t="shared" si="21"/>
        <v>3.887440939027939E-3</v>
      </c>
      <c r="K138" s="2"/>
      <c r="L138" s="2">
        <f t="shared" si="22"/>
        <v>-6327.5999999999995</v>
      </c>
      <c r="M138" s="2"/>
      <c r="N138" s="19">
        <f t="shared" si="23"/>
        <v>-0.57480995915757038</v>
      </c>
      <c r="O138" s="11"/>
      <c r="P138" s="2">
        <v>5483.28</v>
      </c>
      <c r="Q138" s="2"/>
      <c r="R138" s="19">
        <f t="shared" si="24"/>
        <v>3.0035818308211852E-3</v>
      </c>
      <c r="S138" s="2"/>
      <c r="T138" s="2">
        <v>12724.24</v>
      </c>
      <c r="U138" s="2"/>
      <c r="V138" s="19">
        <f t="shared" si="25"/>
        <v>3.9242219160902994E-3</v>
      </c>
      <c r="W138" s="2"/>
      <c r="X138" s="2">
        <f t="shared" si="26"/>
        <v>-7240.96</v>
      </c>
      <c r="Y138" s="2"/>
      <c r="Z138" s="19">
        <f t="shared" si="27"/>
        <v>-0.56906817224447193</v>
      </c>
    </row>
    <row r="139" spans="1:26" s="24" customFormat="1" hidden="1" outlineLevel="1" x14ac:dyDescent="0.25">
      <c r="A139" s="44"/>
      <c r="B139" s="11" t="str">
        <f>CONCATENATE("          ", "5502", " - ", "FREIGHT-IN-USED TEXT")</f>
        <v xml:space="preserve">          5502 - FREIGHT-IN-USED TEXT</v>
      </c>
      <c r="C139" s="11"/>
      <c r="D139" s="2">
        <v>1186.6600000000001</v>
      </c>
      <c r="E139" s="2"/>
      <c r="F139" s="19">
        <f t="shared" si="20"/>
        <v>7.4263111840918545E-4</v>
      </c>
      <c r="G139" s="2"/>
      <c r="H139" s="2">
        <v>3985.02</v>
      </c>
      <c r="I139" s="2"/>
      <c r="J139" s="19">
        <f t="shared" si="21"/>
        <v>1.4072769555352682E-3</v>
      </c>
      <c r="K139" s="2"/>
      <c r="L139" s="2">
        <f t="shared" si="22"/>
        <v>-2798.3599999999997</v>
      </c>
      <c r="M139" s="2"/>
      <c r="N139" s="19">
        <f t="shared" si="23"/>
        <v>-0.70221981320043558</v>
      </c>
      <c r="O139" s="11"/>
      <c r="P139" s="2">
        <v>1234.55</v>
      </c>
      <c r="Q139" s="2"/>
      <c r="R139" s="19">
        <f t="shared" si="24"/>
        <v>6.7625070199593934E-4</v>
      </c>
      <c r="S139" s="2"/>
      <c r="T139" s="2">
        <v>4262.51</v>
      </c>
      <c r="U139" s="2"/>
      <c r="V139" s="19">
        <f t="shared" si="25"/>
        <v>1.3145802939550073E-3</v>
      </c>
      <c r="W139" s="2"/>
      <c r="X139" s="2">
        <f t="shared" si="26"/>
        <v>-3027.96</v>
      </c>
      <c r="Y139" s="2"/>
      <c r="Z139" s="19">
        <f t="shared" si="27"/>
        <v>-0.71037018094972204</v>
      </c>
    </row>
    <row r="140" spans="1:26" s="24" customFormat="1" hidden="1" outlineLevel="1" x14ac:dyDescent="0.25">
      <c r="A140" s="44"/>
      <c r="B140" s="11" t="str">
        <f>CONCATENATE("          ", "5504", " - ", "FREIGHT-IN-DIGITAL TEXT")</f>
        <v xml:space="preserve">          5504 - FREIGHT-IN-DIGITAL TEXT</v>
      </c>
      <c r="C140" s="11"/>
      <c r="D140" s="2"/>
      <c r="E140" s="2"/>
      <c r="F140" s="19">
        <f t="shared" si="20"/>
        <v>0</v>
      </c>
      <c r="G140" s="2"/>
      <c r="H140" s="2">
        <v>7.03</v>
      </c>
      <c r="I140" s="2"/>
      <c r="J140" s="19">
        <f t="shared" si="21"/>
        <v>2.482586535930293E-6</v>
      </c>
      <c r="K140" s="2"/>
      <c r="L140" s="2">
        <f t="shared" si="22"/>
        <v>-7.03</v>
      </c>
      <c r="M140" s="2"/>
      <c r="N140" s="19">
        <f t="shared" si="23"/>
        <v>-1</v>
      </c>
      <c r="O140" s="11"/>
      <c r="P140" s="2"/>
      <c r="Q140" s="2"/>
      <c r="R140" s="19">
        <f t="shared" si="24"/>
        <v>0</v>
      </c>
      <c r="S140" s="2"/>
      <c r="T140" s="2">
        <v>7.03</v>
      </c>
      <c r="U140" s="2"/>
      <c r="V140" s="19">
        <f t="shared" si="25"/>
        <v>2.1680886300568682E-6</v>
      </c>
      <c r="W140" s="2"/>
      <c r="X140" s="2">
        <f t="shared" si="26"/>
        <v>-7.03</v>
      </c>
      <c r="Y140" s="2"/>
      <c r="Z140" s="19">
        <f t="shared" si="27"/>
        <v>-1</v>
      </c>
    </row>
    <row r="141" spans="1:26" s="24" customFormat="1" hidden="1" outlineLevel="1" x14ac:dyDescent="0.25">
      <c r="A141" s="44"/>
      <c r="B141" s="11" t="str">
        <f>CONCATENATE("          ", "5526", " - ", "FREIGHT-IN-WRITING INSTRUMENTS")</f>
        <v xml:space="preserve">          5526 - FREIGHT-IN-WRITING INSTRUMENTS</v>
      </c>
      <c r="C141" s="11"/>
      <c r="D141" s="2"/>
      <c r="E141" s="2"/>
      <c r="F141" s="19">
        <f t="shared" si="20"/>
        <v>0</v>
      </c>
      <c r="G141" s="2"/>
      <c r="H141" s="2">
        <v>17.46</v>
      </c>
      <c r="I141" s="2"/>
      <c r="J141" s="19">
        <f t="shared" si="21"/>
        <v>6.1658550380288638E-6</v>
      </c>
      <c r="K141" s="2"/>
      <c r="L141" s="2">
        <f t="shared" si="22"/>
        <v>-17.46</v>
      </c>
      <c r="M141" s="2"/>
      <c r="N141" s="19">
        <f t="shared" si="23"/>
        <v>-1</v>
      </c>
      <c r="O141" s="11"/>
      <c r="P141" s="2"/>
      <c r="Q141" s="2"/>
      <c r="R141" s="19">
        <f t="shared" si="24"/>
        <v>0</v>
      </c>
      <c r="S141" s="2"/>
      <c r="T141" s="2">
        <v>56.57</v>
      </c>
      <c r="U141" s="2"/>
      <c r="V141" s="19">
        <f t="shared" si="25"/>
        <v>1.74464827599313E-5</v>
      </c>
      <c r="W141" s="2"/>
      <c r="X141" s="2">
        <f t="shared" si="26"/>
        <v>-56.57</v>
      </c>
      <c r="Y141" s="2"/>
      <c r="Z141" s="19">
        <f t="shared" si="27"/>
        <v>-1</v>
      </c>
    </row>
    <row r="142" spans="1:26" s="24" customFormat="1" hidden="1" outlineLevel="1" x14ac:dyDescent="0.25">
      <c r="A142" s="44"/>
      <c r="B142" s="11" t="str">
        <f>CONCATENATE("          ", "5527", " - ", "FREIGHT-IN-SCHOOL SUPPLIES")</f>
        <v xml:space="preserve">          5527 - FREIGHT-IN-SCHOOL SUPPLIES</v>
      </c>
      <c r="C142" s="11"/>
      <c r="D142" s="2"/>
      <c r="E142" s="2"/>
      <c r="F142" s="19">
        <f t="shared" si="20"/>
        <v>0</v>
      </c>
      <c r="G142" s="2"/>
      <c r="H142" s="2">
        <v>10.49</v>
      </c>
      <c r="I142" s="2"/>
      <c r="J142" s="19">
        <f t="shared" si="21"/>
        <v>3.7044570073838938E-6</v>
      </c>
      <c r="K142" s="2"/>
      <c r="L142" s="2">
        <f t="shared" si="22"/>
        <v>-10.49</v>
      </c>
      <c r="M142" s="2"/>
      <c r="N142" s="19">
        <f t="shared" si="23"/>
        <v>-1</v>
      </c>
      <c r="O142" s="11"/>
      <c r="P142" s="2"/>
      <c r="Q142" s="2"/>
      <c r="R142" s="19">
        <f t="shared" si="24"/>
        <v>0</v>
      </c>
      <c r="S142" s="2"/>
      <c r="T142" s="2">
        <v>260.51</v>
      </c>
      <c r="U142" s="2"/>
      <c r="V142" s="19">
        <f t="shared" si="25"/>
        <v>8.0342641396317891E-5</v>
      </c>
      <c r="W142" s="2"/>
      <c r="X142" s="2">
        <f t="shared" si="26"/>
        <v>-260.51</v>
      </c>
      <c r="Y142" s="2"/>
      <c r="Z142" s="19">
        <f t="shared" si="27"/>
        <v>-1</v>
      </c>
    </row>
    <row r="143" spans="1:26" s="24" customFormat="1" hidden="1" outlineLevel="1" x14ac:dyDescent="0.25">
      <c r="A143" s="44"/>
      <c r="B143" s="11" t="str">
        <f>CONCATENATE("          ", "5528", " - ", "FREIGHT-IN-ART/TECH")</f>
        <v xml:space="preserve">          5528 - FREIGHT-IN-ART/TECH</v>
      </c>
      <c r="C143" s="11"/>
      <c r="D143" s="2"/>
      <c r="E143" s="2"/>
      <c r="F143" s="19">
        <f t="shared" si="20"/>
        <v>0</v>
      </c>
      <c r="G143" s="2"/>
      <c r="H143" s="2">
        <v>255.45</v>
      </c>
      <c r="I143" s="2"/>
      <c r="J143" s="19">
        <f t="shared" si="21"/>
        <v>9.0210061252260783E-5</v>
      </c>
      <c r="K143" s="2"/>
      <c r="L143" s="2">
        <f t="shared" si="22"/>
        <v>-255.45</v>
      </c>
      <c r="M143" s="2"/>
      <c r="N143" s="19">
        <f t="shared" si="23"/>
        <v>-1</v>
      </c>
      <c r="O143" s="11"/>
      <c r="P143" s="2">
        <v>38.049999999999997</v>
      </c>
      <c r="Q143" s="2"/>
      <c r="R143" s="19">
        <f t="shared" si="24"/>
        <v>2.0842686979827057E-5</v>
      </c>
      <c r="S143" s="2"/>
      <c r="T143" s="2">
        <v>299.8</v>
      </c>
      <c r="U143" s="2"/>
      <c r="V143" s="19">
        <f t="shared" si="25"/>
        <v>9.2459882118214672E-5</v>
      </c>
      <c r="W143" s="2"/>
      <c r="X143" s="2">
        <f t="shared" si="26"/>
        <v>-261.75</v>
      </c>
      <c r="Y143" s="2"/>
      <c r="Z143" s="19">
        <f t="shared" si="27"/>
        <v>-0.87308205470313538</v>
      </c>
    </row>
    <row r="144" spans="1:26" s="24" customFormat="1" hidden="1" outlineLevel="1" x14ac:dyDescent="0.25">
      <c r="A144" s="44"/>
      <c r="B144" s="11" t="str">
        <f>CONCATENATE("          ", "5540", " - ", "FREIGHT-IN-LOGO CLOTHING")</f>
        <v xml:space="preserve">          5540 - FREIGHT-IN-LOGO CLOTHING</v>
      </c>
      <c r="C144" s="11"/>
      <c r="D144" s="2">
        <v>1021.7</v>
      </c>
      <c r="E144" s="2"/>
      <c r="F144" s="19">
        <f t="shared" si="20"/>
        <v>6.3939646881049734E-4</v>
      </c>
      <c r="G144" s="2"/>
      <c r="H144" s="2">
        <v>1936.72</v>
      </c>
      <c r="I144" s="2"/>
      <c r="J144" s="19">
        <f t="shared" si="21"/>
        <v>6.8393669926983171E-4</v>
      </c>
      <c r="K144" s="2"/>
      <c r="L144" s="2">
        <f t="shared" si="22"/>
        <v>-915.02</v>
      </c>
      <c r="M144" s="2"/>
      <c r="N144" s="19">
        <f t="shared" si="23"/>
        <v>-0.47245858978066008</v>
      </c>
      <c r="O144" s="11"/>
      <c r="P144" s="2">
        <v>1931.53</v>
      </c>
      <c r="Q144" s="2"/>
      <c r="R144" s="19">
        <f t="shared" si="24"/>
        <v>1.0580361414492866E-3</v>
      </c>
      <c r="S144" s="2"/>
      <c r="T144" s="2">
        <v>2331.94</v>
      </c>
      <c r="U144" s="2"/>
      <c r="V144" s="19">
        <f t="shared" si="25"/>
        <v>7.1918244665360078E-4</v>
      </c>
      <c r="W144" s="2"/>
      <c r="X144" s="2">
        <f t="shared" si="26"/>
        <v>-400.41000000000008</v>
      </c>
      <c r="Y144" s="2"/>
      <c r="Z144" s="19">
        <f t="shared" si="27"/>
        <v>-0.17170681921490263</v>
      </c>
    </row>
    <row r="145" spans="1:26" s="24" customFormat="1" hidden="1" outlineLevel="1" x14ac:dyDescent="0.25">
      <c r="A145" s="44"/>
      <c r="B145" s="11" t="str">
        <f>CONCATENATE("          ", "5541", " - ", "FREIGHT-IN-LOGO GIFTS")</f>
        <v xml:space="preserve">          5541 - FREIGHT-IN-LOGO GIFTS</v>
      </c>
      <c r="C145" s="11"/>
      <c r="D145" s="2">
        <v>123.12</v>
      </c>
      <c r="E145" s="2"/>
      <c r="F145" s="19">
        <f t="shared" si="20"/>
        <v>7.7050497445383607E-5</v>
      </c>
      <c r="G145" s="2"/>
      <c r="H145" s="2">
        <v>405.92</v>
      </c>
      <c r="I145" s="2"/>
      <c r="J145" s="19">
        <f t="shared" si="21"/>
        <v>1.4334730109030221E-4</v>
      </c>
      <c r="K145" s="2"/>
      <c r="L145" s="2">
        <f t="shared" si="22"/>
        <v>-282.8</v>
      </c>
      <c r="M145" s="2"/>
      <c r="N145" s="19">
        <f t="shared" si="23"/>
        <v>-0.69668900275916434</v>
      </c>
      <c r="O145" s="11"/>
      <c r="P145" s="2">
        <v>206.7</v>
      </c>
      <c r="Q145" s="2"/>
      <c r="R145" s="19">
        <f t="shared" si="24"/>
        <v>1.1322426803496065E-4</v>
      </c>
      <c r="S145" s="2"/>
      <c r="T145" s="2">
        <v>720.41</v>
      </c>
      <c r="U145" s="2"/>
      <c r="V145" s="19">
        <f t="shared" si="25"/>
        <v>2.2217819772109082E-4</v>
      </c>
      <c r="W145" s="2"/>
      <c r="X145" s="2">
        <f t="shared" si="26"/>
        <v>-513.71</v>
      </c>
      <c r="Y145" s="2"/>
      <c r="Z145" s="19">
        <f t="shared" si="27"/>
        <v>-0.71308005163726218</v>
      </c>
    </row>
    <row r="146" spans="1:26" s="24" customFormat="1" hidden="1" outlineLevel="1" x14ac:dyDescent="0.25">
      <c r="A146" s="44"/>
      <c r="B146" s="11" t="str">
        <f>CONCATENATE("          ", "5542", " - ", "FREIGHT-IN-EVERYDAY GIFTS")</f>
        <v xml:space="preserve">          5542 - FREIGHT-IN-EVERYDAY GIFTS</v>
      </c>
      <c r="C146" s="11"/>
      <c r="D146" s="2"/>
      <c r="E146" s="2"/>
      <c r="F146" s="19">
        <f t="shared" si="20"/>
        <v>0</v>
      </c>
      <c r="G146" s="2"/>
      <c r="H146" s="2">
        <v>83.05</v>
      </c>
      <c r="I146" s="2"/>
      <c r="J146" s="19">
        <f t="shared" si="21"/>
        <v>2.9328422732433969E-5</v>
      </c>
      <c r="K146" s="2"/>
      <c r="L146" s="2">
        <f t="shared" si="22"/>
        <v>-83.05</v>
      </c>
      <c r="M146" s="2"/>
      <c r="N146" s="19">
        <f t="shared" si="23"/>
        <v>-1</v>
      </c>
      <c r="O146" s="11"/>
      <c r="P146" s="2">
        <v>5.94</v>
      </c>
      <c r="Q146" s="2"/>
      <c r="R146" s="19">
        <f t="shared" si="24"/>
        <v>3.2537598071004658E-6</v>
      </c>
      <c r="S146" s="2"/>
      <c r="T146" s="2">
        <v>112.77</v>
      </c>
      <c r="U146" s="2"/>
      <c r="V146" s="19">
        <f t="shared" si="25"/>
        <v>3.4778855591964869E-5</v>
      </c>
      <c r="W146" s="2"/>
      <c r="X146" s="2">
        <f t="shared" si="26"/>
        <v>-106.83</v>
      </c>
      <c r="Y146" s="2"/>
      <c r="Z146" s="19">
        <f t="shared" si="27"/>
        <v>-0.94732641660015959</v>
      </c>
    </row>
    <row r="147" spans="1:26" s="24" customFormat="1" hidden="1" outlineLevel="1" x14ac:dyDescent="0.25">
      <c r="A147" s="44"/>
      <c r="B147" s="11" t="str">
        <f>CONCATENATE("          ", "5543", " - ", "FREIGHT-IN-CARDS")</f>
        <v xml:space="preserve">          5543 - FREIGHT-IN-CARDS</v>
      </c>
      <c r="C147" s="11"/>
      <c r="D147" s="2"/>
      <c r="E147" s="2"/>
      <c r="F147" s="19">
        <f t="shared" si="20"/>
        <v>0</v>
      </c>
      <c r="G147" s="2"/>
      <c r="H147" s="2">
        <v>4.58</v>
      </c>
      <c r="I147" s="2"/>
      <c r="J147" s="19">
        <f t="shared" si="21"/>
        <v>1.6173892367796217E-6</v>
      </c>
      <c r="K147" s="2"/>
      <c r="L147" s="2">
        <f t="shared" si="22"/>
        <v>-4.58</v>
      </c>
      <c r="M147" s="2"/>
      <c r="N147" s="19">
        <f t="shared" si="23"/>
        <v>-1</v>
      </c>
      <c r="O147" s="11"/>
      <c r="P147" s="2"/>
      <c r="Q147" s="2"/>
      <c r="R147" s="19">
        <f t="shared" si="24"/>
        <v>0</v>
      </c>
      <c r="S147" s="2"/>
      <c r="T147" s="2">
        <v>4.58</v>
      </c>
      <c r="U147" s="2"/>
      <c r="V147" s="19">
        <f t="shared" si="25"/>
        <v>1.4124958642475757E-6</v>
      </c>
      <c r="W147" s="2"/>
      <c r="X147" s="2">
        <f t="shared" si="26"/>
        <v>-4.58</v>
      </c>
      <c r="Y147" s="2"/>
      <c r="Z147" s="19">
        <f t="shared" si="27"/>
        <v>-1</v>
      </c>
    </row>
    <row r="148" spans="1:26" s="24" customFormat="1" hidden="1" outlineLevel="1" x14ac:dyDescent="0.25">
      <c r="A148" s="44"/>
      <c r="B148" s="11" t="str">
        <f>CONCATENATE("          ", "5544", " - ", "FREIGHT-IN-ACCESSORIES")</f>
        <v xml:space="preserve">          5544 - FREIGHT-IN-ACCESSORIES</v>
      </c>
      <c r="C148" s="11"/>
      <c r="D148" s="2"/>
      <c r="E148" s="2"/>
      <c r="F148" s="19">
        <f t="shared" si="20"/>
        <v>0</v>
      </c>
      <c r="G148" s="2"/>
      <c r="H148" s="2">
        <v>84.93</v>
      </c>
      <c r="I148" s="2"/>
      <c r="J148" s="19">
        <f t="shared" si="21"/>
        <v>2.999232923137408E-5</v>
      </c>
      <c r="K148" s="2"/>
      <c r="L148" s="2">
        <f t="shared" si="22"/>
        <v>-84.93</v>
      </c>
      <c r="M148" s="2"/>
      <c r="N148" s="19">
        <f t="shared" si="23"/>
        <v>-1</v>
      </c>
      <c r="O148" s="11"/>
      <c r="P148" s="2"/>
      <c r="Q148" s="2"/>
      <c r="R148" s="19">
        <f t="shared" si="24"/>
        <v>0</v>
      </c>
      <c r="S148" s="2"/>
      <c r="T148" s="2">
        <v>101.66</v>
      </c>
      <c r="U148" s="2"/>
      <c r="V148" s="19">
        <f t="shared" si="25"/>
        <v>3.1352473702927626E-5</v>
      </c>
      <c r="W148" s="2"/>
      <c r="X148" s="2">
        <f t="shared" si="26"/>
        <v>-101.66</v>
      </c>
      <c r="Y148" s="2"/>
      <c r="Z148" s="19">
        <f t="shared" si="27"/>
        <v>-1</v>
      </c>
    </row>
    <row r="149" spans="1:26" s="24" customFormat="1" hidden="1" outlineLevel="1" x14ac:dyDescent="0.25">
      <c r="A149" s="44"/>
      <c r="B149" s="11" t="str">
        <f>CONCATENATE("          ", "5545", " - ", "FREIGHT-IN-SPECIAL ORDERS")</f>
        <v xml:space="preserve">          5545 - FREIGHT-IN-SPECIAL ORDERS</v>
      </c>
      <c r="C149" s="11"/>
      <c r="D149" s="2">
        <v>145.6</v>
      </c>
      <c r="E149" s="2"/>
      <c r="F149" s="19">
        <f t="shared" si="20"/>
        <v>9.1118846881480285E-5</v>
      </c>
      <c r="G149" s="2"/>
      <c r="H149" s="2">
        <v>8.8699999999999992</v>
      </c>
      <c r="I149" s="2"/>
      <c r="J149" s="19">
        <f t="shared" si="21"/>
        <v>3.1323673646801845E-6</v>
      </c>
      <c r="K149" s="2"/>
      <c r="L149" s="2">
        <f t="shared" si="22"/>
        <v>136.72999999999999</v>
      </c>
      <c r="M149" s="2"/>
      <c r="N149" s="19">
        <f t="shared" si="23"/>
        <v>15.414881623449832</v>
      </c>
      <c r="O149" s="11"/>
      <c r="P149" s="2">
        <v>446</v>
      </c>
      <c r="Q149" s="2"/>
      <c r="R149" s="19">
        <f t="shared" si="24"/>
        <v>2.443058710381831E-4</v>
      </c>
      <c r="S149" s="2"/>
      <c r="T149" s="2">
        <v>235.95</v>
      </c>
      <c r="U149" s="2"/>
      <c r="V149" s="19">
        <f t="shared" si="25"/>
        <v>7.2768209425592894E-5</v>
      </c>
      <c r="W149" s="2"/>
      <c r="X149" s="2">
        <f t="shared" si="26"/>
        <v>210.05</v>
      </c>
      <c r="Y149" s="2"/>
      <c r="Z149" s="19">
        <f t="shared" si="27"/>
        <v>0.89023098114007215</v>
      </c>
    </row>
    <row r="150" spans="1:26" s="24" customFormat="1" hidden="1" outlineLevel="1" x14ac:dyDescent="0.25">
      <c r="A150" s="44"/>
      <c r="B150" s="11" t="str">
        <f>CONCATENATE("          ", "5592", " - ", "FREIGHT-IN-GRAD MERCH")</f>
        <v xml:space="preserve">          5592 - FREIGHT-IN-GRAD MERCH</v>
      </c>
      <c r="C150" s="11"/>
      <c r="D150" s="2"/>
      <c r="E150" s="2"/>
      <c r="F150" s="19">
        <f t="shared" si="20"/>
        <v>0</v>
      </c>
      <c r="G150" s="2"/>
      <c r="H150" s="2">
        <v>59.57</v>
      </c>
      <c r="I150" s="2"/>
      <c r="J150" s="19">
        <f t="shared" si="21"/>
        <v>2.1036654330777745E-5</v>
      </c>
      <c r="K150" s="2"/>
      <c r="L150" s="2">
        <f t="shared" si="22"/>
        <v>-59.57</v>
      </c>
      <c r="M150" s="2"/>
      <c r="N150" s="19">
        <f t="shared" si="23"/>
        <v>-1</v>
      </c>
      <c r="O150" s="11"/>
      <c r="P150" s="2"/>
      <c r="Q150" s="2"/>
      <c r="R150" s="19">
        <f t="shared" si="24"/>
        <v>0</v>
      </c>
      <c r="S150" s="2"/>
      <c r="T150" s="2">
        <v>59.57</v>
      </c>
      <c r="U150" s="2"/>
      <c r="V150" s="19">
        <f t="shared" si="25"/>
        <v>1.8371698391534515E-5</v>
      </c>
      <c r="W150" s="2"/>
      <c r="X150" s="2">
        <f t="shared" si="26"/>
        <v>-59.57</v>
      </c>
      <c r="Y150" s="2"/>
      <c r="Z150" s="19">
        <f t="shared" si="27"/>
        <v>-1</v>
      </c>
    </row>
    <row r="151" spans="1:26" x14ac:dyDescent="0.25">
      <c r="A151" s="9"/>
      <c r="B151" s="10"/>
      <c r="C151" s="10"/>
      <c r="D151" s="3"/>
      <c r="E151" s="3"/>
      <c r="F151" s="8"/>
      <c r="G151" s="3"/>
      <c r="H151" s="3"/>
      <c r="I151" s="3"/>
      <c r="J151" s="8"/>
      <c r="K151" s="3"/>
      <c r="L151" s="3"/>
      <c r="M151" s="3"/>
      <c r="N151" s="8"/>
      <c r="O151" s="10"/>
      <c r="P151" s="3"/>
      <c r="Q151" s="3"/>
      <c r="R151" s="8"/>
      <c r="S151" s="3"/>
      <c r="T151" s="3"/>
      <c r="U151" s="3"/>
      <c r="V151" s="8"/>
      <c r="W151" s="3"/>
      <c r="X151" s="3"/>
      <c r="Y151" s="3"/>
      <c r="Z151" s="8"/>
    </row>
    <row r="152" spans="1:26" s="23" customFormat="1" x14ac:dyDescent="0.25">
      <c r="A152" s="10"/>
      <c r="B152" s="26" t="s">
        <v>6</v>
      </c>
      <c r="C152" s="26"/>
      <c r="D152" s="22">
        <f>D12-D101</f>
        <v>518532.8200000003</v>
      </c>
      <c r="E152" s="13"/>
      <c r="F152" s="21">
        <f>IF(D$12=0,0,D152/D$12)</f>
        <v>0.32450626805358657</v>
      </c>
      <c r="G152" s="13"/>
      <c r="H152" s="22">
        <f>H12-H101</f>
        <v>995247.71999999974</v>
      </c>
      <c r="I152" s="13"/>
      <c r="J152" s="21">
        <f>IF(H$12=0,0,H152/H$12)</f>
        <v>0.35146352625708699</v>
      </c>
      <c r="K152" s="16"/>
      <c r="L152" s="22">
        <f>+D152-H152</f>
        <v>-476714.89999999944</v>
      </c>
      <c r="M152" s="16"/>
      <c r="N152" s="21">
        <f>IF(H152=0,0,L152/H152)</f>
        <v>-0.47899120030136777</v>
      </c>
      <c r="O152" s="25"/>
      <c r="P152" s="22">
        <f>P12-P101</f>
        <v>605031.67000000016</v>
      </c>
      <c r="Q152" s="13"/>
      <c r="R152" s="21">
        <f>IF(P$12=0,0,P152/P$12)</f>
        <v>0.33141880974223453</v>
      </c>
      <c r="S152" s="13"/>
      <c r="T152" s="22">
        <f>T12-T101</f>
        <v>1186822.2899999996</v>
      </c>
      <c r="U152" s="13"/>
      <c r="V152" s="21">
        <f>IF(T$12=0,0,T152/T$12)</f>
        <v>0.36602217821437472</v>
      </c>
      <c r="W152" s="16"/>
      <c r="X152" s="22">
        <f>+P152-T152</f>
        <v>-581790.61999999941</v>
      </c>
      <c r="Y152" s="16"/>
      <c r="Z152" s="21">
        <f>IF(T152=0,0,X152/T152)</f>
        <v>-0.4902087068149012</v>
      </c>
    </row>
    <row r="153" spans="1:26" x14ac:dyDescent="0.25">
      <c r="A153" s="9"/>
      <c r="B153" s="10"/>
      <c r="C153" s="9"/>
      <c r="D153" s="1"/>
      <c r="E153" s="1"/>
      <c r="F153" s="5"/>
      <c r="G153" s="1"/>
      <c r="H153" s="1"/>
      <c r="I153" s="1"/>
      <c r="J153" s="5"/>
      <c r="K153" s="1"/>
      <c r="L153" s="1"/>
      <c r="M153" s="1"/>
      <c r="N153" s="5"/>
      <c r="O153" s="37"/>
      <c r="P153" s="1"/>
      <c r="Q153" s="1"/>
      <c r="R153" s="5"/>
      <c r="S153" s="1"/>
      <c r="T153" s="1"/>
      <c r="U153" s="1"/>
      <c r="V153" s="5"/>
      <c r="W153" s="1"/>
      <c r="X153" s="1"/>
      <c r="Y153" s="1"/>
      <c r="Z153" s="5"/>
    </row>
    <row r="154" spans="1:26" s="23" customFormat="1" x14ac:dyDescent="0.25">
      <c r="A154" s="10"/>
      <c r="B154" s="25" t="s">
        <v>9</v>
      </c>
      <c r="C154" s="10"/>
      <c r="D154" s="20">
        <f>SUM(OSRRefD22x_0)</f>
        <v>253866.56000000003</v>
      </c>
      <c r="E154" s="20"/>
      <c r="F154" s="35">
        <f t="shared" ref="F154:F165" si="28">IF(D$12=0,0,D154/D$12)</f>
        <v>0.15887382011653936</v>
      </c>
      <c r="G154" s="20"/>
      <c r="H154" s="20">
        <f>SUM(OSRRefH22x_0)</f>
        <v>498090.2200000002</v>
      </c>
      <c r="I154" s="20"/>
      <c r="J154" s="35">
        <f t="shared" ref="J154:J165" si="29">IF(H$12=0,0,H154/H$12)</f>
        <v>0.17589645431729131</v>
      </c>
      <c r="K154" s="4"/>
      <c r="L154" s="20">
        <f t="shared" ref="L154:L165" si="30">+D154-H154</f>
        <v>-244223.66000000018</v>
      </c>
      <c r="M154" s="4"/>
      <c r="N154" s="35">
        <f t="shared" ref="N154:N165" si="31">IF(H154=0,0,L154/H154)</f>
        <v>-0.49032012714483747</v>
      </c>
      <c r="O154" s="10"/>
      <c r="P154" s="20">
        <f>SUM(OSRRefP22x_0)</f>
        <v>607742.44000000018</v>
      </c>
      <c r="Q154" s="20"/>
      <c r="R154" s="35">
        <f t="shared" ref="R154:R165" si="32">IF(P$12=0,0,P154/P$12)</f>
        <v>0.33290369096652644</v>
      </c>
      <c r="S154" s="20"/>
      <c r="T154" s="20">
        <f>SUM(OSRRefT22x_0)</f>
        <v>938579.19000000006</v>
      </c>
      <c r="U154" s="20"/>
      <c r="V154" s="35">
        <f t="shared" ref="V154:V165" si="33">IF(T$12=0,0,T154/T$12)</f>
        <v>0.28946271269516149</v>
      </c>
      <c r="W154" s="4"/>
      <c r="X154" s="20">
        <f t="shared" ref="X154:X165" si="34">+P154-T154</f>
        <v>-330836.74999999988</v>
      </c>
      <c r="Y154" s="4"/>
      <c r="Z154" s="35">
        <f t="shared" ref="Z154:Z165" si="35">IF(T154=0,0,X154/T154)</f>
        <v>-0.35248677311927173</v>
      </c>
    </row>
    <row r="155" spans="1:26" s="28" customFormat="1" outlineLevel="1" collapsed="1" x14ac:dyDescent="0.25">
      <c r="A155" s="27"/>
      <c r="B155" s="14" t="str">
        <f>CONCATENATE("     ","*Benefits                                         ")</f>
        <v xml:space="preserve">     *Benefits                                         </v>
      </c>
      <c r="C155" s="14"/>
      <c r="D155" s="1">
        <f>SUM(OSRRefD22_0x_0)</f>
        <v>51389.34</v>
      </c>
      <c r="E155" s="1"/>
      <c r="F155" s="5">
        <f t="shared" si="28"/>
        <v>3.2160284359892377E-2</v>
      </c>
      <c r="G155" s="1"/>
      <c r="H155" s="1">
        <f>SUM(OSRRefH22_0x_0)</f>
        <v>66531.62000000001</v>
      </c>
      <c r="I155" s="1"/>
      <c r="J155" s="5">
        <f t="shared" si="29"/>
        <v>2.3495093033517867E-2</v>
      </c>
      <c r="K155" s="1"/>
      <c r="L155" s="1">
        <f t="shared" si="30"/>
        <v>-15142.280000000013</v>
      </c>
      <c r="M155" s="1"/>
      <c r="N155" s="5">
        <f t="shared" si="31"/>
        <v>-0.22759523967701389</v>
      </c>
      <c r="O155" s="14"/>
      <c r="P155" s="1">
        <f>SUM(OSRRefP22_0x_0)</f>
        <v>101051.01</v>
      </c>
      <c r="Q155" s="1"/>
      <c r="R155" s="5">
        <f t="shared" si="32"/>
        <v>5.5352813940220069E-2</v>
      </c>
      <c r="S155" s="1"/>
      <c r="T155" s="1">
        <f>SUM(OSRRefT22_0x_0)</f>
        <v>136133.72</v>
      </c>
      <c r="U155" s="1"/>
      <c r="V155" s="5">
        <f t="shared" si="33"/>
        <v>4.198434857743176E-2</v>
      </c>
      <c r="W155" s="1"/>
      <c r="X155" s="1">
        <f t="shared" si="34"/>
        <v>-35082.710000000006</v>
      </c>
      <c r="Y155" s="1"/>
      <c r="Z155" s="5">
        <f t="shared" si="35"/>
        <v>-0.25770771561961286</v>
      </c>
    </row>
    <row r="156" spans="1:26" s="24" customFormat="1" hidden="1" outlineLevel="2" x14ac:dyDescent="0.25">
      <c r="A156" s="29"/>
      <c r="B156" s="11" t="str">
        <f>CONCATENATE("          ", "6111", " - ", "F.I.C.A.")</f>
        <v xml:space="preserve">          6111 - F.I.C.A.</v>
      </c>
      <c r="C156" s="11"/>
      <c r="D156" s="7">
        <v>11412.37</v>
      </c>
      <c r="E156" s="2"/>
      <c r="F156" s="6">
        <f t="shared" si="28"/>
        <v>7.1420466661043904E-3</v>
      </c>
      <c r="G156" s="2"/>
      <c r="H156" s="7">
        <v>16701.11</v>
      </c>
      <c r="I156" s="2"/>
      <c r="J156" s="6">
        <f t="shared" si="29"/>
        <v>5.8978592917625569E-3</v>
      </c>
      <c r="K156" s="2"/>
      <c r="L156" s="7">
        <f t="shared" si="30"/>
        <v>-5288.74</v>
      </c>
      <c r="M156" s="2"/>
      <c r="N156" s="6">
        <f t="shared" si="31"/>
        <v>-0.31666996984032797</v>
      </c>
      <c r="O156" s="11"/>
      <c r="P156" s="7">
        <v>19840.489999999998</v>
      </c>
      <c r="Q156" s="2"/>
      <c r="R156" s="6">
        <f t="shared" si="32"/>
        <v>1.0868045271915608E-2</v>
      </c>
      <c r="S156" s="2"/>
      <c r="T156" s="7">
        <v>29745.16</v>
      </c>
      <c r="U156" s="2"/>
      <c r="V156" s="6">
        <f t="shared" si="33"/>
        <v>9.1735623321795665E-3</v>
      </c>
      <c r="W156" s="2"/>
      <c r="X156" s="7">
        <f t="shared" si="34"/>
        <v>-9904.6700000000019</v>
      </c>
      <c r="Y156" s="2"/>
      <c r="Z156" s="6">
        <f t="shared" si="35"/>
        <v>-0.33298425693457362</v>
      </c>
    </row>
    <row r="157" spans="1:26" s="24" customFormat="1" hidden="1" outlineLevel="2" x14ac:dyDescent="0.25">
      <c r="A157" s="29"/>
      <c r="B157" s="11" t="str">
        <f>CONCATENATE("          ", "6112", " - ", "COMPENSATION INSURANCE")</f>
        <v xml:space="preserve">          6112 - COMPENSATION INSURANCE</v>
      </c>
      <c r="C157" s="11"/>
      <c r="D157" s="7">
        <v>2528.56</v>
      </c>
      <c r="E157" s="2"/>
      <c r="F157" s="6">
        <f t="shared" si="28"/>
        <v>1.5824139524082128E-3</v>
      </c>
      <c r="G157" s="2"/>
      <c r="H157" s="7">
        <v>3702.03</v>
      </c>
      <c r="I157" s="2"/>
      <c r="J157" s="6">
        <f t="shared" si="29"/>
        <v>1.3073413703570444E-3</v>
      </c>
      <c r="K157" s="2"/>
      <c r="L157" s="7">
        <f t="shared" si="30"/>
        <v>-1173.4700000000003</v>
      </c>
      <c r="M157" s="2"/>
      <c r="N157" s="6">
        <f t="shared" si="31"/>
        <v>-0.31698014332676944</v>
      </c>
      <c r="O157" s="11"/>
      <c r="P157" s="7">
        <v>4477.37</v>
      </c>
      <c r="Q157" s="2"/>
      <c r="R157" s="6">
        <f t="shared" si="32"/>
        <v>2.4525734928480493E-3</v>
      </c>
      <c r="S157" s="2"/>
      <c r="T157" s="7">
        <v>6365.96</v>
      </c>
      <c r="U157" s="2"/>
      <c r="V157" s="6">
        <f t="shared" si="33"/>
        <v>1.9632952340536019E-3</v>
      </c>
      <c r="W157" s="2"/>
      <c r="X157" s="7">
        <f t="shared" si="34"/>
        <v>-1888.5900000000001</v>
      </c>
      <c r="Y157" s="2"/>
      <c r="Z157" s="6">
        <f t="shared" si="35"/>
        <v>-0.29667010160290047</v>
      </c>
    </row>
    <row r="158" spans="1:26" s="24" customFormat="1" hidden="1" outlineLevel="2" x14ac:dyDescent="0.25">
      <c r="A158" s="29"/>
      <c r="B158" s="11" t="str">
        <f>CONCATENATE("          ", "6113", " - ", "GROUP INSURANCE")</f>
        <v xml:space="preserve">          6113 - GROUP INSURANCE</v>
      </c>
      <c r="C158" s="11"/>
      <c r="D158" s="7">
        <v>18240.329999999998</v>
      </c>
      <c r="E158" s="2"/>
      <c r="F158" s="6">
        <f t="shared" si="28"/>
        <v>1.1415095029791697E-2</v>
      </c>
      <c r="G158" s="2"/>
      <c r="H158" s="7">
        <v>25376.27</v>
      </c>
      <c r="I158" s="2"/>
      <c r="J158" s="6">
        <f t="shared" si="29"/>
        <v>8.961420516946204E-3</v>
      </c>
      <c r="K158" s="2"/>
      <c r="L158" s="7">
        <f t="shared" si="30"/>
        <v>-7135.9400000000023</v>
      </c>
      <c r="M158" s="2"/>
      <c r="N158" s="6">
        <f t="shared" si="31"/>
        <v>-0.28120523623054144</v>
      </c>
      <c r="O158" s="11"/>
      <c r="P158" s="7">
        <v>36329.58</v>
      </c>
      <c r="Q158" s="2"/>
      <c r="R158" s="6">
        <f t="shared" si="32"/>
        <v>1.990029077657255E-2</v>
      </c>
      <c r="S158" s="2"/>
      <c r="T158" s="7">
        <v>50752.54</v>
      </c>
      <c r="U158" s="2"/>
      <c r="V158" s="6">
        <f t="shared" si="33"/>
        <v>1.5652347783855821E-2</v>
      </c>
      <c r="W158" s="2"/>
      <c r="X158" s="7">
        <f t="shared" si="34"/>
        <v>-14422.96</v>
      </c>
      <c r="Y158" s="2"/>
      <c r="Z158" s="6">
        <f t="shared" si="35"/>
        <v>-0.28418203305686768</v>
      </c>
    </row>
    <row r="159" spans="1:26" s="24" customFormat="1" hidden="1" outlineLevel="2" x14ac:dyDescent="0.25">
      <c r="A159" s="29"/>
      <c r="B159" s="11" t="str">
        <f>CONCATENATE("          ", "6114", " - ", "STATE UNEMPLOYMENT INSURANCE")</f>
        <v xml:space="preserve">          6114 - STATE UNEMPLOYMENT INSURANCE</v>
      </c>
      <c r="C159" s="11"/>
      <c r="D159" s="7">
        <v>396.16</v>
      </c>
      <c r="E159" s="2"/>
      <c r="F159" s="6">
        <f t="shared" si="28"/>
        <v>2.4792336799840133E-4</v>
      </c>
      <c r="G159" s="2"/>
      <c r="H159" s="7">
        <v>570.70000000000005</v>
      </c>
      <c r="I159" s="2"/>
      <c r="J159" s="6">
        <f t="shared" si="29"/>
        <v>2.0153799943889306E-4</v>
      </c>
      <c r="K159" s="2"/>
      <c r="L159" s="7">
        <f t="shared" si="30"/>
        <v>-174.54000000000002</v>
      </c>
      <c r="M159" s="2"/>
      <c r="N159" s="6">
        <f t="shared" si="31"/>
        <v>-0.30583493954792362</v>
      </c>
      <c r="O159" s="11"/>
      <c r="P159" s="7">
        <v>695.11</v>
      </c>
      <c r="Q159" s="2"/>
      <c r="R159" s="6">
        <f t="shared" si="32"/>
        <v>3.8076110766222302E-4</v>
      </c>
      <c r="S159" s="2"/>
      <c r="T159" s="7">
        <v>1016.17</v>
      </c>
      <c r="U159" s="2"/>
      <c r="V159" s="6">
        <f t="shared" si="33"/>
        <v>3.1339212278874647E-4</v>
      </c>
      <c r="W159" s="2"/>
      <c r="X159" s="7">
        <f t="shared" si="34"/>
        <v>-321.05999999999995</v>
      </c>
      <c r="Y159" s="2"/>
      <c r="Z159" s="6">
        <f t="shared" si="35"/>
        <v>-0.31595107117903498</v>
      </c>
    </row>
    <row r="160" spans="1:26" s="24" customFormat="1" hidden="1" outlineLevel="2" x14ac:dyDescent="0.25">
      <c r="A160" s="29"/>
      <c r="B160" s="11" t="str">
        <f>CONCATENATE("          ", "6115", " - ", "P.E.R.S.")</f>
        <v xml:space="preserve">          6115 - P.E.R.S.</v>
      </c>
      <c r="C160" s="11"/>
      <c r="D160" s="7">
        <v>7091.2</v>
      </c>
      <c r="E160" s="2"/>
      <c r="F160" s="6">
        <f t="shared" si="28"/>
        <v>4.4377882349309963E-3</v>
      </c>
      <c r="G160" s="2"/>
      <c r="H160" s="7">
        <v>7688.58</v>
      </c>
      <c r="I160" s="2"/>
      <c r="J160" s="6">
        <f t="shared" si="29"/>
        <v>2.7151586327770882E-3</v>
      </c>
      <c r="K160" s="2"/>
      <c r="L160" s="7">
        <f t="shared" si="30"/>
        <v>-597.38000000000011</v>
      </c>
      <c r="M160" s="2"/>
      <c r="N160" s="6">
        <f t="shared" si="31"/>
        <v>-7.7697051991395039E-2</v>
      </c>
      <c r="O160" s="11"/>
      <c r="P160" s="7">
        <v>17112.02</v>
      </c>
      <c r="Q160" s="2"/>
      <c r="R160" s="6">
        <f t="shared" si="32"/>
        <v>9.3734685007237899E-3</v>
      </c>
      <c r="S160" s="2"/>
      <c r="T160" s="7">
        <v>15300.969999999998</v>
      </c>
      <c r="U160" s="2"/>
      <c r="V160" s="6">
        <f t="shared" si="33"/>
        <v>4.7188988742306167E-3</v>
      </c>
      <c r="W160" s="2"/>
      <c r="X160" s="7">
        <f t="shared" si="34"/>
        <v>1811.0500000000029</v>
      </c>
      <c r="Y160" s="2"/>
      <c r="Z160" s="6">
        <f t="shared" si="35"/>
        <v>0.11836177706380728</v>
      </c>
    </row>
    <row r="161" spans="1:26" s="24" customFormat="1" hidden="1" outlineLevel="2" x14ac:dyDescent="0.25">
      <c r="A161" s="29"/>
      <c r="B161" s="11" t="str">
        <f>CONCATENATE("          ", "6116", " - ", "EDUCATIONAL BENEFITS")</f>
        <v xml:space="preserve">          6116 - EDUCATIONAL BENEFITS</v>
      </c>
      <c r="C161" s="11"/>
      <c r="D161" s="7"/>
      <c r="E161" s="2"/>
      <c r="F161" s="6">
        <f t="shared" si="28"/>
        <v>0</v>
      </c>
      <c r="G161" s="2"/>
      <c r="H161" s="7"/>
      <c r="I161" s="2"/>
      <c r="J161" s="6">
        <f t="shared" si="29"/>
        <v>0</v>
      </c>
      <c r="K161" s="2"/>
      <c r="L161" s="7">
        <f t="shared" si="30"/>
        <v>0</v>
      </c>
      <c r="M161" s="2"/>
      <c r="N161" s="6">
        <f t="shared" si="31"/>
        <v>0</v>
      </c>
      <c r="O161" s="11"/>
      <c r="P161" s="7">
        <v>0</v>
      </c>
      <c r="Q161" s="2"/>
      <c r="R161" s="6">
        <f t="shared" si="32"/>
        <v>0</v>
      </c>
      <c r="S161" s="2"/>
      <c r="T161" s="7"/>
      <c r="U161" s="2"/>
      <c r="V161" s="6">
        <f t="shared" si="33"/>
        <v>0</v>
      </c>
      <c r="W161" s="2"/>
      <c r="X161" s="7">
        <f t="shared" si="34"/>
        <v>0</v>
      </c>
      <c r="Y161" s="2"/>
      <c r="Z161" s="6">
        <f t="shared" si="35"/>
        <v>0</v>
      </c>
    </row>
    <row r="162" spans="1:26" s="24" customFormat="1" hidden="1" outlineLevel="2" x14ac:dyDescent="0.25">
      <c r="A162" s="29"/>
      <c r="B162" s="11" t="str">
        <f>CONCATENATE("          ", "6117", " - ", "RETIREMENT STAFF HOURLY")</f>
        <v xml:space="preserve">          6117 - RETIREMENT STAFF HOURLY</v>
      </c>
      <c r="C162" s="11"/>
      <c r="D162" s="7">
        <v>255.65</v>
      </c>
      <c r="E162" s="2"/>
      <c r="F162" s="6">
        <f t="shared" si="28"/>
        <v>1.5998992586023652E-4</v>
      </c>
      <c r="G162" s="2"/>
      <c r="H162" s="7">
        <v>94.68</v>
      </c>
      <c r="I162" s="2"/>
      <c r="J162" s="6">
        <f t="shared" si="29"/>
        <v>3.3435461340238995E-5</v>
      </c>
      <c r="K162" s="2"/>
      <c r="L162" s="7">
        <f t="shared" si="30"/>
        <v>160.97</v>
      </c>
      <c r="M162" s="2"/>
      <c r="N162" s="6">
        <f t="shared" si="31"/>
        <v>1.7001478664976764</v>
      </c>
      <c r="O162" s="11"/>
      <c r="P162" s="7">
        <v>588.79</v>
      </c>
      <c r="Q162" s="2"/>
      <c r="R162" s="6">
        <f t="shared" si="32"/>
        <v>3.2252209374119243E-4</v>
      </c>
      <c r="S162" s="2"/>
      <c r="T162" s="7">
        <v>315.37</v>
      </c>
      <c r="U162" s="2"/>
      <c r="V162" s="6">
        <f t="shared" si="33"/>
        <v>9.7261751246235361E-5</v>
      </c>
      <c r="W162" s="2"/>
      <c r="X162" s="7">
        <f t="shared" si="34"/>
        <v>273.41999999999996</v>
      </c>
      <c r="Y162" s="2"/>
      <c r="Z162" s="6">
        <f t="shared" si="35"/>
        <v>0.86698164061261362</v>
      </c>
    </row>
    <row r="163" spans="1:26" s="24" customFormat="1" hidden="1" outlineLevel="2" x14ac:dyDescent="0.25">
      <c r="A163" s="29"/>
      <c r="B163" s="11" t="str">
        <f>CONCATENATE("          ", "6118", " - ", "VACATION")</f>
        <v xml:space="preserve">          6118 - VACATION</v>
      </c>
      <c r="C163" s="11"/>
      <c r="D163" s="7">
        <v>5637.74</v>
      </c>
      <c r="E163" s="2"/>
      <c r="F163" s="6">
        <f t="shared" si="28"/>
        <v>3.5281893394065703E-3</v>
      </c>
      <c r="G163" s="2"/>
      <c r="H163" s="7">
        <v>5761.83</v>
      </c>
      <c r="I163" s="2"/>
      <c r="J163" s="6">
        <f t="shared" si="29"/>
        <v>2.0347427568021678E-3</v>
      </c>
      <c r="K163" s="2"/>
      <c r="L163" s="7">
        <f t="shared" si="30"/>
        <v>-124.09000000000015</v>
      </c>
      <c r="M163" s="2"/>
      <c r="N163" s="6">
        <f t="shared" si="31"/>
        <v>-2.1536560433056885E-2</v>
      </c>
      <c r="O163" s="11"/>
      <c r="P163" s="7">
        <v>11170.32</v>
      </c>
      <c r="Q163" s="2"/>
      <c r="R163" s="6">
        <f t="shared" si="32"/>
        <v>6.1187774829041201E-3</v>
      </c>
      <c r="S163" s="2"/>
      <c r="T163" s="7">
        <v>14462.61</v>
      </c>
      <c r="U163" s="2"/>
      <c r="V163" s="6">
        <f t="shared" si="33"/>
        <v>4.4603442819269937E-3</v>
      </c>
      <c r="W163" s="2"/>
      <c r="X163" s="7">
        <f t="shared" si="34"/>
        <v>-3292.2900000000009</v>
      </c>
      <c r="Y163" s="2"/>
      <c r="Z163" s="6">
        <f t="shared" si="35"/>
        <v>-0.22764148379856752</v>
      </c>
    </row>
    <row r="164" spans="1:26" s="24" customFormat="1" hidden="1" outlineLevel="2" x14ac:dyDescent="0.25">
      <c r="A164" s="29"/>
      <c r="B164" s="11" t="str">
        <f>CONCATENATE("          ", "6119", " - ", "SICK LEAVE")</f>
        <v xml:space="preserve">          6119 - SICK LEAVE</v>
      </c>
      <c r="C164" s="11"/>
      <c r="D164" s="7">
        <v>4067.85</v>
      </c>
      <c r="E164" s="2"/>
      <c r="F164" s="6">
        <f t="shared" si="28"/>
        <v>2.5457266571897634E-3</v>
      </c>
      <c r="G164" s="2"/>
      <c r="H164" s="7">
        <v>4119.29</v>
      </c>
      <c r="I164" s="2"/>
      <c r="J164" s="6">
        <f t="shared" si="29"/>
        <v>1.4546932989462724E-3</v>
      </c>
      <c r="K164" s="2"/>
      <c r="L164" s="7">
        <f t="shared" si="30"/>
        <v>-51.440000000000055</v>
      </c>
      <c r="M164" s="2"/>
      <c r="N164" s="6">
        <f t="shared" si="31"/>
        <v>-1.2487588880608079E-2</v>
      </c>
      <c r="O164" s="11"/>
      <c r="P164" s="7">
        <v>8056.45</v>
      </c>
      <c r="Q164" s="2"/>
      <c r="R164" s="6">
        <f t="shared" si="32"/>
        <v>4.4130897639586778E-3</v>
      </c>
      <c r="S164" s="2"/>
      <c r="T164" s="7">
        <v>13362.91</v>
      </c>
      <c r="U164" s="2"/>
      <c r="V164" s="6">
        <f t="shared" si="33"/>
        <v>4.1211910719023076E-3</v>
      </c>
      <c r="W164" s="2"/>
      <c r="X164" s="7">
        <f t="shared" si="34"/>
        <v>-5306.46</v>
      </c>
      <c r="Y164" s="2"/>
      <c r="Z164" s="6">
        <f t="shared" si="35"/>
        <v>-0.39710362488410084</v>
      </c>
    </row>
    <row r="165" spans="1:26" s="24" customFormat="1" hidden="1" outlineLevel="2" x14ac:dyDescent="0.25">
      <c r="A165" s="29"/>
      <c r="B165" s="11" t="str">
        <f>CONCATENATE("          ", "6156", " - ", "EMPLOYEE MEALS")</f>
        <v xml:space="preserve">          6156 - EMPLOYEE MEALS</v>
      </c>
      <c r="C165" s="11"/>
      <c r="D165" s="7">
        <v>1759.48</v>
      </c>
      <c r="E165" s="2"/>
      <c r="F165" s="6">
        <f t="shared" si="28"/>
        <v>1.1011111862021081E-3</v>
      </c>
      <c r="G165" s="2"/>
      <c r="H165" s="7">
        <v>2517.13</v>
      </c>
      <c r="I165" s="2"/>
      <c r="J165" s="6">
        <f t="shared" si="29"/>
        <v>8.8890370514739948E-4</v>
      </c>
      <c r="K165" s="2"/>
      <c r="L165" s="7">
        <f t="shared" si="30"/>
        <v>-757.65000000000009</v>
      </c>
      <c r="M165" s="2"/>
      <c r="N165" s="6">
        <f t="shared" si="31"/>
        <v>-0.30099756468676631</v>
      </c>
      <c r="O165" s="11"/>
      <c r="P165" s="7">
        <v>2780.88</v>
      </c>
      <c r="Q165" s="2"/>
      <c r="R165" s="6">
        <f t="shared" si="32"/>
        <v>1.5232854498938625E-3</v>
      </c>
      <c r="S165" s="2"/>
      <c r="T165" s="7">
        <v>4812.03</v>
      </c>
      <c r="U165" s="2"/>
      <c r="V165" s="6">
        <f t="shared" si="33"/>
        <v>1.4840551252478737E-3</v>
      </c>
      <c r="W165" s="2"/>
      <c r="X165" s="7">
        <f t="shared" si="34"/>
        <v>-2031.1499999999996</v>
      </c>
      <c r="Y165" s="2"/>
      <c r="Z165" s="6">
        <f t="shared" si="35"/>
        <v>-0.42209836597028694</v>
      </c>
    </row>
    <row r="166" spans="1:26" s="28" customFormat="1" outlineLevel="1" collapsed="1" x14ac:dyDescent="0.25">
      <c r="A166" s="27"/>
      <c r="B166" s="14" t="str">
        <f>CONCATENATE("     ","*Payroll                                          ")</f>
        <v xml:space="preserve">     *Payroll                                          </v>
      </c>
      <c r="C166" s="14"/>
      <c r="D166" s="1">
        <f>SUM(OSRRefD22_1x_0)</f>
        <v>170009.67</v>
      </c>
      <c r="E166" s="1"/>
      <c r="F166" s="5">
        <f t="shared" ref="F166:F173" si="36">IF(D$12=0,0,D166/D$12)</f>
        <v>0.10639481517239693</v>
      </c>
      <c r="G166" s="1"/>
      <c r="H166" s="1">
        <f>SUM(OSRRefH22_1x_0)</f>
        <v>266009.22000000003</v>
      </c>
      <c r="I166" s="1"/>
      <c r="J166" s="5">
        <f t="shared" ref="J166:J173" si="37">IF(H$12=0,0,H166/H$12)</f>
        <v>9.3938962731908854E-2</v>
      </c>
      <c r="K166" s="1"/>
      <c r="L166" s="1">
        <f t="shared" ref="L166:L173" si="38">+D166-H166</f>
        <v>-95999.550000000017</v>
      </c>
      <c r="M166" s="1"/>
      <c r="N166" s="5">
        <f t="shared" ref="N166:N173" si="39">IF(H166=0,0,L166/H166)</f>
        <v>-0.36088805493283282</v>
      </c>
      <c r="O166" s="14"/>
      <c r="P166" s="1">
        <f>SUM(OSRRefP22_1x_0)</f>
        <v>301964.26</v>
      </c>
      <c r="Q166" s="1"/>
      <c r="R166" s="5">
        <f t="shared" ref="R166:R173" si="40">IF(P$12=0,0,P166/P$12)</f>
        <v>0.16540726807556144</v>
      </c>
      <c r="S166" s="1"/>
      <c r="T166" s="1">
        <f>SUM(OSRRefT22_1x_0)</f>
        <v>474075.54</v>
      </c>
      <c r="U166" s="1"/>
      <c r="V166" s="5">
        <f t="shared" ref="V166:V173" si="41">IF(T$12=0,0,T166/T$12)</f>
        <v>0.14620736672291182</v>
      </c>
      <c r="W166" s="1"/>
      <c r="X166" s="1">
        <f t="shared" ref="X166:X173" si="42">+P166-T166</f>
        <v>-172111.27999999997</v>
      </c>
      <c r="Y166" s="1"/>
      <c r="Z166" s="5">
        <f t="shared" ref="Z166:Z173" si="43">IF(T166=0,0,X166/T166)</f>
        <v>-0.3630461086433609</v>
      </c>
    </row>
    <row r="167" spans="1:26" s="24" customFormat="1" hidden="1" outlineLevel="2" x14ac:dyDescent="0.25">
      <c r="A167" s="29"/>
      <c r="B167" s="11" t="str">
        <f>CONCATENATE("          ", "6001", " - ", "ADMINISTRATIVE SALARIES")</f>
        <v xml:space="preserve">          6001 - ADMINISTRATIVE SALARIES</v>
      </c>
      <c r="C167" s="11"/>
      <c r="D167" s="7">
        <v>4205.74</v>
      </c>
      <c r="E167" s="2"/>
      <c r="F167" s="6">
        <f t="shared" si="36"/>
        <v>2.6320204607370667E-3</v>
      </c>
      <c r="G167" s="2"/>
      <c r="H167" s="7">
        <v>10181.280000000001</v>
      </c>
      <c r="I167" s="2"/>
      <c r="J167" s="6">
        <f t="shared" si="37"/>
        <v>3.5954350848558143E-3</v>
      </c>
      <c r="K167" s="2"/>
      <c r="L167" s="7">
        <f t="shared" si="38"/>
        <v>-5975.5400000000009</v>
      </c>
      <c r="M167" s="2"/>
      <c r="N167" s="6">
        <f t="shared" si="39"/>
        <v>-0.58691441547624668</v>
      </c>
      <c r="O167" s="11"/>
      <c r="P167" s="7">
        <v>8731.59</v>
      </c>
      <c r="Q167" s="2"/>
      <c r="R167" s="6">
        <f t="shared" si="40"/>
        <v>4.7829118845253123E-3</v>
      </c>
      <c r="S167" s="2"/>
      <c r="T167" s="7">
        <v>23041.56</v>
      </c>
      <c r="U167" s="2"/>
      <c r="V167" s="6">
        <f t="shared" si="41"/>
        <v>7.1061371628411288E-3</v>
      </c>
      <c r="W167" s="2"/>
      <c r="X167" s="7">
        <f t="shared" si="42"/>
        <v>-14309.970000000001</v>
      </c>
      <c r="Y167" s="2"/>
      <c r="Z167" s="6">
        <f t="shared" si="43"/>
        <v>-0.62105039762932723</v>
      </c>
    </row>
    <row r="168" spans="1:26" s="24" customFormat="1" hidden="1" outlineLevel="2" x14ac:dyDescent="0.25">
      <c r="A168" s="29"/>
      <c r="B168" s="11" t="str">
        <f>CONCATENATE("          ", "6002", " - ", "STAFF SALARIES")</f>
        <v xml:space="preserve">          6002 - STAFF SALARIES</v>
      </c>
      <c r="C168" s="11"/>
      <c r="D168" s="7">
        <v>63577.420000000006</v>
      </c>
      <c r="E168" s="2"/>
      <c r="F168" s="6">
        <f t="shared" si="36"/>
        <v>3.9787782953980513E-2</v>
      </c>
      <c r="G168" s="2"/>
      <c r="H168" s="7">
        <v>72251.13</v>
      </c>
      <c r="I168" s="2"/>
      <c r="J168" s="6">
        <f t="shared" si="37"/>
        <v>2.5514890831258786E-2</v>
      </c>
      <c r="K168" s="2"/>
      <c r="L168" s="7">
        <f t="shared" si="38"/>
        <v>-8673.7099999999991</v>
      </c>
      <c r="M168" s="2"/>
      <c r="N168" s="6">
        <f t="shared" si="39"/>
        <v>-0.12004947189061263</v>
      </c>
      <c r="O168" s="11"/>
      <c r="P168" s="7">
        <v>139490.85</v>
      </c>
      <c r="Q168" s="2"/>
      <c r="R168" s="6">
        <f t="shared" si="40"/>
        <v>7.6409043971090912E-2</v>
      </c>
      <c r="S168" s="2"/>
      <c r="T168" s="7">
        <v>155662.78</v>
      </c>
      <c r="U168" s="2"/>
      <c r="V168" s="6">
        <f t="shared" si="41"/>
        <v>4.8007212438270795E-2</v>
      </c>
      <c r="W168" s="2"/>
      <c r="X168" s="7">
        <f t="shared" si="42"/>
        <v>-16171.929999999993</v>
      </c>
      <c r="Y168" s="2"/>
      <c r="Z168" s="6">
        <f t="shared" si="43"/>
        <v>-0.10389079521771352</v>
      </c>
    </row>
    <row r="169" spans="1:26" s="24" customFormat="1" hidden="1" outlineLevel="2" x14ac:dyDescent="0.25">
      <c r="A169" s="29"/>
      <c r="B169" s="11" t="str">
        <f>CONCATENATE("          ", "6004", " - ", "STAFF HOURLY")</f>
        <v xml:space="preserve">          6004 - STAFF HOURLY</v>
      </c>
      <c r="C169" s="11"/>
      <c r="D169" s="7">
        <v>13876.36</v>
      </c>
      <c r="E169" s="2"/>
      <c r="F169" s="6">
        <f t="shared" si="36"/>
        <v>8.6840516628591893E-3</v>
      </c>
      <c r="G169" s="2"/>
      <c r="H169" s="7">
        <v>3084.96</v>
      </c>
      <c r="I169" s="2"/>
      <c r="J169" s="6">
        <f t="shared" si="37"/>
        <v>1.0894281877501446E-3</v>
      </c>
      <c r="K169" s="2"/>
      <c r="L169" s="7">
        <f t="shared" si="38"/>
        <v>10791.400000000001</v>
      </c>
      <c r="M169" s="2"/>
      <c r="N169" s="6">
        <f t="shared" si="39"/>
        <v>3.4980680462631613</v>
      </c>
      <c r="O169" s="11"/>
      <c r="P169" s="7">
        <v>29589.88</v>
      </c>
      <c r="Q169" s="2"/>
      <c r="R169" s="6">
        <f t="shared" si="40"/>
        <v>1.6208478491738374E-2</v>
      </c>
      <c r="S169" s="2"/>
      <c r="T169" s="7">
        <v>5090.8900000000003</v>
      </c>
      <c r="U169" s="2"/>
      <c r="V169" s="6">
        <f t="shared" si="41"/>
        <v>1.5700570022574979E-3</v>
      </c>
      <c r="W169" s="2"/>
      <c r="X169" s="7">
        <f t="shared" si="42"/>
        <v>24498.99</v>
      </c>
      <c r="Y169" s="2"/>
      <c r="Z169" s="6">
        <f t="shared" si="43"/>
        <v>4.8123196533415573</v>
      </c>
    </row>
    <row r="170" spans="1:26" s="24" customFormat="1" hidden="1" outlineLevel="2" x14ac:dyDescent="0.25">
      <c r="A170" s="29"/>
      <c r="B170" s="11" t="str">
        <f>CONCATENATE("          ", "6005", " - ", "TEMPORARY WAGES-HOURLY")</f>
        <v xml:space="preserve">          6005 - TEMPORARY WAGES-HOURLY</v>
      </c>
      <c r="C170" s="11"/>
      <c r="D170" s="7">
        <v>22505.489999999998</v>
      </c>
      <c r="E170" s="2"/>
      <c r="F170" s="6">
        <f t="shared" si="36"/>
        <v>1.4084301492463501E-2</v>
      </c>
      <c r="G170" s="2"/>
      <c r="H170" s="7">
        <v>22727.5</v>
      </c>
      <c r="I170" s="2"/>
      <c r="J170" s="6">
        <f t="shared" si="37"/>
        <v>8.0260292312028074E-3</v>
      </c>
      <c r="K170" s="2"/>
      <c r="L170" s="7">
        <f t="shared" si="38"/>
        <v>-222.01000000000204</v>
      </c>
      <c r="M170" s="2"/>
      <c r="N170" s="6">
        <f t="shared" si="39"/>
        <v>-9.7683423165769237E-3</v>
      </c>
      <c r="O170" s="11"/>
      <c r="P170" s="7">
        <v>34891.040000000001</v>
      </c>
      <c r="Q170" s="2"/>
      <c r="R170" s="6">
        <f t="shared" si="40"/>
        <v>1.9112300265982263E-2</v>
      </c>
      <c r="S170" s="2"/>
      <c r="T170" s="7">
        <v>43563.55</v>
      </c>
      <c r="U170" s="2"/>
      <c r="V170" s="6">
        <f t="shared" si="41"/>
        <v>1.3435225809376087E-2</v>
      </c>
      <c r="W170" s="2"/>
      <c r="X170" s="7">
        <f t="shared" si="42"/>
        <v>-8672.510000000002</v>
      </c>
      <c r="Y170" s="2"/>
      <c r="Z170" s="6">
        <f t="shared" si="43"/>
        <v>-0.19907721019062957</v>
      </c>
    </row>
    <row r="171" spans="1:26" s="24" customFormat="1" hidden="1" outlineLevel="2" x14ac:dyDescent="0.25">
      <c r="A171" s="29"/>
      <c r="B171" s="11" t="str">
        <f>CONCATENATE("          ", "6006", " - ", "TEMPORARY PART TIME")</f>
        <v xml:space="preserve">          6006 - TEMPORARY PART TIME</v>
      </c>
      <c r="C171" s="11"/>
      <c r="D171" s="7">
        <v>1927.34</v>
      </c>
      <c r="E171" s="2"/>
      <c r="F171" s="6">
        <f t="shared" si="36"/>
        <v>1.206160702943353E-3</v>
      </c>
      <c r="G171" s="2"/>
      <c r="H171" s="7">
        <v>5537.06</v>
      </c>
      <c r="I171" s="2"/>
      <c r="J171" s="6">
        <f t="shared" si="37"/>
        <v>1.9553670845858019E-3</v>
      </c>
      <c r="K171" s="2"/>
      <c r="L171" s="7">
        <f t="shared" si="38"/>
        <v>-3609.7200000000003</v>
      </c>
      <c r="M171" s="2"/>
      <c r="N171" s="6">
        <f t="shared" si="39"/>
        <v>-0.65191997197068485</v>
      </c>
      <c r="O171" s="11"/>
      <c r="P171" s="7">
        <v>3975.55</v>
      </c>
      <c r="Q171" s="2"/>
      <c r="R171" s="6">
        <f t="shared" si="40"/>
        <v>2.1776910439593026E-3</v>
      </c>
      <c r="S171" s="2"/>
      <c r="T171" s="7">
        <v>9455.25</v>
      </c>
      <c r="U171" s="2"/>
      <c r="V171" s="6">
        <f t="shared" si="41"/>
        <v>2.9160483669054345E-3</v>
      </c>
      <c r="W171" s="2"/>
      <c r="X171" s="7">
        <f t="shared" si="42"/>
        <v>-5479.7</v>
      </c>
      <c r="Y171" s="2"/>
      <c r="Z171" s="6">
        <f t="shared" si="43"/>
        <v>-0.57954046693635808</v>
      </c>
    </row>
    <row r="172" spans="1:26" s="24" customFormat="1" hidden="1" outlineLevel="2" x14ac:dyDescent="0.25">
      <c r="A172" s="29"/>
      <c r="B172" s="11" t="str">
        <f>CONCATENATE("          ", "6007", " - ", "STUDENT HOURLY")</f>
        <v xml:space="preserve">          6007 - STUDENT HOURLY</v>
      </c>
      <c r="C172" s="11"/>
      <c r="D172" s="7">
        <v>63484.290000000008</v>
      </c>
      <c r="E172" s="2"/>
      <c r="F172" s="6">
        <f t="shared" si="36"/>
        <v>3.9729500686054194E-2</v>
      </c>
      <c r="G172" s="2"/>
      <c r="H172" s="7">
        <v>148881.35</v>
      </c>
      <c r="I172" s="2"/>
      <c r="J172" s="6">
        <f t="shared" si="37"/>
        <v>5.2576221189349293E-2</v>
      </c>
      <c r="K172" s="2"/>
      <c r="L172" s="7">
        <f t="shared" si="38"/>
        <v>-85397.06</v>
      </c>
      <c r="M172" s="2"/>
      <c r="N172" s="6">
        <f t="shared" si="39"/>
        <v>-0.57359138669819953</v>
      </c>
      <c r="O172" s="11"/>
      <c r="P172" s="7">
        <v>84852.32</v>
      </c>
      <c r="Q172" s="2"/>
      <c r="R172" s="6">
        <f t="shared" si="40"/>
        <v>4.6479641137243607E-2</v>
      </c>
      <c r="S172" s="2"/>
      <c r="T172" s="7">
        <v>231807.97</v>
      </c>
      <c r="U172" s="2"/>
      <c r="V172" s="6">
        <f t="shared" si="41"/>
        <v>7.1490785791403069E-2</v>
      </c>
      <c r="W172" s="2"/>
      <c r="X172" s="7">
        <f t="shared" si="42"/>
        <v>-146955.65</v>
      </c>
      <c r="Y172" s="2"/>
      <c r="Z172" s="6">
        <f t="shared" si="43"/>
        <v>-0.63395425963999419</v>
      </c>
    </row>
    <row r="173" spans="1:26" s="24" customFormat="1" hidden="1" outlineLevel="2" x14ac:dyDescent="0.25">
      <c r="A173" s="29"/>
      <c r="B173" s="11" t="str">
        <f>CONCATENATE("          ", "6008", " - ", "STUDENT HOURLY-FICA EXEMPT")</f>
        <v xml:space="preserve">          6008 - STUDENT HOURLY-FICA EXEMPT</v>
      </c>
      <c r="C173" s="11"/>
      <c r="D173" s="7">
        <v>433.03</v>
      </c>
      <c r="E173" s="2"/>
      <c r="F173" s="6">
        <f t="shared" si="36"/>
        <v>2.7099721335911681E-4</v>
      </c>
      <c r="G173" s="2"/>
      <c r="H173" s="7">
        <v>3345.94</v>
      </c>
      <c r="I173" s="2"/>
      <c r="J173" s="6">
        <f t="shared" si="37"/>
        <v>1.1815911229062026E-3</v>
      </c>
      <c r="K173" s="2"/>
      <c r="L173" s="7">
        <f t="shared" si="38"/>
        <v>-2912.91</v>
      </c>
      <c r="M173" s="2"/>
      <c r="N173" s="6">
        <f t="shared" si="39"/>
        <v>-0.87058046468257044</v>
      </c>
      <c r="O173" s="11"/>
      <c r="P173" s="7">
        <v>433.03</v>
      </c>
      <c r="Q173" s="2"/>
      <c r="R173" s="6">
        <f t="shared" si="40"/>
        <v>2.3720128102166913E-4</v>
      </c>
      <c r="S173" s="2"/>
      <c r="T173" s="7">
        <v>5453.54</v>
      </c>
      <c r="U173" s="2"/>
      <c r="V173" s="6">
        <f t="shared" si="41"/>
        <v>1.6819001518577998E-3</v>
      </c>
      <c r="W173" s="2"/>
      <c r="X173" s="7">
        <f t="shared" si="42"/>
        <v>-5020.51</v>
      </c>
      <c r="Y173" s="2"/>
      <c r="Z173" s="6">
        <f t="shared" si="43"/>
        <v>-0.92059652996035612</v>
      </c>
    </row>
    <row r="174" spans="1:26" s="28" customFormat="1" outlineLevel="1" collapsed="1" x14ac:dyDescent="0.25">
      <c r="A174" s="27"/>
      <c r="B174" s="14" t="str">
        <f>CONCATENATE("     ","Advertising/Promo                                 ")</f>
        <v xml:space="preserve">     Advertising/Promo                                 </v>
      </c>
      <c r="C174" s="14"/>
      <c r="D174" s="1">
        <f>SUM(OSRRefD22_2x_0)</f>
        <v>9411.3700000000008</v>
      </c>
      <c r="E174" s="1"/>
      <c r="F174" s="5">
        <f t="shared" ref="F174:F182" si="44">IF(D$12=0,0,D174/D$12)</f>
        <v>5.8897883377400911E-3</v>
      </c>
      <c r="G174" s="1"/>
      <c r="H174" s="1">
        <f>SUM(OSRRefH22_2x_0)</f>
        <v>6850.59</v>
      </c>
      <c r="I174" s="1"/>
      <c r="J174" s="5">
        <f t="shared" ref="J174:J182" si="45">IF(H$12=0,0,H174/H$12)</f>
        <v>2.4192293737096307E-3</v>
      </c>
      <c r="K174" s="1"/>
      <c r="L174" s="1">
        <f t="shared" ref="L174:L182" si="46">+D174-H174</f>
        <v>2560.7800000000007</v>
      </c>
      <c r="M174" s="1"/>
      <c r="N174" s="5">
        <f t="shared" ref="N174:N182" si="47">IF(H174=0,0,L174/H174)</f>
        <v>0.37380430006758553</v>
      </c>
      <c r="O174" s="14"/>
      <c r="P174" s="1">
        <f>SUM(OSRRefP22_2x_0)</f>
        <v>12002.2</v>
      </c>
      <c r="Q174" s="1"/>
      <c r="R174" s="5">
        <f t="shared" ref="R174:R182" si="48">IF(P$12=0,0,P174/P$12)</f>
        <v>6.574457231781349E-3</v>
      </c>
      <c r="S174" s="1"/>
      <c r="T174" s="1">
        <f>SUM(OSRRefT22_2x_0)</f>
        <v>7782.51</v>
      </c>
      <c r="U174" s="1"/>
      <c r="V174" s="5">
        <f t="shared" ref="V174:V182" si="49">IF(T$12=0,0,T174/T$12)</f>
        <v>2.4001666350361136E-3</v>
      </c>
      <c r="W174" s="1"/>
      <c r="X174" s="1">
        <f t="shared" ref="X174:X182" si="50">+P174-T174</f>
        <v>4219.6900000000005</v>
      </c>
      <c r="Y174" s="1"/>
      <c r="Z174" s="5">
        <f t="shared" ref="Z174:Z182" si="51">IF(T174=0,0,X174/T174)</f>
        <v>0.54220168043471839</v>
      </c>
    </row>
    <row r="175" spans="1:26" s="24" customFormat="1" hidden="1" outlineLevel="2" x14ac:dyDescent="0.25">
      <c r="A175" s="29"/>
      <c r="B175" s="11" t="str">
        <f>CONCATENATE("          ", "6362", " - ", "ADVERTISING EXPENSE")</f>
        <v xml:space="preserve">          6362 - ADVERTISING EXPENSE</v>
      </c>
      <c r="C175" s="11"/>
      <c r="D175" s="7">
        <v>9411.3700000000008</v>
      </c>
      <c r="E175" s="2"/>
      <c r="F175" s="6">
        <f t="shared" si="44"/>
        <v>5.8897883377400911E-3</v>
      </c>
      <c r="G175" s="2"/>
      <c r="H175" s="7">
        <v>6850.59</v>
      </c>
      <c r="I175" s="2"/>
      <c r="J175" s="6">
        <f t="shared" si="45"/>
        <v>2.4192293737096307E-3</v>
      </c>
      <c r="K175" s="2"/>
      <c r="L175" s="7">
        <f t="shared" si="46"/>
        <v>2560.7800000000007</v>
      </c>
      <c r="M175" s="2"/>
      <c r="N175" s="6">
        <f t="shared" si="47"/>
        <v>0.37380430006758553</v>
      </c>
      <c r="O175" s="11"/>
      <c r="P175" s="7">
        <v>12002.2</v>
      </c>
      <c r="Q175" s="2"/>
      <c r="R175" s="6">
        <f t="shared" si="48"/>
        <v>6.574457231781349E-3</v>
      </c>
      <c r="S175" s="2"/>
      <c r="T175" s="7">
        <v>7782.51</v>
      </c>
      <c r="U175" s="2"/>
      <c r="V175" s="6">
        <f t="shared" si="49"/>
        <v>2.4001666350361136E-3</v>
      </c>
      <c r="W175" s="2"/>
      <c r="X175" s="7">
        <f t="shared" si="50"/>
        <v>4219.6900000000005</v>
      </c>
      <c r="Y175" s="2"/>
      <c r="Z175" s="6">
        <f t="shared" si="51"/>
        <v>0.54220168043471839</v>
      </c>
    </row>
    <row r="176" spans="1:26" s="28" customFormat="1" outlineLevel="1" collapsed="1" x14ac:dyDescent="0.25">
      <c r="A176" s="27"/>
      <c r="B176" s="14" t="str">
        <f>CONCATENATE("     ","Bad Debts/Over/Short                              ")</f>
        <v xml:space="preserve">     Bad Debts/Over/Short                              </v>
      </c>
      <c r="C176" s="14"/>
      <c r="D176" s="1">
        <f>SUM(OSRRefD22_3x_0)</f>
        <v>70.56</v>
      </c>
      <c r="E176" s="1"/>
      <c r="F176" s="5">
        <f t="shared" si="44"/>
        <v>4.4157595027178907E-5</v>
      </c>
      <c r="G176" s="1"/>
      <c r="H176" s="1">
        <f>SUM(OSRRefH22_3x_0)</f>
        <v>-68.97</v>
      </c>
      <c r="I176" s="1"/>
      <c r="J176" s="5">
        <f t="shared" si="45"/>
        <v>-2.4356186825478277E-5</v>
      </c>
      <c r="K176" s="1"/>
      <c r="L176" s="1">
        <f t="shared" si="46"/>
        <v>139.53</v>
      </c>
      <c r="M176" s="1"/>
      <c r="N176" s="5">
        <f t="shared" si="47"/>
        <v>-2.0230535015224009</v>
      </c>
      <c r="O176" s="14"/>
      <c r="P176" s="1">
        <f>SUM(OSRRefP22_3x_0)</f>
        <v>75.540000000000006</v>
      </c>
      <c r="Q176" s="1"/>
      <c r="R176" s="5">
        <f t="shared" si="48"/>
        <v>4.1378622193328152E-5</v>
      </c>
      <c r="S176" s="1"/>
      <c r="T176" s="1">
        <f>SUM(OSRRefT22_3x_0)</f>
        <v>-89.85</v>
      </c>
      <c r="U176" s="1"/>
      <c r="V176" s="5">
        <f t="shared" si="49"/>
        <v>-2.7710208166516303E-5</v>
      </c>
      <c r="W176" s="1"/>
      <c r="X176" s="1">
        <f t="shared" si="50"/>
        <v>165.39</v>
      </c>
      <c r="Y176" s="1"/>
      <c r="Z176" s="5">
        <f t="shared" si="51"/>
        <v>-1.8407345575959932</v>
      </c>
    </row>
    <row r="177" spans="1:26" s="24" customFormat="1" hidden="1" outlineLevel="2" x14ac:dyDescent="0.25">
      <c r="A177" s="29"/>
      <c r="B177" s="11" t="str">
        <f>CONCATENATE("          ", "6272", " - ", "CASH (OVER/SHORT)")</f>
        <v xml:space="preserve">          6272 - CASH (OVER/SHORT)</v>
      </c>
      <c r="C177" s="11"/>
      <c r="D177" s="7">
        <v>70.56</v>
      </c>
      <c r="E177" s="2"/>
      <c r="F177" s="6">
        <f t="shared" si="44"/>
        <v>4.4157595027178907E-5</v>
      </c>
      <c r="G177" s="2"/>
      <c r="H177" s="7">
        <v>-68.97</v>
      </c>
      <c r="I177" s="2"/>
      <c r="J177" s="6">
        <f t="shared" si="45"/>
        <v>-2.4356186825478277E-5</v>
      </c>
      <c r="K177" s="2"/>
      <c r="L177" s="7">
        <f t="shared" si="46"/>
        <v>139.53</v>
      </c>
      <c r="M177" s="2"/>
      <c r="N177" s="6">
        <f t="shared" si="47"/>
        <v>-2.0230535015224009</v>
      </c>
      <c r="O177" s="11"/>
      <c r="P177" s="7">
        <v>75.540000000000006</v>
      </c>
      <c r="Q177" s="2"/>
      <c r="R177" s="6">
        <f t="shared" si="48"/>
        <v>4.1378622193328152E-5</v>
      </c>
      <c r="S177" s="2"/>
      <c r="T177" s="7">
        <v>-89.85</v>
      </c>
      <c r="U177" s="2"/>
      <c r="V177" s="6">
        <f t="shared" si="49"/>
        <v>-2.7710208166516303E-5</v>
      </c>
      <c r="W177" s="2"/>
      <c r="X177" s="7">
        <f t="shared" si="50"/>
        <v>165.39</v>
      </c>
      <c r="Y177" s="2"/>
      <c r="Z177" s="6">
        <f t="shared" si="51"/>
        <v>-1.8407345575959932</v>
      </c>
    </row>
    <row r="178" spans="1:26" s="28" customFormat="1" outlineLevel="1" collapsed="1" x14ac:dyDescent="0.25">
      <c r="A178" s="27"/>
      <c r="B178" s="14" t="str">
        <f>CONCATENATE("     ","Bank/card Fees                                    ")</f>
        <v xml:space="preserve">     Bank/card Fees                                    </v>
      </c>
      <c r="C178" s="14"/>
      <c r="D178" s="1">
        <f>SUM(OSRRefD22_4x_0)</f>
        <v>22140.34</v>
      </c>
      <c r="E178" s="1"/>
      <c r="F178" s="5">
        <f t="shared" si="44"/>
        <v>1.3855784686565339E-2</v>
      </c>
      <c r="G178" s="1"/>
      <c r="H178" s="1">
        <f>SUM(OSRRefH22_4x_0)</f>
        <v>38087.279999999999</v>
      </c>
      <c r="I178" s="1"/>
      <c r="J178" s="5">
        <f t="shared" si="45"/>
        <v>1.3450208893059335E-2</v>
      </c>
      <c r="K178" s="1"/>
      <c r="L178" s="1">
        <f t="shared" si="46"/>
        <v>-15946.939999999999</v>
      </c>
      <c r="M178" s="1"/>
      <c r="N178" s="5">
        <f t="shared" si="47"/>
        <v>-0.4186946403103608</v>
      </c>
      <c r="O178" s="14"/>
      <c r="P178" s="1">
        <f>SUM(OSRRefP22_4x_0)</f>
        <v>25317.550000000003</v>
      </c>
      <c r="Q178" s="1"/>
      <c r="R178" s="5">
        <f t="shared" si="48"/>
        <v>1.3868219967046532E-2</v>
      </c>
      <c r="S178" s="1"/>
      <c r="T178" s="1">
        <f>SUM(OSRRefT22_4x_0)</f>
        <v>45422.630000000005</v>
      </c>
      <c r="U178" s="1"/>
      <c r="V178" s="5">
        <f t="shared" si="49"/>
        <v>1.4008575768176389E-2</v>
      </c>
      <c r="W178" s="1"/>
      <c r="X178" s="1">
        <f t="shared" si="50"/>
        <v>-20105.080000000002</v>
      </c>
      <c r="Y178" s="1"/>
      <c r="Z178" s="5">
        <f t="shared" si="51"/>
        <v>-0.44262254299233661</v>
      </c>
    </row>
    <row r="179" spans="1:26" s="24" customFormat="1" hidden="1" outlineLevel="2" x14ac:dyDescent="0.25">
      <c r="A179" s="29"/>
      <c r="B179" s="11" t="str">
        <f>CONCATENATE("          ", "6381", " - ", "BANK/CREDIT CARD FEES")</f>
        <v xml:space="preserve">          6381 - BANK/CREDIT CARD FEES</v>
      </c>
      <c r="C179" s="11"/>
      <c r="D179" s="7">
        <v>22140.34</v>
      </c>
      <c r="E179" s="2"/>
      <c r="F179" s="6">
        <f t="shared" si="44"/>
        <v>1.3855784686565339E-2</v>
      </c>
      <c r="G179" s="2"/>
      <c r="H179" s="7">
        <v>38087.279999999999</v>
      </c>
      <c r="I179" s="2"/>
      <c r="J179" s="6">
        <f t="shared" si="45"/>
        <v>1.3450208893059335E-2</v>
      </c>
      <c r="K179" s="2"/>
      <c r="L179" s="7">
        <f t="shared" si="46"/>
        <v>-15946.939999999999</v>
      </c>
      <c r="M179" s="2"/>
      <c r="N179" s="6">
        <f t="shared" si="47"/>
        <v>-0.4186946403103608</v>
      </c>
      <c r="O179" s="11"/>
      <c r="P179" s="7">
        <v>25317.550000000003</v>
      </c>
      <c r="Q179" s="2"/>
      <c r="R179" s="6">
        <f t="shared" si="48"/>
        <v>1.3868219967046532E-2</v>
      </c>
      <c r="S179" s="2"/>
      <c r="T179" s="7">
        <v>45422.630000000005</v>
      </c>
      <c r="U179" s="2"/>
      <c r="V179" s="6">
        <f t="shared" si="49"/>
        <v>1.4008575768176389E-2</v>
      </c>
      <c r="W179" s="2"/>
      <c r="X179" s="7">
        <f t="shared" si="50"/>
        <v>-20105.080000000002</v>
      </c>
      <c r="Y179" s="2"/>
      <c r="Z179" s="6">
        <f t="shared" si="51"/>
        <v>-0.44262254299233661</v>
      </c>
    </row>
    <row r="180" spans="1:26" s="28" customFormat="1" outlineLevel="1" collapsed="1" x14ac:dyDescent="0.25">
      <c r="A180" s="27"/>
      <c r="B180" s="14" t="str">
        <f>CONCATENATE("     ","Depreciation                                      ")</f>
        <v xml:space="preserve">     Depreciation                                      </v>
      </c>
      <c r="C180" s="14"/>
      <c r="D180" s="1">
        <f>SUM(OSRRefD22_5x_0)</f>
        <v>40361.32</v>
      </c>
      <c r="E180" s="1"/>
      <c r="F180" s="5">
        <f t="shared" si="44"/>
        <v>2.5258770171802392E-2</v>
      </c>
      <c r="G180" s="1"/>
      <c r="H180" s="1">
        <f>SUM(OSRRefH22_5x_0)</f>
        <v>38010.910000000003</v>
      </c>
      <c r="I180" s="1"/>
      <c r="J180" s="5">
        <f t="shared" si="45"/>
        <v>1.3423239457248668E-2</v>
      </c>
      <c r="K180" s="1"/>
      <c r="L180" s="1">
        <f t="shared" si="46"/>
        <v>2350.4099999999962</v>
      </c>
      <c r="M180" s="1"/>
      <c r="N180" s="5">
        <f t="shared" si="47"/>
        <v>6.1835141542257104E-2</v>
      </c>
      <c r="O180" s="14"/>
      <c r="P180" s="1">
        <f>SUM(OSRRefP22_5x_0)</f>
        <v>79698.91</v>
      </c>
      <c r="Q180" s="1"/>
      <c r="R180" s="5">
        <f t="shared" si="48"/>
        <v>4.3656752529918755E-2</v>
      </c>
      <c r="S180" s="1"/>
      <c r="T180" s="1">
        <f>SUM(OSRRefT22_5x_0)</f>
        <v>76021.820000000007</v>
      </c>
      <c r="U180" s="1"/>
      <c r="V180" s="5">
        <f t="shared" si="49"/>
        <v>2.3445525402308653E-2</v>
      </c>
      <c r="W180" s="1"/>
      <c r="X180" s="1">
        <f t="shared" si="50"/>
        <v>3677.0899999999965</v>
      </c>
      <c r="Y180" s="1"/>
      <c r="Z180" s="5">
        <f t="shared" si="51"/>
        <v>4.8368876198964933E-2</v>
      </c>
    </row>
    <row r="181" spans="1:26" s="24" customFormat="1" hidden="1" outlineLevel="2" x14ac:dyDescent="0.25">
      <c r="A181" s="29"/>
      <c r="B181" s="11" t="str">
        <f>CONCATENATE("          ", "6321", " - ", "BUILDING DEPRECIATION")</f>
        <v xml:space="preserve">          6321 - BUILDING DEPRECIATION</v>
      </c>
      <c r="C181" s="11"/>
      <c r="D181" s="7">
        <v>21477.030000000002</v>
      </c>
      <c r="E181" s="2"/>
      <c r="F181" s="6">
        <f t="shared" si="44"/>
        <v>1.3440674505762079E-2</v>
      </c>
      <c r="G181" s="2"/>
      <c r="H181" s="7">
        <v>21477.030000000002</v>
      </c>
      <c r="I181" s="2"/>
      <c r="J181" s="6">
        <f t="shared" si="45"/>
        <v>7.5844360611338523E-3</v>
      </c>
      <c r="K181" s="2"/>
      <c r="L181" s="7">
        <f t="shared" si="46"/>
        <v>0</v>
      </c>
      <c r="M181" s="2"/>
      <c r="N181" s="6">
        <f t="shared" si="47"/>
        <v>0</v>
      </c>
      <c r="O181" s="11"/>
      <c r="P181" s="7">
        <v>42954.060000000005</v>
      </c>
      <c r="Q181" s="2"/>
      <c r="R181" s="6">
        <f t="shared" si="48"/>
        <v>2.3528988885485162E-2</v>
      </c>
      <c r="S181" s="2"/>
      <c r="T181" s="7">
        <v>42954.060000000005</v>
      </c>
      <c r="U181" s="2"/>
      <c r="V181" s="6">
        <f t="shared" si="49"/>
        <v>1.3247255917607472E-2</v>
      </c>
      <c r="W181" s="2"/>
      <c r="X181" s="7">
        <f t="shared" si="50"/>
        <v>0</v>
      </c>
      <c r="Y181" s="2"/>
      <c r="Z181" s="6">
        <f t="shared" si="51"/>
        <v>0</v>
      </c>
    </row>
    <row r="182" spans="1:26" s="24" customFormat="1" hidden="1" outlineLevel="2" x14ac:dyDescent="0.25">
      <c r="A182" s="29"/>
      <c r="B182" s="11" t="str">
        <f>CONCATENATE("          ", "6322", " - ", "EQUIPMENT DEPRECIATION EXPENSE")</f>
        <v xml:space="preserve">          6322 - EQUIPMENT DEPRECIATION EXPENSE</v>
      </c>
      <c r="C182" s="11"/>
      <c r="D182" s="7">
        <v>18884.289999999997</v>
      </c>
      <c r="E182" s="2"/>
      <c r="F182" s="6">
        <f t="shared" si="44"/>
        <v>1.181809566604031E-2</v>
      </c>
      <c r="G182" s="2"/>
      <c r="H182" s="7">
        <v>16533.88</v>
      </c>
      <c r="I182" s="2"/>
      <c r="J182" s="6">
        <f t="shared" si="45"/>
        <v>5.8388033961148155E-3</v>
      </c>
      <c r="K182" s="2"/>
      <c r="L182" s="7">
        <f t="shared" si="46"/>
        <v>2350.4099999999962</v>
      </c>
      <c r="M182" s="2"/>
      <c r="N182" s="6">
        <f t="shared" si="47"/>
        <v>0.14215719480242969</v>
      </c>
      <c r="O182" s="11"/>
      <c r="P182" s="7">
        <v>36744.85</v>
      </c>
      <c r="Q182" s="2"/>
      <c r="R182" s="6">
        <f t="shared" si="48"/>
        <v>2.0127763644433593E-2</v>
      </c>
      <c r="S182" s="2"/>
      <c r="T182" s="7">
        <v>33067.760000000002</v>
      </c>
      <c r="U182" s="2"/>
      <c r="V182" s="6">
        <f t="shared" si="49"/>
        <v>1.0198269484701181E-2</v>
      </c>
      <c r="W182" s="2"/>
      <c r="X182" s="7">
        <f t="shared" si="50"/>
        <v>3677.0899999999965</v>
      </c>
      <c r="Y182" s="2"/>
      <c r="Z182" s="6">
        <f t="shared" si="51"/>
        <v>0.11119864181910102</v>
      </c>
    </row>
    <row r="183" spans="1:26" s="28" customFormat="1" outlineLevel="1" collapsed="1" x14ac:dyDescent="0.25">
      <c r="A183" s="27"/>
      <c r="B183" s="14" t="str">
        <f>CONCATENATE("     ","Discounts and Markdowns                           ")</f>
        <v xml:space="preserve">     Discounts and Markdowns                           </v>
      </c>
      <c r="C183" s="14"/>
      <c r="D183" s="1">
        <f>SUM(OSRRefD22_6x_0)</f>
        <v>0</v>
      </c>
      <c r="E183" s="1"/>
      <c r="F183" s="5">
        <f t="shared" ref="F183:F185" si="52">IF(D$12=0,0,D183/D$12)</f>
        <v>0</v>
      </c>
      <c r="G183" s="1"/>
      <c r="H183" s="1">
        <f>SUM(OSRRefH22_6x_0)</f>
        <v>34600.54</v>
      </c>
      <c r="I183" s="1"/>
      <c r="J183" s="5">
        <f t="shared" ref="J183:J185" si="53">IF(H$12=0,0,H183/H$12)</f>
        <v>1.2218895411083576E-2</v>
      </c>
      <c r="K183" s="1"/>
      <c r="L183" s="1">
        <f t="shared" ref="L183:L185" si="54">+D183-H183</f>
        <v>-34600.54</v>
      </c>
      <c r="M183" s="1"/>
      <c r="N183" s="5">
        <f t="shared" ref="N183:N185" si="55">IF(H183=0,0,L183/H183)</f>
        <v>-1</v>
      </c>
      <c r="O183" s="14"/>
      <c r="P183" s="1">
        <f>SUM(OSRRefP22_6x_0)</f>
        <v>0</v>
      </c>
      <c r="Q183" s="1"/>
      <c r="R183" s="5">
        <f t="shared" ref="R183:R185" si="56">IF(P$12=0,0,P183/P$12)</f>
        <v>0</v>
      </c>
      <c r="S183" s="1"/>
      <c r="T183" s="1">
        <f>SUM(OSRRefT22_6x_0)</f>
        <v>59103.5</v>
      </c>
      <c r="U183" s="1"/>
      <c r="V183" s="5">
        <f t="shared" ref="V183:V185" si="57">IF(T$12=0,0,T183/T$12)</f>
        <v>1.8227827360820216E-2</v>
      </c>
      <c r="W183" s="1"/>
      <c r="X183" s="1">
        <f t="shared" ref="X183:X185" si="58">+P183-T183</f>
        <v>-59103.5</v>
      </c>
      <c r="Y183" s="1"/>
      <c r="Z183" s="5">
        <f t="shared" ref="Z183:Z185" si="59">IF(T183=0,0,X183/T183)</f>
        <v>-1</v>
      </c>
    </row>
    <row r="184" spans="1:26" s="24" customFormat="1" hidden="1" outlineLevel="2" x14ac:dyDescent="0.25">
      <c r="A184" s="29"/>
      <c r="B184" s="11" t="str">
        <f>CONCATENATE("          ", "6382", " - ", "DISCOUNTS/MARK DOWNS")</f>
        <v xml:space="preserve">          6382 - DISCOUNTS/MARK DOWNS</v>
      </c>
      <c r="C184" s="11"/>
      <c r="D184" s="7"/>
      <c r="E184" s="2"/>
      <c r="F184" s="6">
        <f t="shared" si="52"/>
        <v>0</v>
      </c>
      <c r="G184" s="2"/>
      <c r="H184" s="7">
        <v>35406.39</v>
      </c>
      <c r="I184" s="2"/>
      <c r="J184" s="6">
        <f t="shared" si="53"/>
        <v>1.2503474694153196E-2</v>
      </c>
      <c r="K184" s="2"/>
      <c r="L184" s="7">
        <f t="shared" si="54"/>
        <v>-35406.39</v>
      </c>
      <c r="M184" s="2"/>
      <c r="N184" s="6">
        <f t="shared" si="55"/>
        <v>-1</v>
      </c>
      <c r="O184" s="11"/>
      <c r="P184" s="7"/>
      <c r="Q184" s="2"/>
      <c r="R184" s="6">
        <f t="shared" si="56"/>
        <v>0</v>
      </c>
      <c r="S184" s="2"/>
      <c r="T184" s="7">
        <v>60353.06</v>
      </c>
      <c r="U184" s="2"/>
      <c r="V184" s="6">
        <f t="shared" si="57"/>
        <v>1.8613198175695587E-2</v>
      </c>
      <c r="W184" s="2"/>
      <c r="X184" s="7">
        <f t="shared" si="58"/>
        <v>-60353.06</v>
      </c>
      <c r="Y184" s="2"/>
      <c r="Z184" s="6">
        <f t="shared" si="59"/>
        <v>-1</v>
      </c>
    </row>
    <row r="185" spans="1:26" s="24" customFormat="1" hidden="1" outlineLevel="2" x14ac:dyDescent="0.25">
      <c r="A185" s="29"/>
      <c r="B185" s="11" t="str">
        <f>CONCATENATE("          ", "9175", " - ", "EARNED DISCOUNTS")</f>
        <v xml:space="preserve">          9175 - EARNED DISCOUNTS</v>
      </c>
      <c r="C185" s="11"/>
      <c r="D185" s="7"/>
      <c r="E185" s="2"/>
      <c r="F185" s="6">
        <f t="shared" si="52"/>
        <v>0</v>
      </c>
      <c r="G185" s="2"/>
      <c r="H185" s="7">
        <v>-805.85</v>
      </c>
      <c r="I185" s="2"/>
      <c r="J185" s="6">
        <f t="shared" si="53"/>
        <v>-2.8457928306961969E-4</v>
      </c>
      <c r="K185" s="2"/>
      <c r="L185" s="7">
        <f t="shared" si="54"/>
        <v>805.85</v>
      </c>
      <c r="M185" s="2"/>
      <c r="N185" s="6">
        <f t="shared" si="55"/>
        <v>-1</v>
      </c>
      <c r="O185" s="11"/>
      <c r="P185" s="7"/>
      <c r="Q185" s="2"/>
      <c r="R185" s="6">
        <f t="shared" si="56"/>
        <v>0</v>
      </c>
      <c r="S185" s="2"/>
      <c r="T185" s="7">
        <v>-1249.56</v>
      </c>
      <c r="U185" s="2"/>
      <c r="V185" s="6">
        <f t="shared" si="57"/>
        <v>-3.8537081487537129E-4</v>
      </c>
      <c r="W185" s="2"/>
      <c r="X185" s="7">
        <f t="shared" si="58"/>
        <v>1249.56</v>
      </c>
      <c r="Y185" s="2"/>
      <c r="Z185" s="6">
        <f t="shared" si="59"/>
        <v>-1</v>
      </c>
    </row>
    <row r="186" spans="1:26" s="28" customFormat="1" outlineLevel="1" collapsed="1" x14ac:dyDescent="0.25">
      <c r="A186" s="27"/>
      <c r="B186" s="14" t="str">
        <f>CONCATENATE("     ","Donations                                         ")</f>
        <v xml:space="preserve">     Donations                                         </v>
      </c>
      <c r="C186" s="14"/>
      <c r="D186" s="1">
        <f>SUM(OSRRefD22_7x_0)</f>
        <v>0</v>
      </c>
      <c r="E186" s="1"/>
      <c r="F186" s="5">
        <f t="shared" ref="F186:F194" si="60">IF(D$12=0,0,D186/D$12)</f>
        <v>0</v>
      </c>
      <c r="G186" s="1"/>
      <c r="H186" s="1">
        <f>SUM(OSRRefH22_7x_0)</f>
        <v>2691.56</v>
      </c>
      <c r="I186" s="1"/>
      <c r="J186" s="5">
        <f t="shared" ref="J186:J194" si="61">IF(H$12=0,0,H186/H$12)</f>
        <v>9.5050222142937959E-4</v>
      </c>
      <c r="K186" s="1"/>
      <c r="L186" s="1">
        <f t="shared" ref="L186:L194" si="62">+D186-H186</f>
        <v>-2691.56</v>
      </c>
      <c r="M186" s="1"/>
      <c r="N186" s="5">
        <f t="shared" ref="N186:N194" si="63">IF(H186=0,0,L186/H186)</f>
        <v>-1</v>
      </c>
      <c r="O186" s="14"/>
      <c r="P186" s="1">
        <f>SUM(OSRRefP22_7x_0)</f>
        <v>0</v>
      </c>
      <c r="Q186" s="1"/>
      <c r="R186" s="5">
        <f t="shared" ref="R186:R194" si="64">IF(P$12=0,0,P186/P$12)</f>
        <v>0</v>
      </c>
      <c r="S186" s="1"/>
      <c r="T186" s="1">
        <f>SUM(OSRRefT22_7x_0)</f>
        <v>3616.98</v>
      </c>
      <c r="U186" s="1"/>
      <c r="V186" s="5">
        <f t="shared" ref="V186:V194" si="65">IF(T$12=0,0,T186/T$12)</f>
        <v>1.1154954783987327E-3</v>
      </c>
      <c r="W186" s="1"/>
      <c r="X186" s="1">
        <f t="shared" ref="X186:X194" si="66">+P186-T186</f>
        <v>-3616.98</v>
      </c>
      <c r="Y186" s="1"/>
      <c r="Z186" s="5">
        <f t="shared" ref="Z186:Z194" si="67">IF(T186=0,0,X186/T186)</f>
        <v>-1</v>
      </c>
    </row>
    <row r="187" spans="1:26" s="24" customFormat="1" hidden="1" outlineLevel="2" x14ac:dyDescent="0.25">
      <c r="A187" s="29"/>
      <c r="B187" s="11" t="str">
        <f>CONCATENATE("          ", "6399", " - ", "DONATION-ON CAMPUS")</f>
        <v xml:space="preserve">          6399 - DONATION-ON CAMPUS</v>
      </c>
      <c r="C187" s="11"/>
      <c r="D187" s="7"/>
      <c r="E187" s="2"/>
      <c r="F187" s="6">
        <f t="shared" si="60"/>
        <v>0</v>
      </c>
      <c r="G187" s="2"/>
      <c r="H187" s="7">
        <v>2691.56</v>
      </c>
      <c r="I187" s="2"/>
      <c r="J187" s="6">
        <f t="shared" si="61"/>
        <v>9.5050222142937959E-4</v>
      </c>
      <c r="K187" s="2"/>
      <c r="L187" s="7">
        <f t="shared" si="62"/>
        <v>-2691.56</v>
      </c>
      <c r="M187" s="2"/>
      <c r="N187" s="6">
        <f t="shared" si="63"/>
        <v>-1</v>
      </c>
      <c r="O187" s="11"/>
      <c r="P187" s="7"/>
      <c r="Q187" s="2"/>
      <c r="R187" s="6">
        <f t="shared" si="64"/>
        <v>0</v>
      </c>
      <c r="S187" s="2"/>
      <c r="T187" s="7">
        <v>3616.98</v>
      </c>
      <c r="U187" s="2"/>
      <c r="V187" s="6">
        <f t="shared" si="65"/>
        <v>1.1154954783987327E-3</v>
      </c>
      <c r="W187" s="2"/>
      <c r="X187" s="7">
        <f t="shared" si="66"/>
        <v>-3616.98</v>
      </c>
      <c r="Y187" s="2"/>
      <c r="Z187" s="6">
        <f t="shared" si="67"/>
        <v>-1</v>
      </c>
    </row>
    <row r="188" spans="1:26" s="28" customFormat="1" outlineLevel="1" collapsed="1" x14ac:dyDescent="0.25">
      <c r="A188" s="27"/>
      <c r="B188" s="14" t="str">
        <f>CONCATENATE("     ","Employees' Appreciation                           ")</f>
        <v xml:space="preserve">     Employees' Appreciation                           </v>
      </c>
      <c r="C188" s="14"/>
      <c r="D188" s="1">
        <f>SUM(OSRRefD22_8x_0)</f>
        <v>0</v>
      </c>
      <c r="E188" s="1"/>
      <c r="F188" s="5">
        <f t="shared" si="60"/>
        <v>0</v>
      </c>
      <c r="G188" s="1"/>
      <c r="H188" s="1">
        <f>SUM(OSRRefH22_8x_0)</f>
        <v>57.33</v>
      </c>
      <c r="I188" s="1"/>
      <c r="J188" s="5">
        <f t="shared" si="61"/>
        <v>2.0245616800125701E-5</v>
      </c>
      <c r="K188" s="1"/>
      <c r="L188" s="1">
        <f t="shared" si="62"/>
        <v>-57.33</v>
      </c>
      <c r="M188" s="1"/>
      <c r="N188" s="5">
        <f t="shared" si="63"/>
        <v>-1</v>
      </c>
      <c r="O188" s="14"/>
      <c r="P188" s="1">
        <f>SUM(OSRRefP22_8x_0)</f>
        <v>107.7</v>
      </c>
      <c r="Q188" s="1"/>
      <c r="R188" s="5">
        <f t="shared" si="64"/>
        <v>5.8994937916619558E-5</v>
      </c>
      <c r="S188" s="1"/>
      <c r="T188" s="1">
        <f>SUM(OSRRefT22_8x_0)</f>
        <v>450.87</v>
      </c>
      <c r="U188" s="1"/>
      <c r="V188" s="5">
        <f t="shared" si="65"/>
        <v>1.3905065727364726E-4</v>
      </c>
      <c r="W188" s="1"/>
      <c r="X188" s="1">
        <f t="shared" si="66"/>
        <v>-343.17</v>
      </c>
      <c r="Y188" s="1"/>
      <c r="Z188" s="5">
        <f t="shared" si="67"/>
        <v>-0.76112848492913698</v>
      </c>
    </row>
    <row r="189" spans="1:26" s="24" customFormat="1" hidden="1" outlineLevel="2" x14ac:dyDescent="0.25">
      <c r="A189" s="29"/>
      <c r="B189" s="11" t="str">
        <f>CONCATENATE("          ", "6277", " - ", "EMPLOYEE APPRECIATION")</f>
        <v xml:space="preserve">          6277 - EMPLOYEE APPRECIATION</v>
      </c>
      <c r="C189" s="11"/>
      <c r="D189" s="7"/>
      <c r="E189" s="2"/>
      <c r="F189" s="6">
        <f t="shared" si="60"/>
        <v>0</v>
      </c>
      <c r="G189" s="2"/>
      <c r="H189" s="7">
        <v>57.33</v>
      </c>
      <c r="I189" s="2"/>
      <c r="J189" s="6">
        <f t="shared" si="61"/>
        <v>2.0245616800125701E-5</v>
      </c>
      <c r="K189" s="2"/>
      <c r="L189" s="7">
        <f t="shared" si="62"/>
        <v>-57.33</v>
      </c>
      <c r="M189" s="2"/>
      <c r="N189" s="6">
        <f t="shared" si="63"/>
        <v>-1</v>
      </c>
      <c r="O189" s="11"/>
      <c r="P189" s="7">
        <v>107.7</v>
      </c>
      <c r="Q189" s="2"/>
      <c r="R189" s="6">
        <f t="shared" si="64"/>
        <v>5.8994937916619558E-5</v>
      </c>
      <c r="S189" s="2"/>
      <c r="T189" s="7">
        <v>450.87</v>
      </c>
      <c r="U189" s="2"/>
      <c r="V189" s="6">
        <f t="shared" si="65"/>
        <v>1.3905065727364726E-4</v>
      </c>
      <c r="W189" s="2"/>
      <c r="X189" s="7">
        <f t="shared" si="66"/>
        <v>-343.17</v>
      </c>
      <c r="Y189" s="2"/>
      <c r="Z189" s="6">
        <f t="shared" si="67"/>
        <v>-0.76112848492913698</v>
      </c>
    </row>
    <row r="190" spans="1:26" s="28" customFormat="1" outlineLevel="1" collapsed="1" x14ac:dyDescent="0.25">
      <c r="A190" s="27"/>
      <c r="B190" s="14" t="str">
        <f>CONCATENATE("     ","Equipment Rental                                  ")</f>
        <v xml:space="preserve">     Equipment Rental                                  </v>
      </c>
      <c r="C190" s="14"/>
      <c r="D190" s="1">
        <f>SUM(OSRRefD22_9x_0)</f>
        <v>1388.16</v>
      </c>
      <c r="E190" s="1"/>
      <c r="F190" s="5">
        <f t="shared" si="60"/>
        <v>8.6873309400409119E-4</v>
      </c>
      <c r="G190" s="1"/>
      <c r="H190" s="1">
        <f>SUM(OSRRefH22_9x_0)</f>
        <v>1442.95</v>
      </c>
      <c r="I190" s="1"/>
      <c r="J190" s="5">
        <f t="shared" si="61"/>
        <v>5.0956589502426967E-4</v>
      </c>
      <c r="K190" s="1"/>
      <c r="L190" s="1">
        <f t="shared" si="62"/>
        <v>-54.789999999999964</v>
      </c>
      <c r="M190" s="1"/>
      <c r="N190" s="5">
        <f t="shared" si="63"/>
        <v>-3.7970823659863449E-2</v>
      </c>
      <c r="O190" s="14"/>
      <c r="P190" s="1">
        <f>SUM(OSRRefP22_9x_0)</f>
        <v>2776.32</v>
      </c>
      <c r="Q190" s="1"/>
      <c r="R190" s="5">
        <f t="shared" si="64"/>
        <v>1.5207876140823512E-3</v>
      </c>
      <c r="S190" s="1"/>
      <c r="T190" s="1">
        <f>SUM(OSRRefT22_9x_0)</f>
        <v>2886.32</v>
      </c>
      <c r="U190" s="1"/>
      <c r="V190" s="5">
        <f t="shared" si="65"/>
        <v>8.9015612726966434E-4</v>
      </c>
      <c r="W190" s="1"/>
      <c r="X190" s="1">
        <f t="shared" si="66"/>
        <v>-110</v>
      </c>
      <c r="Y190" s="1"/>
      <c r="Z190" s="5">
        <f t="shared" si="67"/>
        <v>-3.8110812383935253E-2</v>
      </c>
    </row>
    <row r="191" spans="1:26" s="24" customFormat="1" hidden="1" outlineLevel="2" x14ac:dyDescent="0.25">
      <c r="A191" s="29"/>
      <c r="B191" s="11" t="str">
        <f>CONCATENATE("          ", "6351", " - ", "EQUIPMENT RENTAL")</f>
        <v xml:space="preserve">          6351 - EQUIPMENT RENTAL</v>
      </c>
      <c r="C191" s="11"/>
      <c r="D191" s="7">
        <v>1388.16</v>
      </c>
      <c r="E191" s="2"/>
      <c r="F191" s="6">
        <f t="shared" si="60"/>
        <v>8.6873309400409119E-4</v>
      </c>
      <c r="G191" s="2"/>
      <c r="H191" s="7">
        <v>1442.95</v>
      </c>
      <c r="I191" s="2"/>
      <c r="J191" s="6">
        <f t="shared" si="61"/>
        <v>5.0956589502426967E-4</v>
      </c>
      <c r="K191" s="2"/>
      <c r="L191" s="7">
        <f t="shared" si="62"/>
        <v>-54.789999999999964</v>
      </c>
      <c r="M191" s="2"/>
      <c r="N191" s="6">
        <f t="shared" si="63"/>
        <v>-3.7970823659863449E-2</v>
      </c>
      <c r="O191" s="11"/>
      <c r="P191" s="7">
        <v>2776.32</v>
      </c>
      <c r="Q191" s="2"/>
      <c r="R191" s="6">
        <f t="shared" si="64"/>
        <v>1.5207876140823512E-3</v>
      </c>
      <c r="S191" s="2"/>
      <c r="T191" s="7">
        <v>2886.32</v>
      </c>
      <c r="U191" s="2"/>
      <c r="V191" s="6">
        <f t="shared" si="65"/>
        <v>8.9015612726966434E-4</v>
      </c>
      <c r="W191" s="2"/>
      <c r="X191" s="7">
        <f t="shared" si="66"/>
        <v>-110</v>
      </c>
      <c r="Y191" s="2"/>
      <c r="Z191" s="6">
        <f t="shared" si="67"/>
        <v>-3.8110812383935253E-2</v>
      </c>
    </row>
    <row r="192" spans="1:26" s="28" customFormat="1" outlineLevel="1" collapsed="1" x14ac:dyDescent="0.25">
      <c r="A192" s="27"/>
      <c r="B192" s="14" t="str">
        <f>CONCATENATE("     ","Freight out/Postage                               ")</f>
        <v xml:space="preserve">     Freight out/Postage                               </v>
      </c>
      <c r="C192" s="14"/>
      <c r="D192" s="1">
        <f>SUM(OSRRefD22_10x_0)</f>
        <v>-83736.579999999987</v>
      </c>
      <c r="E192" s="1"/>
      <c r="F192" s="5">
        <f t="shared" si="60"/>
        <v>-5.2403712990376536E-2</v>
      </c>
      <c r="G192" s="1"/>
      <c r="H192" s="1">
        <f>SUM(OSRRefH22_10x_0)</f>
        <v>-12859.049999999997</v>
      </c>
      <c r="I192" s="1"/>
      <c r="J192" s="5">
        <f t="shared" si="61"/>
        <v>-4.541067481487116E-3</v>
      </c>
      <c r="K192" s="1"/>
      <c r="L192" s="1">
        <f t="shared" si="62"/>
        <v>-70877.529999999984</v>
      </c>
      <c r="M192" s="1"/>
      <c r="N192" s="5">
        <f t="shared" si="63"/>
        <v>5.5118791823657265</v>
      </c>
      <c r="O192" s="14"/>
      <c r="P192" s="1">
        <f>SUM(OSRRefP22_10x_0)</f>
        <v>-74807.929999999993</v>
      </c>
      <c r="Q192" s="1"/>
      <c r="R192" s="5">
        <f t="shared" si="64"/>
        <v>-4.0977615469088402E-2</v>
      </c>
      <c r="S192" s="1"/>
      <c r="T192" s="1">
        <f>SUM(OSRRefT22_10x_0)</f>
        <v>-15019.189999999999</v>
      </c>
      <c r="U192" s="1"/>
      <c r="V192" s="5">
        <f t="shared" si="65"/>
        <v>-4.6319964540062321E-3</v>
      </c>
      <c r="W192" s="1"/>
      <c r="X192" s="1">
        <f t="shared" si="66"/>
        <v>-59788.739999999991</v>
      </c>
      <c r="Y192" s="1"/>
      <c r="Z192" s="5">
        <f t="shared" si="67"/>
        <v>3.9808232001858954</v>
      </c>
    </row>
    <row r="193" spans="1:26" s="24" customFormat="1" hidden="1" outlineLevel="2" x14ac:dyDescent="0.25">
      <c r="A193" s="29"/>
      <c r="B193" s="11" t="str">
        <f>CONCATENATE("          ", "6305", " - ", "FREIGHT OUT")</f>
        <v xml:space="preserve">          6305 - FREIGHT OUT</v>
      </c>
      <c r="C193" s="11"/>
      <c r="D193" s="7">
        <v>8244.4599999999991</v>
      </c>
      <c r="E193" s="2"/>
      <c r="F193" s="6">
        <f t="shared" si="60"/>
        <v>5.1595170903879729E-3</v>
      </c>
      <c r="G193" s="2"/>
      <c r="H193" s="7">
        <v>2905</v>
      </c>
      <c r="I193" s="2"/>
      <c r="J193" s="6">
        <f t="shared" si="61"/>
        <v>1.0258767975643672E-3</v>
      </c>
      <c r="K193" s="2"/>
      <c r="L193" s="7">
        <f t="shared" si="62"/>
        <v>5339.4599999999991</v>
      </c>
      <c r="M193" s="2"/>
      <c r="N193" s="6">
        <f t="shared" si="63"/>
        <v>1.8380240963855419</v>
      </c>
      <c r="O193" s="11"/>
      <c r="P193" s="7">
        <v>20333.550000000003</v>
      </c>
      <c r="Q193" s="2"/>
      <c r="R193" s="6">
        <f t="shared" si="64"/>
        <v>1.1138129246745402E-2</v>
      </c>
      <c r="S193" s="2"/>
      <c r="T193" s="7">
        <v>4394.41</v>
      </c>
      <c r="U193" s="2"/>
      <c r="V193" s="6">
        <f t="shared" si="65"/>
        <v>1.3552589412244953E-3</v>
      </c>
      <c r="W193" s="2"/>
      <c r="X193" s="7">
        <f t="shared" si="66"/>
        <v>15939.140000000003</v>
      </c>
      <c r="Y193" s="2"/>
      <c r="Z193" s="6">
        <f t="shared" si="67"/>
        <v>3.6271399345987296</v>
      </c>
    </row>
    <row r="194" spans="1:26" s="24" customFormat="1" hidden="1" outlineLevel="2" x14ac:dyDescent="0.25">
      <c r="A194" s="29"/>
      <c r="B194" s="11" t="str">
        <f>CONCATENATE("          ", "6307", " - ", "POSTAGE")</f>
        <v xml:space="preserve">          6307 - POSTAGE</v>
      </c>
      <c r="C194" s="11"/>
      <c r="D194" s="7">
        <v>-91981.04</v>
      </c>
      <c r="E194" s="2"/>
      <c r="F194" s="6">
        <f t="shared" si="60"/>
        <v>-5.7563230080764513E-2</v>
      </c>
      <c r="G194" s="2"/>
      <c r="H194" s="7">
        <v>-15764.049999999997</v>
      </c>
      <c r="I194" s="2"/>
      <c r="J194" s="6">
        <f t="shared" si="61"/>
        <v>-5.5669442790514832E-3</v>
      </c>
      <c r="K194" s="2"/>
      <c r="L194" s="7">
        <f t="shared" si="62"/>
        <v>-76216.989999999991</v>
      </c>
      <c r="M194" s="2"/>
      <c r="N194" s="6">
        <f t="shared" si="63"/>
        <v>4.834860965297624</v>
      </c>
      <c r="O194" s="11"/>
      <c r="P194" s="7">
        <v>-95141.48</v>
      </c>
      <c r="Q194" s="2"/>
      <c r="R194" s="6">
        <f t="shared" si="64"/>
        <v>-5.2115744715833807E-2</v>
      </c>
      <c r="S194" s="2"/>
      <c r="T194" s="7">
        <v>-19413.599999999999</v>
      </c>
      <c r="U194" s="2"/>
      <c r="V194" s="6">
        <f t="shared" si="65"/>
        <v>-5.9872553952307278E-3</v>
      </c>
      <c r="W194" s="2"/>
      <c r="X194" s="7">
        <f t="shared" si="66"/>
        <v>-75727.88</v>
      </c>
      <c r="Y194" s="2"/>
      <c r="Z194" s="6">
        <f t="shared" si="67"/>
        <v>3.9007644125767507</v>
      </c>
    </row>
    <row r="195" spans="1:26" s="28" customFormat="1" outlineLevel="1" collapsed="1" x14ac:dyDescent="0.25">
      <c r="A195" s="27"/>
      <c r="B195" s="14" t="str">
        <f>CONCATENATE("     ","General                                           ")</f>
        <v xml:space="preserve">     General                                           </v>
      </c>
      <c r="C195" s="14"/>
      <c r="D195" s="1">
        <f>SUM(OSRRefD22_11x_0)</f>
        <v>113.26</v>
      </c>
      <c r="E195" s="1"/>
      <c r="F195" s="5">
        <f t="shared" ref="F195:F211" si="68">IF(D$12=0,0,D195/D$12)</f>
        <v>7.0879949160689956E-5</v>
      </c>
      <c r="G195" s="1"/>
      <c r="H195" s="1">
        <f>SUM(OSRRefH22_11x_0)</f>
        <v>-14987.02</v>
      </c>
      <c r="I195" s="1"/>
      <c r="J195" s="5">
        <f t="shared" ref="J195:J211" si="69">IF(H$12=0,0,H195/H$12)</f>
        <v>-5.2925425413539147E-3</v>
      </c>
      <c r="K195" s="1"/>
      <c r="L195" s="1">
        <f t="shared" ref="L195:L211" si="70">+D195-H195</f>
        <v>15100.28</v>
      </c>
      <c r="M195" s="1"/>
      <c r="N195" s="5">
        <f t="shared" ref="N195:N211" si="71">IF(H195=0,0,L195/H195)</f>
        <v>-1.0075572061690716</v>
      </c>
      <c r="O195" s="14"/>
      <c r="P195" s="1">
        <f>SUM(OSRRefP22_11x_0)</f>
        <v>-1697.73</v>
      </c>
      <c r="Q195" s="1"/>
      <c r="R195" s="5">
        <f t="shared" ref="R195:R211" si="72">IF(P$12=0,0,P195/P$12)</f>
        <v>-9.2996727900819423E-4</v>
      </c>
      <c r="S195" s="1"/>
      <c r="T195" s="1">
        <f>SUM(OSRRefT22_11x_0)</f>
        <v>-9782.0400000000009</v>
      </c>
      <c r="U195" s="1"/>
      <c r="V195" s="5">
        <f t="shared" ref="V195:V211" si="73">IF(T$12=0,0,T195/T$12)</f>
        <v>-3.0168321056559728E-3</v>
      </c>
      <c r="W195" s="1"/>
      <c r="X195" s="1">
        <f t="shared" ref="X195:X211" si="74">+P195-T195</f>
        <v>8084.3100000000013</v>
      </c>
      <c r="Y195" s="1"/>
      <c r="Z195" s="5">
        <f t="shared" ref="Z195:Z211" si="75">IF(T195=0,0,X195/T195)</f>
        <v>-0.8264441772881731</v>
      </c>
    </row>
    <row r="196" spans="1:26" s="24" customFormat="1" hidden="1" outlineLevel="2" x14ac:dyDescent="0.25">
      <c r="A196" s="29"/>
      <c r="B196" s="11" t="str">
        <f>CONCATENATE("          ", "6279", " - ", "GENERAL EXPENSE")</f>
        <v xml:space="preserve">          6279 - GENERAL EXPENSE</v>
      </c>
      <c r="C196" s="11"/>
      <c r="D196" s="7">
        <v>113.26</v>
      </c>
      <c r="E196" s="2"/>
      <c r="F196" s="6">
        <f t="shared" si="68"/>
        <v>7.0879949160689956E-5</v>
      </c>
      <c r="G196" s="2"/>
      <c r="H196" s="7">
        <v>-14987.02</v>
      </c>
      <c r="I196" s="2"/>
      <c r="J196" s="6">
        <f t="shared" si="69"/>
        <v>-5.2925425413539147E-3</v>
      </c>
      <c r="K196" s="2"/>
      <c r="L196" s="7">
        <f t="shared" si="70"/>
        <v>15100.28</v>
      </c>
      <c r="M196" s="2"/>
      <c r="N196" s="6">
        <f t="shared" si="71"/>
        <v>-1.0075572061690716</v>
      </c>
      <c r="O196" s="11"/>
      <c r="P196" s="7">
        <v>-1697.73</v>
      </c>
      <c r="Q196" s="2"/>
      <c r="R196" s="6">
        <f t="shared" si="72"/>
        <v>-9.2996727900819423E-4</v>
      </c>
      <c r="S196" s="2"/>
      <c r="T196" s="7">
        <v>-9782.0400000000009</v>
      </c>
      <c r="U196" s="2"/>
      <c r="V196" s="6">
        <f t="shared" si="73"/>
        <v>-3.0168321056559728E-3</v>
      </c>
      <c r="W196" s="2"/>
      <c r="X196" s="7">
        <f t="shared" si="74"/>
        <v>8084.3100000000013</v>
      </c>
      <c r="Y196" s="2"/>
      <c r="Z196" s="6">
        <f t="shared" si="75"/>
        <v>-0.8264441772881731</v>
      </c>
    </row>
    <row r="197" spans="1:26" s="28" customFormat="1" outlineLevel="1" collapsed="1" x14ac:dyDescent="0.25">
      <c r="A197" s="27"/>
      <c r="B197" s="14" t="str">
        <f>CONCATENATE("     ","Insurance                                         ")</f>
        <v xml:space="preserve">     Insurance                                         </v>
      </c>
      <c r="C197" s="14"/>
      <c r="D197" s="1">
        <f>SUM(OSRRefD22_12x_0)</f>
        <v>4288.28</v>
      </c>
      <c r="E197" s="1"/>
      <c r="F197" s="5">
        <f t="shared" si="68"/>
        <v>2.6836753345117737E-3</v>
      </c>
      <c r="G197" s="1"/>
      <c r="H197" s="1">
        <f>SUM(OSRRefH22_12x_0)</f>
        <v>4288.28</v>
      </c>
      <c r="I197" s="1"/>
      <c r="J197" s="5">
        <f t="shared" si="69"/>
        <v>1.5143707240823834E-3</v>
      </c>
      <c r="K197" s="1"/>
      <c r="L197" s="1">
        <f t="shared" si="70"/>
        <v>0</v>
      </c>
      <c r="M197" s="1"/>
      <c r="N197" s="5">
        <f t="shared" si="71"/>
        <v>0</v>
      </c>
      <c r="O197" s="14"/>
      <c r="P197" s="1">
        <f>SUM(OSRRefP22_12x_0)</f>
        <v>8576.56</v>
      </c>
      <c r="Q197" s="1"/>
      <c r="R197" s="5">
        <f t="shared" si="72"/>
        <v>4.6979909446440348E-3</v>
      </c>
      <c r="S197" s="1"/>
      <c r="T197" s="1">
        <f>SUM(OSRRefT22_12x_0)</f>
        <v>8576.56</v>
      </c>
      <c r="U197" s="1"/>
      <c r="V197" s="5">
        <f t="shared" si="73"/>
        <v>2.6450557924609579E-3</v>
      </c>
      <c r="W197" s="1"/>
      <c r="X197" s="1">
        <f t="shared" si="74"/>
        <v>0</v>
      </c>
      <c r="Y197" s="1"/>
      <c r="Z197" s="5">
        <f t="shared" si="75"/>
        <v>0</v>
      </c>
    </row>
    <row r="198" spans="1:26" s="24" customFormat="1" hidden="1" outlineLevel="2" x14ac:dyDescent="0.25">
      <c r="A198" s="29"/>
      <c r="B198" s="11" t="str">
        <f>CONCATENATE("          ", "6314", " - ", "LIABILITY INSURANCE")</f>
        <v xml:space="preserve">          6314 - LIABILITY INSURANCE</v>
      </c>
      <c r="C198" s="11"/>
      <c r="D198" s="7">
        <v>4288.28</v>
      </c>
      <c r="E198" s="2"/>
      <c r="F198" s="6">
        <f t="shared" si="68"/>
        <v>2.6836753345117737E-3</v>
      </c>
      <c r="G198" s="2"/>
      <c r="H198" s="7">
        <v>4288.28</v>
      </c>
      <c r="I198" s="2"/>
      <c r="J198" s="6">
        <f t="shared" si="69"/>
        <v>1.5143707240823834E-3</v>
      </c>
      <c r="K198" s="2"/>
      <c r="L198" s="7">
        <f t="shared" si="70"/>
        <v>0</v>
      </c>
      <c r="M198" s="2"/>
      <c r="N198" s="6">
        <f t="shared" si="71"/>
        <v>0</v>
      </c>
      <c r="O198" s="11"/>
      <c r="P198" s="7">
        <v>8576.56</v>
      </c>
      <c r="Q198" s="2"/>
      <c r="R198" s="6">
        <f t="shared" si="72"/>
        <v>4.6979909446440348E-3</v>
      </c>
      <c r="S198" s="2"/>
      <c r="T198" s="7">
        <v>8576.56</v>
      </c>
      <c r="U198" s="2"/>
      <c r="V198" s="6">
        <f t="shared" si="73"/>
        <v>2.6450557924609579E-3</v>
      </c>
      <c r="W198" s="2"/>
      <c r="X198" s="7">
        <f t="shared" si="74"/>
        <v>0</v>
      </c>
      <c r="Y198" s="2"/>
      <c r="Z198" s="6">
        <f t="shared" si="75"/>
        <v>0</v>
      </c>
    </row>
    <row r="199" spans="1:26" s="28" customFormat="1" outlineLevel="1" collapsed="1" x14ac:dyDescent="0.25">
      <c r="A199" s="27"/>
      <c r="B199" s="14" t="str">
        <f>CONCATENATE("     ","Interest                                          ")</f>
        <v xml:space="preserve">     Interest                                          </v>
      </c>
      <c r="C199" s="14"/>
      <c r="D199" s="1">
        <f>SUM(OSRRefD22_13x_0)</f>
        <v>4044</v>
      </c>
      <c r="E199" s="1"/>
      <c r="F199" s="5">
        <f t="shared" si="68"/>
        <v>2.5308009394828727E-3</v>
      </c>
      <c r="G199" s="1"/>
      <c r="H199" s="1">
        <f>SUM(OSRRefH22_13x_0)</f>
        <v>4110</v>
      </c>
      <c r="I199" s="1"/>
      <c r="J199" s="5">
        <f t="shared" si="69"/>
        <v>1.4514126120445951E-3</v>
      </c>
      <c r="K199" s="1"/>
      <c r="L199" s="1">
        <f t="shared" si="70"/>
        <v>-66</v>
      </c>
      <c r="M199" s="1"/>
      <c r="N199" s="5">
        <f t="shared" si="71"/>
        <v>-1.6058394160583942E-2</v>
      </c>
      <c r="O199" s="14"/>
      <c r="P199" s="1">
        <f>SUM(OSRRefP22_13x_0)</f>
        <v>8088</v>
      </c>
      <c r="Q199" s="1"/>
      <c r="R199" s="5">
        <f t="shared" si="72"/>
        <v>4.4303719393650786E-3</v>
      </c>
      <c r="S199" s="1"/>
      <c r="T199" s="1">
        <f>SUM(OSRRefT22_13x_0)</f>
        <v>8220</v>
      </c>
      <c r="U199" s="1"/>
      <c r="V199" s="5">
        <f t="shared" si="73"/>
        <v>2.5350908305928105E-3</v>
      </c>
      <c r="W199" s="1"/>
      <c r="X199" s="1">
        <f t="shared" si="74"/>
        <v>-132</v>
      </c>
      <c r="Y199" s="1"/>
      <c r="Z199" s="5">
        <f t="shared" si="75"/>
        <v>-1.6058394160583942E-2</v>
      </c>
    </row>
    <row r="200" spans="1:26" s="24" customFormat="1" hidden="1" outlineLevel="2" x14ac:dyDescent="0.25">
      <c r="A200" s="29"/>
      <c r="B200" s="11" t="str">
        <f>CONCATENATE("          ", "6401", " - ", "INTEREST EXPENSE")</f>
        <v xml:space="preserve">          6401 - INTEREST EXPENSE</v>
      </c>
      <c r="C200" s="11"/>
      <c r="D200" s="7">
        <v>4044</v>
      </c>
      <c r="E200" s="2"/>
      <c r="F200" s="6">
        <f t="shared" si="68"/>
        <v>2.5308009394828727E-3</v>
      </c>
      <c r="G200" s="2"/>
      <c r="H200" s="7">
        <v>4110</v>
      </c>
      <c r="I200" s="2"/>
      <c r="J200" s="6">
        <f t="shared" si="69"/>
        <v>1.4514126120445951E-3</v>
      </c>
      <c r="K200" s="2"/>
      <c r="L200" s="7">
        <f t="shared" si="70"/>
        <v>-66</v>
      </c>
      <c r="M200" s="2"/>
      <c r="N200" s="6">
        <f t="shared" si="71"/>
        <v>-1.6058394160583942E-2</v>
      </c>
      <c r="O200" s="11"/>
      <c r="P200" s="7">
        <v>8088</v>
      </c>
      <c r="Q200" s="2"/>
      <c r="R200" s="6">
        <f t="shared" si="72"/>
        <v>4.4303719393650786E-3</v>
      </c>
      <c r="S200" s="2"/>
      <c r="T200" s="7">
        <v>8220</v>
      </c>
      <c r="U200" s="2"/>
      <c r="V200" s="6">
        <f t="shared" si="73"/>
        <v>2.5350908305928105E-3</v>
      </c>
      <c r="W200" s="2"/>
      <c r="X200" s="7">
        <f t="shared" si="74"/>
        <v>-132</v>
      </c>
      <c r="Y200" s="2"/>
      <c r="Z200" s="6">
        <f t="shared" si="75"/>
        <v>-1.6058394160583942E-2</v>
      </c>
    </row>
    <row r="201" spans="1:26" s="28" customFormat="1" outlineLevel="1" collapsed="1" x14ac:dyDescent="0.25">
      <c r="A201" s="27"/>
      <c r="B201" s="14" t="str">
        <f>CONCATENATE("     ","Inventory Adjustment                              ")</f>
        <v xml:space="preserve">     Inventory Adjustment                              </v>
      </c>
      <c r="C201" s="14"/>
      <c r="D201" s="1">
        <f>SUM(OSRRefD22_14x_0)</f>
        <v>2100</v>
      </c>
      <c r="E201" s="1"/>
      <c r="F201" s="5">
        <f t="shared" si="68"/>
        <v>1.3142141377136579E-3</v>
      </c>
      <c r="G201" s="1"/>
      <c r="H201" s="1">
        <f>SUM(OSRRefH22_14x_0)</f>
        <v>4250</v>
      </c>
      <c r="I201" s="1"/>
      <c r="J201" s="5">
        <f t="shared" si="69"/>
        <v>1.5008524577103477E-3</v>
      </c>
      <c r="K201" s="1"/>
      <c r="L201" s="1">
        <f t="shared" si="70"/>
        <v>-2150</v>
      </c>
      <c r="M201" s="1"/>
      <c r="N201" s="5">
        <f t="shared" si="71"/>
        <v>-0.50588235294117645</v>
      </c>
      <c r="O201" s="14"/>
      <c r="P201" s="1">
        <f>SUM(OSRRefP22_14x_0)</f>
        <v>4200</v>
      </c>
      <c r="Q201" s="1"/>
      <c r="R201" s="5">
        <f t="shared" si="72"/>
        <v>2.3006382474447737E-3</v>
      </c>
      <c r="S201" s="1"/>
      <c r="T201" s="1">
        <f>SUM(OSRRefT22_14x_0)</f>
        <v>8400</v>
      </c>
      <c r="U201" s="1"/>
      <c r="V201" s="5">
        <f t="shared" si="73"/>
        <v>2.5906037684890033E-3</v>
      </c>
      <c r="W201" s="1"/>
      <c r="X201" s="1">
        <f t="shared" si="74"/>
        <v>-4200</v>
      </c>
      <c r="Y201" s="1"/>
      <c r="Z201" s="5">
        <f t="shared" si="75"/>
        <v>-0.5</v>
      </c>
    </row>
    <row r="202" spans="1:26" s="24" customFormat="1" hidden="1" outlineLevel="2" x14ac:dyDescent="0.25">
      <c r="A202" s="29"/>
      <c r="B202" s="11" t="str">
        <f>CONCATENATE("          ", "6408", " - ", "INVENTORY ADJUSTMENT")</f>
        <v xml:space="preserve">          6408 - INVENTORY ADJUSTMENT</v>
      </c>
      <c r="C202" s="11"/>
      <c r="D202" s="7">
        <v>2100</v>
      </c>
      <c r="E202" s="2"/>
      <c r="F202" s="6">
        <f t="shared" si="68"/>
        <v>1.3142141377136579E-3</v>
      </c>
      <c r="G202" s="2"/>
      <c r="H202" s="7">
        <v>4250</v>
      </c>
      <c r="I202" s="2"/>
      <c r="J202" s="6">
        <f t="shared" si="69"/>
        <v>1.5008524577103477E-3</v>
      </c>
      <c r="K202" s="2"/>
      <c r="L202" s="7">
        <f t="shared" si="70"/>
        <v>-2150</v>
      </c>
      <c r="M202" s="2"/>
      <c r="N202" s="6">
        <f t="shared" si="71"/>
        <v>-0.50588235294117645</v>
      </c>
      <c r="O202" s="11"/>
      <c r="P202" s="7">
        <v>4200</v>
      </c>
      <c r="Q202" s="2"/>
      <c r="R202" s="6">
        <f t="shared" si="72"/>
        <v>2.3006382474447737E-3</v>
      </c>
      <c r="S202" s="2"/>
      <c r="T202" s="7">
        <v>8400</v>
      </c>
      <c r="U202" s="2"/>
      <c r="V202" s="6">
        <f t="shared" si="73"/>
        <v>2.5906037684890033E-3</v>
      </c>
      <c r="W202" s="2"/>
      <c r="X202" s="7">
        <f t="shared" si="74"/>
        <v>-4200</v>
      </c>
      <c r="Y202" s="2"/>
      <c r="Z202" s="6">
        <f t="shared" si="75"/>
        <v>-0.5</v>
      </c>
    </row>
    <row r="203" spans="1:26" s="28" customFormat="1" outlineLevel="1" collapsed="1" x14ac:dyDescent="0.25">
      <c r="A203" s="27"/>
      <c r="B203" s="14" t="str">
        <f>CONCATENATE("     ","Professional Services                             ")</f>
        <v xml:space="preserve">     Professional Services                             </v>
      </c>
      <c r="C203" s="14"/>
      <c r="D203" s="1">
        <f>SUM(OSRRefD22_15x_0)</f>
        <v>0</v>
      </c>
      <c r="E203" s="1"/>
      <c r="F203" s="5">
        <f t="shared" si="68"/>
        <v>0</v>
      </c>
      <c r="G203" s="1"/>
      <c r="H203" s="1">
        <f>SUM(OSRRefH22_15x_0)</f>
        <v>0</v>
      </c>
      <c r="I203" s="1"/>
      <c r="J203" s="5">
        <f t="shared" si="69"/>
        <v>0</v>
      </c>
      <c r="K203" s="1"/>
      <c r="L203" s="1">
        <f t="shared" si="70"/>
        <v>0</v>
      </c>
      <c r="M203" s="1"/>
      <c r="N203" s="5">
        <f t="shared" si="71"/>
        <v>0</v>
      </c>
      <c r="O203" s="14"/>
      <c r="P203" s="1">
        <f>SUM(OSRRefP22_15x_0)</f>
        <v>0</v>
      </c>
      <c r="Q203" s="1"/>
      <c r="R203" s="5">
        <f t="shared" si="72"/>
        <v>0</v>
      </c>
      <c r="S203" s="1"/>
      <c r="T203" s="1">
        <f>SUM(OSRRefT22_15x_0)</f>
        <v>6158.41</v>
      </c>
      <c r="U203" s="1"/>
      <c r="V203" s="5">
        <f t="shared" si="73"/>
        <v>1.899285732607186E-3</v>
      </c>
      <c r="W203" s="1"/>
      <c r="X203" s="1">
        <f t="shared" si="74"/>
        <v>-6158.41</v>
      </c>
      <c r="Y203" s="1"/>
      <c r="Z203" s="5">
        <f t="shared" si="75"/>
        <v>-1</v>
      </c>
    </row>
    <row r="204" spans="1:26" s="24" customFormat="1" hidden="1" outlineLevel="2" x14ac:dyDescent="0.25">
      <c r="A204" s="29"/>
      <c r="B204" s="11" t="str">
        <f>CONCATENATE("          ", "6336", " - ", "PROFESSIONAL SERVICES")</f>
        <v xml:space="preserve">          6336 - PROFESSIONAL SERVICES</v>
      </c>
      <c r="C204" s="11"/>
      <c r="D204" s="7"/>
      <c r="E204" s="2"/>
      <c r="F204" s="6">
        <f t="shared" si="68"/>
        <v>0</v>
      </c>
      <c r="G204" s="2"/>
      <c r="H204" s="7"/>
      <c r="I204" s="2"/>
      <c r="J204" s="6">
        <f t="shared" si="69"/>
        <v>0</v>
      </c>
      <c r="K204" s="2"/>
      <c r="L204" s="7">
        <f t="shared" si="70"/>
        <v>0</v>
      </c>
      <c r="M204" s="2"/>
      <c r="N204" s="6">
        <f t="shared" si="71"/>
        <v>0</v>
      </c>
      <c r="O204" s="11"/>
      <c r="P204" s="7"/>
      <c r="Q204" s="2"/>
      <c r="R204" s="6">
        <f t="shared" si="72"/>
        <v>0</v>
      </c>
      <c r="S204" s="2"/>
      <c r="T204" s="7">
        <v>6158.41</v>
      </c>
      <c r="U204" s="2"/>
      <c r="V204" s="6">
        <f t="shared" si="73"/>
        <v>1.899285732607186E-3</v>
      </c>
      <c r="W204" s="2"/>
      <c r="X204" s="7">
        <f t="shared" si="74"/>
        <v>-6158.41</v>
      </c>
      <c r="Y204" s="2"/>
      <c r="Z204" s="6">
        <f t="shared" si="75"/>
        <v>-1</v>
      </c>
    </row>
    <row r="205" spans="1:26" s="28" customFormat="1" outlineLevel="1" collapsed="1" x14ac:dyDescent="0.25">
      <c r="A205" s="27"/>
      <c r="B205" s="14" t="str">
        <f>CONCATENATE("     ","Rent                                              ")</f>
        <v xml:space="preserve">     Rent                                              </v>
      </c>
      <c r="C205" s="14"/>
      <c r="D205" s="1">
        <f>SUM(OSRRefD22_16x_0)</f>
        <v>6100</v>
      </c>
      <c r="E205" s="1"/>
      <c r="F205" s="5">
        <f t="shared" si="68"/>
        <v>3.8174791619301493E-3</v>
      </c>
      <c r="G205" s="1"/>
      <c r="H205" s="1">
        <f>SUM(OSRRefH22_16x_0)</f>
        <v>7250</v>
      </c>
      <c r="I205" s="1"/>
      <c r="J205" s="5">
        <f t="shared" si="69"/>
        <v>2.5602777219764757E-3</v>
      </c>
      <c r="K205" s="1"/>
      <c r="L205" s="1">
        <f t="shared" si="70"/>
        <v>-1150</v>
      </c>
      <c r="M205" s="1"/>
      <c r="N205" s="5">
        <f t="shared" si="71"/>
        <v>-0.15862068965517243</v>
      </c>
      <c r="O205" s="14"/>
      <c r="P205" s="1">
        <f>SUM(OSRRefP22_16x_0)</f>
        <v>12200</v>
      </c>
      <c r="Q205" s="1"/>
      <c r="R205" s="5">
        <f t="shared" si="72"/>
        <v>6.6828063378157714E-3</v>
      </c>
      <c r="S205" s="1"/>
      <c r="T205" s="1">
        <f>SUM(OSRRefT22_16x_0)</f>
        <v>14500</v>
      </c>
      <c r="U205" s="1"/>
      <c r="V205" s="5">
        <f t="shared" si="73"/>
        <v>4.4718755527488746E-3</v>
      </c>
      <c r="W205" s="1"/>
      <c r="X205" s="1">
        <f t="shared" si="74"/>
        <v>-2300</v>
      </c>
      <c r="Y205" s="1"/>
      <c r="Z205" s="5">
        <f t="shared" si="75"/>
        <v>-0.15862068965517243</v>
      </c>
    </row>
    <row r="206" spans="1:26" s="24" customFormat="1" hidden="1" outlineLevel="2" x14ac:dyDescent="0.25">
      <c r="A206" s="29"/>
      <c r="B206" s="11" t="str">
        <f>CONCATENATE("          ", "6273", " - ", "RENT")</f>
        <v xml:space="preserve">          6273 - RENT</v>
      </c>
      <c r="C206" s="11"/>
      <c r="D206" s="7">
        <v>6100</v>
      </c>
      <c r="E206" s="2"/>
      <c r="F206" s="6">
        <f t="shared" si="68"/>
        <v>3.8174791619301493E-3</v>
      </c>
      <c r="G206" s="2"/>
      <c r="H206" s="7">
        <v>7250</v>
      </c>
      <c r="I206" s="2"/>
      <c r="J206" s="6">
        <f t="shared" si="69"/>
        <v>2.5602777219764757E-3</v>
      </c>
      <c r="K206" s="2"/>
      <c r="L206" s="7">
        <f t="shared" si="70"/>
        <v>-1150</v>
      </c>
      <c r="M206" s="2"/>
      <c r="N206" s="6">
        <f t="shared" si="71"/>
        <v>-0.15862068965517243</v>
      </c>
      <c r="O206" s="11"/>
      <c r="P206" s="7">
        <v>12200</v>
      </c>
      <c r="Q206" s="2"/>
      <c r="R206" s="6">
        <f t="shared" si="72"/>
        <v>6.6828063378157714E-3</v>
      </c>
      <c r="S206" s="2"/>
      <c r="T206" s="7">
        <v>14500</v>
      </c>
      <c r="U206" s="2"/>
      <c r="V206" s="6">
        <f t="shared" si="73"/>
        <v>4.4718755527488746E-3</v>
      </c>
      <c r="W206" s="2"/>
      <c r="X206" s="7">
        <f t="shared" si="74"/>
        <v>-2300</v>
      </c>
      <c r="Y206" s="2"/>
      <c r="Z206" s="6">
        <f t="shared" si="75"/>
        <v>-0.15862068965517243</v>
      </c>
    </row>
    <row r="207" spans="1:26" s="28" customFormat="1" outlineLevel="1" collapsed="1" x14ac:dyDescent="0.25">
      <c r="A207" s="27"/>
      <c r="B207" s="14" t="str">
        <f>CONCATENATE("     ","Repair and Maintenance                            ")</f>
        <v xml:space="preserve">     Repair and Maintenance                            </v>
      </c>
      <c r="C207" s="14"/>
      <c r="D207" s="1">
        <f>SUM(OSRRefD22_17x_0)</f>
        <v>7148.7199999999993</v>
      </c>
      <c r="E207" s="1"/>
      <c r="F207" s="5">
        <f t="shared" si="68"/>
        <v>4.4737851859792286E-3</v>
      </c>
      <c r="G207" s="1"/>
      <c r="H207" s="1">
        <f>SUM(OSRRefH22_17x_0)</f>
        <v>16162.5</v>
      </c>
      <c r="I207" s="1"/>
      <c r="J207" s="5">
        <f t="shared" si="69"/>
        <v>5.7076536112337633E-3</v>
      </c>
      <c r="K207" s="1"/>
      <c r="L207" s="1">
        <f t="shared" si="70"/>
        <v>-9013.7800000000007</v>
      </c>
      <c r="M207" s="1"/>
      <c r="N207" s="5">
        <f t="shared" si="71"/>
        <v>-0.55769713843774171</v>
      </c>
      <c r="O207" s="14"/>
      <c r="P207" s="1">
        <f>SUM(OSRRefP22_17x_0)</f>
        <v>73610.490000000005</v>
      </c>
      <c r="Q207" s="1"/>
      <c r="R207" s="5">
        <f t="shared" si="72"/>
        <v>4.0321692549321678E-2</v>
      </c>
      <c r="S207" s="1"/>
      <c r="T207" s="1">
        <f>SUM(OSRRefT22_17x_0)</f>
        <v>40670.600000000006</v>
      </c>
      <c r="U207" s="1"/>
      <c r="V207" s="5">
        <f t="shared" si="73"/>
        <v>1.254302495556058E-2</v>
      </c>
      <c r="W207" s="1"/>
      <c r="X207" s="1">
        <f t="shared" si="74"/>
        <v>32939.89</v>
      </c>
      <c r="Y207" s="1"/>
      <c r="Z207" s="5">
        <f t="shared" si="75"/>
        <v>0.80991895865809682</v>
      </c>
    </row>
    <row r="208" spans="1:26" s="24" customFormat="1" hidden="1" outlineLevel="2" x14ac:dyDescent="0.25">
      <c r="A208" s="29"/>
      <c r="B208" s="11" t="str">
        <f>CONCATENATE("          ", "6371", " - ", "COMPUTER SOFTWARE MAINTENANCE")</f>
        <v xml:space="preserve">          6371 - COMPUTER SOFTWARE MAINTENANCE</v>
      </c>
      <c r="C208" s="11"/>
      <c r="D208" s="7"/>
      <c r="E208" s="2"/>
      <c r="F208" s="6">
        <f t="shared" si="68"/>
        <v>0</v>
      </c>
      <c r="G208" s="2"/>
      <c r="H208" s="7">
        <v>7887.25</v>
      </c>
      <c r="I208" s="2"/>
      <c r="J208" s="6">
        <f t="shared" si="69"/>
        <v>2.7853173051943388E-3</v>
      </c>
      <c r="K208" s="2"/>
      <c r="L208" s="7">
        <f t="shared" si="70"/>
        <v>-7887.25</v>
      </c>
      <c r="M208" s="2"/>
      <c r="N208" s="6">
        <f t="shared" si="71"/>
        <v>-1</v>
      </c>
      <c r="O208" s="11"/>
      <c r="P208" s="7">
        <v>58428.780000000006</v>
      </c>
      <c r="Q208" s="2"/>
      <c r="R208" s="6">
        <f t="shared" si="72"/>
        <v>3.2005591909413399E-2</v>
      </c>
      <c r="S208" s="2"/>
      <c r="T208" s="7">
        <v>8488.25</v>
      </c>
      <c r="U208" s="2"/>
      <c r="V208" s="6">
        <f t="shared" si="73"/>
        <v>2.6178205283186647E-3</v>
      </c>
      <c r="W208" s="2"/>
      <c r="X208" s="7">
        <f t="shared" si="74"/>
        <v>49940.530000000006</v>
      </c>
      <c r="Y208" s="2"/>
      <c r="Z208" s="6">
        <f t="shared" si="75"/>
        <v>5.8834895296439207</v>
      </c>
    </row>
    <row r="209" spans="1:26" s="24" customFormat="1" hidden="1" outlineLevel="2" x14ac:dyDescent="0.25">
      <c r="A209" s="29"/>
      <c r="B209" s="11" t="str">
        <f>CONCATENATE("          ", "6372", " - ", "COMPUTER HARDWARE MAINTENANCE")</f>
        <v xml:space="preserve">          6372 - COMPUTER HARDWARE MAINTENANCE</v>
      </c>
      <c r="C209" s="11"/>
      <c r="D209" s="7">
        <v>0.98</v>
      </c>
      <c r="E209" s="2"/>
      <c r="F209" s="6">
        <f t="shared" si="68"/>
        <v>6.1329993093304044E-7</v>
      </c>
      <c r="G209" s="2"/>
      <c r="H209" s="7"/>
      <c r="I209" s="2"/>
      <c r="J209" s="6">
        <f t="shared" si="69"/>
        <v>0</v>
      </c>
      <c r="K209" s="2"/>
      <c r="L209" s="7">
        <f t="shared" si="70"/>
        <v>0.98</v>
      </c>
      <c r="M209" s="2"/>
      <c r="N209" s="6">
        <f t="shared" si="71"/>
        <v>0</v>
      </c>
      <c r="O209" s="11"/>
      <c r="P209" s="7">
        <v>0.98</v>
      </c>
      <c r="Q209" s="2"/>
      <c r="R209" s="6">
        <f t="shared" si="72"/>
        <v>5.3681559107044721E-7</v>
      </c>
      <c r="S209" s="2"/>
      <c r="T209" s="7"/>
      <c r="U209" s="2"/>
      <c r="V209" s="6">
        <f t="shared" si="73"/>
        <v>0</v>
      </c>
      <c r="W209" s="2"/>
      <c r="X209" s="7">
        <f t="shared" si="74"/>
        <v>0.98</v>
      </c>
      <c r="Y209" s="2"/>
      <c r="Z209" s="6">
        <f t="shared" si="75"/>
        <v>0</v>
      </c>
    </row>
    <row r="210" spans="1:26" s="24" customFormat="1" hidden="1" outlineLevel="2" x14ac:dyDescent="0.25">
      <c r="A210" s="29"/>
      <c r="B210" s="11" t="str">
        <f>CONCATENATE("          ", "6373", " - ", "MAINTENANCE CONTRACTS")</f>
        <v xml:space="preserve">          6373 - MAINTENANCE CONTRACTS</v>
      </c>
      <c r="C210" s="11"/>
      <c r="D210" s="7">
        <v>6723.92</v>
      </c>
      <c r="E210" s="2"/>
      <c r="F210" s="6">
        <f t="shared" si="68"/>
        <v>4.2079384404074376E-3</v>
      </c>
      <c r="G210" s="2"/>
      <c r="H210" s="7">
        <v>5896.58</v>
      </c>
      <c r="I210" s="2"/>
      <c r="J210" s="6">
        <f t="shared" si="69"/>
        <v>2.0823286082554547E-3</v>
      </c>
      <c r="K210" s="2"/>
      <c r="L210" s="7">
        <f t="shared" si="70"/>
        <v>827.34000000000015</v>
      </c>
      <c r="M210" s="2"/>
      <c r="N210" s="6">
        <f t="shared" si="71"/>
        <v>0.14030844998287145</v>
      </c>
      <c r="O210" s="11"/>
      <c r="P210" s="7">
        <v>13139.93</v>
      </c>
      <c r="Q210" s="2"/>
      <c r="R210" s="6">
        <f t="shared" si="72"/>
        <v>7.1976727444635728E-3</v>
      </c>
      <c r="S210" s="2"/>
      <c r="T210" s="7">
        <v>12375.44</v>
      </c>
      <c r="U210" s="2"/>
      <c r="V210" s="6">
        <f t="shared" si="73"/>
        <v>3.8166501786558991E-3</v>
      </c>
      <c r="W210" s="2"/>
      <c r="X210" s="7">
        <f t="shared" si="74"/>
        <v>764.48999999999978</v>
      </c>
      <c r="Y210" s="2"/>
      <c r="Z210" s="6">
        <f t="shared" si="75"/>
        <v>6.1774773260587078E-2</v>
      </c>
    </row>
    <row r="211" spans="1:26" s="24" customFormat="1" hidden="1" outlineLevel="2" x14ac:dyDescent="0.25">
      <c r="A211" s="29"/>
      <c r="B211" s="11" t="str">
        <f>CONCATENATE("          ", "6375", " - ", "OUTSIDE REPAIRS &amp; MAINTENANCE")</f>
        <v xml:space="preserve">          6375 - OUTSIDE REPAIRS &amp; MAINTENANCE</v>
      </c>
      <c r="C211" s="11"/>
      <c r="D211" s="7">
        <v>423.82</v>
      </c>
      <c r="E211" s="2"/>
      <c r="F211" s="6">
        <f t="shared" si="68"/>
        <v>2.6523344564085834E-4</v>
      </c>
      <c r="G211" s="2"/>
      <c r="H211" s="7">
        <v>2378.67</v>
      </c>
      <c r="I211" s="2"/>
      <c r="J211" s="6">
        <f t="shared" si="69"/>
        <v>8.4000769778397007E-4</v>
      </c>
      <c r="K211" s="2"/>
      <c r="L211" s="7">
        <f t="shared" si="70"/>
        <v>-1954.8500000000001</v>
      </c>
      <c r="M211" s="2"/>
      <c r="N211" s="6">
        <f t="shared" si="71"/>
        <v>-0.82182480125448254</v>
      </c>
      <c r="O211" s="11"/>
      <c r="P211" s="7">
        <v>2040.8</v>
      </c>
      <c r="Q211" s="2"/>
      <c r="R211" s="6">
        <f t="shared" si="72"/>
        <v>1.1178910798536415E-3</v>
      </c>
      <c r="S211" s="2"/>
      <c r="T211" s="7">
        <v>19806.91</v>
      </c>
      <c r="U211" s="2"/>
      <c r="V211" s="6">
        <f t="shared" si="73"/>
        <v>6.108554248586015E-3</v>
      </c>
      <c r="W211" s="2"/>
      <c r="X211" s="7">
        <f t="shared" si="74"/>
        <v>-17766.11</v>
      </c>
      <c r="Y211" s="2"/>
      <c r="Z211" s="6">
        <f t="shared" si="75"/>
        <v>-0.89696525101593338</v>
      </c>
    </row>
    <row r="212" spans="1:26" s="28" customFormat="1" outlineLevel="1" collapsed="1" x14ac:dyDescent="0.25">
      <c r="A212" s="27"/>
      <c r="B212" s="14" t="str">
        <f>CONCATENATE("     ","Royalty &amp; Commissions                             ")</f>
        <v xml:space="preserve">     Royalty &amp; Commissions                             </v>
      </c>
      <c r="C212" s="14"/>
      <c r="D212" s="1">
        <f>SUM(OSRRefD22_18x_0)</f>
        <v>2254.65</v>
      </c>
      <c r="E212" s="1"/>
      <c r="F212" s="5">
        <f t="shared" ref="F212:F215" si="76">IF(D$12=0,0,D212/D$12)</f>
        <v>1.4109966217124281E-3</v>
      </c>
      <c r="G212" s="1"/>
      <c r="H212" s="1">
        <f>SUM(OSRRefH22_18x_0)</f>
        <v>3785.57</v>
      </c>
      <c r="I212" s="1"/>
      <c r="J212" s="5">
        <f t="shared" ref="J212:J215" si="77">IF(H$12=0,0,H212/H$12)</f>
        <v>1.3368428325493086E-3</v>
      </c>
      <c r="K212" s="1"/>
      <c r="L212" s="1">
        <f t="shared" ref="L212:L215" si="78">+D212-H212</f>
        <v>-1530.92</v>
      </c>
      <c r="M212" s="1"/>
      <c r="N212" s="5">
        <f t="shared" ref="N212:N215" si="79">IF(H212=0,0,L212/H212)</f>
        <v>-0.4044093756026173</v>
      </c>
      <c r="O212" s="14"/>
      <c r="P212" s="1">
        <f>SUM(OSRRefP22_18x_0)</f>
        <v>13244.4</v>
      </c>
      <c r="Q212" s="1"/>
      <c r="R212" s="5">
        <f t="shared" ref="R212:R215" si="80">IF(P$12=0,0,P212/P$12)</f>
        <v>7.2548983820137055E-3</v>
      </c>
      <c r="S212" s="1"/>
      <c r="T212" s="1">
        <f>SUM(OSRRefT22_18x_0)</f>
        <v>8871.619999999999</v>
      </c>
      <c r="U212" s="1"/>
      <c r="V212" s="5">
        <f t="shared" ref="V212:V215" si="81">IF(T$12=0,0,T212/T$12)</f>
        <v>2.7360538338812392E-3</v>
      </c>
      <c r="W212" s="1"/>
      <c r="X212" s="1">
        <f t="shared" ref="X212:X215" si="82">+P212-T212</f>
        <v>4372.7800000000007</v>
      </c>
      <c r="Y212" s="1"/>
      <c r="Z212" s="5">
        <f t="shared" ref="Z212:Z215" si="83">IF(T212=0,0,X212/T212)</f>
        <v>0.49289532238756856</v>
      </c>
    </row>
    <row r="213" spans="1:26" s="24" customFormat="1" hidden="1" outlineLevel="2" x14ac:dyDescent="0.25">
      <c r="A213" s="29"/>
      <c r="B213" s="11" t="str">
        <f>CONCATENATE("          ", "6253", " - ", "ROYALTY DUE ATHLETICS-LRG")</f>
        <v xml:space="preserve">          6253 - ROYALTY DUE ATHLETICS-LRG</v>
      </c>
      <c r="C213" s="11"/>
      <c r="D213" s="7">
        <v>2250</v>
      </c>
      <c r="E213" s="2"/>
      <c r="F213" s="6">
        <f t="shared" si="76"/>
        <v>1.4080865761217764E-3</v>
      </c>
      <c r="G213" s="2"/>
      <c r="H213" s="7"/>
      <c r="I213" s="2"/>
      <c r="J213" s="6">
        <f t="shared" si="77"/>
        <v>0</v>
      </c>
      <c r="K213" s="2"/>
      <c r="L213" s="7">
        <f t="shared" si="78"/>
        <v>2250</v>
      </c>
      <c r="M213" s="2"/>
      <c r="N213" s="6">
        <f t="shared" si="79"/>
        <v>0</v>
      </c>
      <c r="O213" s="11"/>
      <c r="P213" s="7">
        <v>7922.2</v>
      </c>
      <c r="Q213" s="2"/>
      <c r="R213" s="6">
        <f t="shared" si="80"/>
        <v>4.3395515056921397E-3</v>
      </c>
      <c r="S213" s="2"/>
      <c r="T213" s="7">
        <v>4366.95</v>
      </c>
      <c r="U213" s="2"/>
      <c r="V213" s="6">
        <f t="shared" si="81"/>
        <v>1.3467901341432205E-3</v>
      </c>
      <c r="W213" s="2"/>
      <c r="X213" s="7">
        <f t="shared" si="82"/>
        <v>3555.25</v>
      </c>
      <c r="Y213" s="2"/>
      <c r="Z213" s="6">
        <f t="shared" si="83"/>
        <v>0.81412656430689612</v>
      </c>
    </row>
    <row r="214" spans="1:26" s="24" customFormat="1" hidden="1" outlineLevel="2" x14ac:dyDescent="0.25">
      <c r="A214" s="29"/>
      <c r="B214" s="11" t="str">
        <f>CONCATENATE("          ", "6254", " - ", "ROYALTY &amp; COMMISSIONS")</f>
        <v xml:space="preserve">          6254 - ROYALTY &amp; COMMISSIONS</v>
      </c>
      <c r="C214" s="11"/>
      <c r="D214" s="7"/>
      <c r="E214" s="2"/>
      <c r="F214" s="6">
        <f t="shared" si="76"/>
        <v>0</v>
      </c>
      <c r="G214" s="2"/>
      <c r="H214" s="7">
        <v>136.4</v>
      </c>
      <c r="I214" s="2"/>
      <c r="J214" s="6">
        <f t="shared" si="77"/>
        <v>4.816853534863328E-5</v>
      </c>
      <c r="K214" s="2"/>
      <c r="L214" s="7">
        <f t="shared" si="78"/>
        <v>-136.4</v>
      </c>
      <c r="M214" s="2"/>
      <c r="N214" s="6">
        <f t="shared" si="79"/>
        <v>-1</v>
      </c>
      <c r="O214" s="11"/>
      <c r="P214" s="7"/>
      <c r="Q214" s="2"/>
      <c r="R214" s="6">
        <f t="shared" si="80"/>
        <v>0</v>
      </c>
      <c r="S214" s="2"/>
      <c r="T214" s="7">
        <v>250.49</v>
      </c>
      <c r="U214" s="2"/>
      <c r="V214" s="6">
        <f t="shared" si="81"/>
        <v>7.7252421186763145E-5</v>
      </c>
      <c r="W214" s="2"/>
      <c r="X214" s="7">
        <f t="shared" si="82"/>
        <v>-250.49</v>
      </c>
      <c r="Y214" s="2"/>
      <c r="Z214" s="6">
        <f t="shared" si="83"/>
        <v>-1</v>
      </c>
    </row>
    <row r="215" spans="1:26" s="24" customFormat="1" hidden="1" outlineLevel="2" x14ac:dyDescent="0.25">
      <c r="A215" s="29"/>
      <c r="B215" s="11" t="str">
        <f>CONCATENATE("          ", "6259", " - ", "ROYALTY &amp; COMMISSIONS")</f>
        <v xml:space="preserve">          6259 - ROYALTY &amp; COMMISSIONS</v>
      </c>
      <c r="C215" s="11"/>
      <c r="D215" s="7">
        <v>4.6500000000000004</v>
      </c>
      <c r="E215" s="2"/>
      <c r="F215" s="6">
        <f t="shared" si="76"/>
        <v>2.9100455906516717E-6</v>
      </c>
      <c r="G215" s="2"/>
      <c r="H215" s="7">
        <v>3649.17</v>
      </c>
      <c r="I215" s="2"/>
      <c r="J215" s="6">
        <f t="shared" si="77"/>
        <v>1.2886742972006752E-3</v>
      </c>
      <c r="K215" s="2"/>
      <c r="L215" s="7">
        <f t="shared" si="78"/>
        <v>-3644.52</v>
      </c>
      <c r="M215" s="2"/>
      <c r="N215" s="6">
        <f t="shared" si="79"/>
        <v>-0.99872573763348926</v>
      </c>
      <c r="O215" s="11"/>
      <c r="P215" s="7">
        <v>5322.2</v>
      </c>
      <c r="Q215" s="2"/>
      <c r="R215" s="6">
        <f t="shared" si="80"/>
        <v>2.9153468763215653E-3</v>
      </c>
      <c r="S215" s="2"/>
      <c r="T215" s="7">
        <v>4254.18</v>
      </c>
      <c r="U215" s="2"/>
      <c r="V215" s="6">
        <f t="shared" si="81"/>
        <v>1.3120112785512559E-3</v>
      </c>
      <c r="W215" s="2"/>
      <c r="X215" s="7">
        <f t="shared" si="82"/>
        <v>1068.0199999999995</v>
      </c>
      <c r="Y215" s="2"/>
      <c r="Z215" s="6">
        <f t="shared" si="83"/>
        <v>0.25105190659539545</v>
      </c>
    </row>
    <row r="216" spans="1:26" s="28" customFormat="1" outlineLevel="1" collapsed="1" x14ac:dyDescent="0.25">
      <c r="A216" s="27"/>
      <c r="B216" s="14" t="str">
        <f>CONCATENATE("     ","Services                                          ")</f>
        <v xml:space="preserve">     Services                                          </v>
      </c>
      <c r="C216" s="14"/>
      <c r="D216" s="1">
        <f>SUM(OSRRefD22_19x_0)</f>
        <v>-347.38000000000005</v>
      </c>
      <c r="E216" s="1"/>
      <c r="F216" s="5">
        <f t="shared" ref="F216:F221" si="84">IF(D$12=0,0,D216/D$12)</f>
        <v>-2.1739605102808122E-4</v>
      </c>
      <c r="G216" s="1"/>
      <c r="H216" s="1">
        <f>SUM(OSRRefH22_19x_0)</f>
        <v>6677.17</v>
      </c>
      <c r="I216" s="1"/>
      <c r="J216" s="5">
        <f t="shared" ref="J216:J221" si="85">IF(H$12=0,0,H216/H$12)</f>
        <v>2.3579875305999535E-3</v>
      </c>
      <c r="K216" s="1"/>
      <c r="L216" s="1">
        <f t="shared" ref="L216:L221" si="86">+D216-H216</f>
        <v>-7024.55</v>
      </c>
      <c r="M216" s="1"/>
      <c r="N216" s="5">
        <f t="shared" ref="N216:N221" si="87">IF(H216=0,0,L216/H216)</f>
        <v>-1.0520250345580537</v>
      </c>
      <c r="O216" s="14"/>
      <c r="P216" s="1">
        <f>SUM(OSRRefP22_19x_0)</f>
        <v>2731.76</v>
      </c>
      <c r="Q216" s="1"/>
      <c r="R216" s="5">
        <f t="shared" ref="R216:R221" si="88">IF(P$12=0,0,P216/P$12)</f>
        <v>1.4963789378189846E-3</v>
      </c>
      <c r="S216" s="1"/>
      <c r="T216" s="1">
        <f>SUM(OSRRefT22_19x_0)</f>
        <v>12758.689999999999</v>
      </c>
      <c r="U216" s="1"/>
      <c r="V216" s="5">
        <f t="shared" ref="V216:V221" si="89">IF(T$12=0,0,T216/T$12)</f>
        <v>3.9348464755932094E-3</v>
      </c>
      <c r="W216" s="1"/>
      <c r="X216" s="1">
        <f t="shared" ref="X216:X221" si="90">+P216-T216</f>
        <v>-10026.929999999998</v>
      </c>
      <c r="Y216" s="1"/>
      <c r="Z216" s="5">
        <f t="shared" ref="Z216:Z221" si="91">IF(T216=0,0,X216/T216)</f>
        <v>-0.78589024421786247</v>
      </c>
    </row>
    <row r="217" spans="1:26" s="24" customFormat="1" hidden="1" outlineLevel="2" x14ac:dyDescent="0.25">
      <c r="A217" s="29"/>
      <c r="B217" s="11" t="str">
        <f>CONCATENATE("          ", "6282", " - ", "JANITORIAL/EXTERMINATOR EXPENS")</f>
        <v xml:space="preserve">          6282 - JANITORIAL/EXTERMINATOR EXPENS</v>
      </c>
      <c r="C217" s="11"/>
      <c r="D217" s="7">
        <v>-429.22</v>
      </c>
      <c r="E217" s="2"/>
      <c r="F217" s="6">
        <f t="shared" si="84"/>
        <v>-2.6861285342355063E-4</v>
      </c>
      <c r="G217" s="2"/>
      <c r="H217" s="7">
        <v>1313.33</v>
      </c>
      <c r="I217" s="2"/>
      <c r="J217" s="6">
        <f t="shared" si="85"/>
        <v>4.6379166077287784E-4</v>
      </c>
      <c r="K217" s="2"/>
      <c r="L217" s="7">
        <f t="shared" si="86"/>
        <v>-1742.55</v>
      </c>
      <c r="M217" s="2"/>
      <c r="N217" s="6">
        <f t="shared" si="87"/>
        <v>-1.3268180883707827</v>
      </c>
      <c r="O217" s="11"/>
      <c r="P217" s="7">
        <v>-292.72000000000003</v>
      </c>
      <c r="Q217" s="2"/>
      <c r="R217" s="6">
        <f t="shared" si="88"/>
        <v>-1.6034353042667482E-4</v>
      </c>
      <c r="S217" s="2"/>
      <c r="T217" s="7">
        <v>2181.92</v>
      </c>
      <c r="U217" s="2"/>
      <c r="V217" s="6">
        <f t="shared" si="89"/>
        <v>6.7291549696922928E-4</v>
      </c>
      <c r="W217" s="2"/>
      <c r="X217" s="7">
        <f t="shared" si="90"/>
        <v>-2474.6400000000003</v>
      </c>
      <c r="Y217" s="2"/>
      <c r="Z217" s="6">
        <f t="shared" si="91"/>
        <v>-1.1341570726699421</v>
      </c>
    </row>
    <row r="218" spans="1:26" s="24" customFormat="1" hidden="1" outlineLevel="2" x14ac:dyDescent="0.25">
      <c r="A218" s="29"/>
      <c r="B218" s="11" t="str">
        <f>CONCATENATE("          ", "6283", " - ", "PLANT SERVICE")</f>
        <v xml:space="preserve">          6283 - PLANT SERVICE</v>
      </c>
      <c r="C218" s="11"/>
      <c r="D218" s="7"/>
      <c r="E218" s="2"/>
      <c r="F218" s="6">
        <f t="shared" si="84"/>
        <v>0</v>
      </c>
      <c r="G218" s="2"/>
      <c r="H218" s="7">
        <v>180.66</v>
      </c>
      <c r="I218" s="2"/>
      <c r="J218" s="6">
        <f t="shared" si="85"/>
        <v>6.3798589414106215E-5</v>
      </c>
      <c r="K218" s="2"/>
      <c r="L218" s="7">
        <f t="shared" si="86"/>
        <v>-180.66</v>
      </c>
      <c r="M218" s="2"/>
      <c r="N218" s="6">
        <f t="shared" si="87"/>
        <v>-1</v>
      </c>
      <c r="O218" s="11"/>
      <c r="P218" s="7">
        <v>130</v>
      </c>
      <c r="Q218" s="2"/>
      <c r="R218" s="6">
        <f t="shared" si="88"/>
        <v>7.1210231468528715E-5</v>
      </c>
      <c r="S218" s="2"/>
      <c r="T218" s="7">
        <v>361.32</v>
      </c>
      <c r="U218" s="2"/>
      <c r="V218" s="6">
        <f t="shared" si="89"/>
        <v>1.1143297067029127E-4</v>
      </c>
      <c r="W218" s="2"/>
      <c r="X218" s="7">
        <f t="shared" si="90"/>
        <v>-231.32</v>
      </c>
      <c r="Y218" s="2"/>
      <c r="Z218" s="6">
        <f t="shared" si="91"/>
        <v>-0.6402081257610982</v>
      </c>
    </row>
    <row r="219" spans="1:26" s="24" customFormat="1" hidden="1" outlineLevel="2" x14ac:dyDescent="0.25">
      <c r="A219" s="29"/>
      <c r="B219" s="11" t="str">
        <f>CONCATENATE("          ", "6284", " - ", "TRASH REMOVAL EXPENSE")</f>
        <v xml:space="preserve">          6284 - TRASH REMOVAL EXPENSE</v>
      </c>
      <c r="C219" s="11"/>
      <c r="D219" s="7">
        <v>142.57</v>
      </c>
      <c r="E219" s="2"/>
      <c r="F219" s="6">
        <f t="shared" si="84"/>
        <v>8.9222623625636287E-5</v>
      </c>
      <c r="G219" s="2"/>
      <c r="H219" s="7">
        <v>134.82</v>
      </c>
      <c r="I219" s="2"/>
      <c r="J219" s="6">
        <f t="shared" si="85"/>
        <v>4.7610571376119778E-5</v>
      </c>
      <c r="K219" s="2"/>
      <c r="L219" s="7">
        <f t="shared" si="86"/>
        <v>7.75</v>
      </c>
      <c r="M219" s="2"/>
      <c r="N219" s="6">
        <f t="shared" si="87"/>
        <v>5.7484052811155616E-2</v>
      </c>
      <c r="O219" s="11"/>
      <c r="P219" s="7">
        <v>285.14</v>
      </c>
      <c r="Q219" s="2"/>
      <c r="R219" s="6">
        <f t="shared" si="88"/>
        <v>1.5619142616104829E-4</v>
      </c>
      <c r="S219" s="2"/>
      <c r="T219" s="7">
        <v>506.64</v>
      </c>
      <c r="U219" s="2"/>
      <c r="V219" s="6">
        <f t="shared" si="89"/>
        <v>1.5625041586515102E-4</v>
      </c>
      <c r="W219" s="2"/>
      <c r="X219" s="7">
        <f t="shared" si="90"/>
        <v>-221.5</v>
      </c>
      <c r="Y219" s="2"/>
      <c r="Z219" s="6">
        <f t="shared" si="91"/>
        <v>-0.4371940628454129</v>
      </c>
    </row>
    <row r="220" spans="1:26" s="24" customFormat="1" hidden="1" outlineLevel="2" x14ac:dyDescent="0.25">
      <c r="A220" s="29"/>
      <c r="B220" s="11" t="str">
        <f>CONCATENATE("          ", "6285", " - ", "JANITORIAL SERVICES")</f>
        <v xml:space="preserve">          6285 - JANITORIAL SERVICES</v>
      </c>
      <c r="C220" s="11"/>
      <c r="D220" s="7">
        <v>-60.73</v>
      </c>
      <c r="E220" s="2"/>
      <c r="F220" s="6">
        <f t="shared" si="84"/>
        <v>-3.8005821230166877E-5</v>
      </c>
      <c r="G220" s="2"/>
      <c r="H220" s="7">
        <v>4219.84</v>
      </c>
      <c r="I220" s="2"/>
      <c r="J220" s="6">
        <f t="shared" si="85"/>
        <v>1.4902017023869256E-3</v>
      </c>
      <c r="K220" s="2"/>
      <c r="L220" s="7">
        <f t="shared" si="86"/>
        <v>-4280.57</v>
      </c>
      <c r="M220" s="2"/>
      <c r="N220" s="6">
        <f t="shared" si="87"/>
        <v>-1.0143915409115036</v>
      </c>
      <c r="O220" s="11"/>
      <c r="P220" s="7">
        <v>2609.34</v>
      </c>
      <c r="Q220" s="2"/>
      <c r="R220" s="6">
        <f t="shared" si="88"/>
        <v>1.4293208106160825E-3</v>
      </c>
      <c r="S220" s="2"/>
      <c r="T220" s="7">
        <v>8289.56</v>
      </c>
      <c r="U220" s="2"/>
      <c r="V220" s="6">
        <f t="shared" si="89"/>
        <v>2.5565434970375835E-3</v>
      </c>
      <c r="W220" s="2"/>
      <c r="X220" s="7">
        <f t="shared" si="90"/>
        <v>-5680.2199999999993</v>
      </c>
      <c r="Y220" s="2"/>
      <c r="Z220" s="6">
        <f t="shared" si="91"/>
        <v>-0.68522575383976947</v>
      </c>
    </row>
    <row r="221" spans="1:26" s="24" customFormat="1" hidden="1" outlineLevel="2" x14ac:dyDescent="0.25">
      <c r="A221" s="29"/>
      <c r="B221" s="11" t="str">
        <f>CONCATENATE("          ", "6286", " - ", "LAUNDRY EXPENSE")</f>
        <v xml:space="preserve">          6286 - LAUNDRY EXPENSE</v>
      </c>
      <c r="C221" s="11"/>
      <c r="D221" s="7"/>
      <c r="E221" s="2"/>
      <c r="F221" s="6">
        <f t="shared" si="84"/>
        <v>0</v>
      </c>
      <c r="G221" s="2"/>
      <c r="H221" s="7">
        <v>828.52</v>
      </c>
      <c r="I221" s="2"/>
      <c r="J221" s="6">
        <f t="shared" si="85"/>
        <v>2.9258500664992404E-4</v>
      </c>
      <c r="K221" s="2"/>
      <c r="L221" s="7">
        <f t="shared" si="86"/>
        <v>-828.52</v>
      </c>
      <c r="M221" s="2"/>
      <c r="N221" s="6">
        <f t="shared" si="87"/>
        <v>-1</v>
      </c>
      <c r="O221" s="11"/>
      <c r="P221" s="7"/>
      <c r="Q221" s="2"/>
      <c r="R221" s="6">
        <f t="shared" si="88"/>
        <v>0</v>
      </c>
      <c r="S221" s="2"/>
      <c r="T221" s="7">
        <v>1419.25</v>
      </c>
      <c r="U221" s="2"/>
      <c r="V221" s="6">
        <f t="shared" si="89"/>
        <v>4.3770409505095454E-4</v>
      </c>
      <c r="W221" s="2"/>
      <c r="X221" s="7">
        <f t="shared" si="90"/>
        <v>-1419.25</v>
      </c>
      <c r="Y221" s="2"/>
      <c r="Z221" s="6">
        <f t="shared" si="91"/>
        <v>-1</v>
      </c>
    </row>
    <row r="222" spans="1:26" s="28" customFormat="1" outlineLevel="1" collapsed="1" x14ac:dyDescent="0.25">
      <c r="A222" s="27"/>
      <c r="B222" s="14" t="str">
        <f>CONCATENATE("     ","Subscriptions &amp; Dues                              ")</f>
        <v xml:space="preserve">     Subscriptions &amp; Dues                              </v>
      </c>
      <c r="C222" s="14"/>
      <c r="D222" s="1">
        <f>SUM(OSRRefD22_20x_0)</f>
        <v>270</v>
      </c>
      <c r="E222" s="1"/>
      <c r="F222" s="5">
        <f t="shared" ref="F222:F224" si="92">IF(D$12=0,0,D222/D$12)</f>
        <v>1.6897038913461318E-4</v>
      </c>
      <c r="G222" s="1"/>
      <c r="H222" s="1">
        <f>SUM(OSRRefH22_20x_0)</f>
        <v>706.38</v>
      </c>
      <c r="I222" s="1"/>
      <c r="J222" s="5">
        <f t="shared" ref="J222:J224" si="93">IF(H$12=0,0,H222/H$12)</f>
        <v>2.4945227272410247E-4</v>
      </c>
      <c r="K222" s="1"/>
      <c r="L222" s="1">
        <f t="shared" ref="L222:L224" si="94">+D222-H222</f>
        <v>-436.38</v>
      </c>
      <c r="M222" s="1"/>
      <c r="N222" s="5">
        <f t="shared" ref="N222:N224" si="95">IF(H222=0,0,L222/H222)</f>
        <v>-0.61776947252187209</v>
      </c>
      <c r="O222" s="14"/>
      <c r="P222" s="1">
        <f>SUM(OSRRefP22_20x_0)</f>
        <v>635</v>
      </c>
      <c r="Q222" s="1"/>
      <c r="R222" s="5">
        <f t="shared" ref="R222:R224" si="96">IF(P$12=0,0,P222/P$12)</f>
        <v>3.4783459217319795E-4</v>
      </c>
      <c r="S222" s="1"/>
      <c r="T222" s="1">
        <f>SUM(OSRRefT22_20x_0)</f>
        <v>1345.03</v>
      </c>
      <c r="U222" s="1"/>
      <c r="V222" s="5">
        <f t="shared" ref="V222:V224" si="97">IF(T$12=0,0,T222/T$12)</f>
        <v>4.1481426032509097E-4</v>
      </c>
      <c r="W222" s="1"/>
      <c r="X222" s="1">
        <f t="shared" ref="X222:X224" si="98">+P222-T222</f>
        <v>-710.03</v>
      </c>
      <c r="Y222" s="1"/>
      <c r="Z222" s="5">
        <f t="shared" ref="Z222:Z224" si="99">IF(T222=0,0,X222/T222)</f>
        <v>-0.52789157119172059</v>
      </c>
    </row>
    <row r="223" spans="1:26" s="24" customFormat="1" hidden="1" outlineLevel="2" x14ac:dyDescent="0.25">
      <c r="A223" s="29"/>
      <c r="B223" s="11" t="str">
        <f>CONCATENATE("          ", "6258", " - ", "MEMBERSHIP DUES")</f>
        <v xml:space="preserve">          6258 - MEMBERSHIP DUES</v>
      </c>
      <c r="C223" s="11"/>
      <c r="D223" s="7">
        <v>270</v>
      </c>
      <c r="E223" s="2"/>
      <c r="F223" s="6">
        <f t="shared" si="92"/>
        <v>1.6897038913461318E-4</v>
      </c>
      <c r="G223" s="2"/>
      <c r="H223" s="7">
        <v>370</v>
      </c>
      <c r="I223" s="2"/>
      <c r="J223" s="6">
        <f t="shared" si="93"/>
        <v>1.306624492594891E-4</v>
      </c>
      <c r="K223" s="2"/>
      <c r="L223" s="7">
        <f t="shared" si="94"/>
        <v>-100</v>
      </c>
      <c r="M223" s="2"/>
      <c r="N223" s="6">
        <f t="shared" si="95"/>
        <v>-0.27027027027027029</v>
      </c>
      <c r="O223" s="11"/>
      <c r="P223" s="7">
        <v>560</v>
      </c>
      <c r="Q223" s="2"/>
      <c r="R223" s="6">
        <f t="shared" si="96"/>
        <v>3.0675176632596982E-4</v>
      </c>
      <c r="S223" s="2"/>
      <c r="T223" s="7">
        <v>658.85</v>
      </c>
      <c r="U223" s="2"/>
      <c r="V223" s="6">
        <f t="shared" si="97"/>
        <v>2.0319277296059285E-4</v>
      </c>
      <c r="W223" s="2"/>
      <c r="X223" s="7">
        <f t="shared" si="98"/>
        <v>-98.850000000000023</v>
      </c>
      <c r="Y223" s="2"/>
      <c r="Z223" s="6">
        <f t="shared" si="99"/>
        <v>-0.15003415041359949</v>
      </c>
    </row>
    <row r="224" spans="1:26" s="24" customFormat="1" hidden="1" outlineLevel="2" x14ac:dyDescent="0.25">
      <c r="A224" s="29"/>
      <c r="B224" s="11" t="str">
        <f>CONCATENATE("          ", "6275", " - ", "SUBSCRIPTIONS")</f>
        <v xml:space="preserve">          6275 - SUBSCRIPTIONS</v>
      </c>
      <c r="C224" s="11"/>
      <c r="D224" s="7"/>
      <c r="E224" s="2"/>
      <c r="F224" s="6">
        <f t="shared" si="92"/>
        <v>0</v>
      </c>
      <c r="G224" s="2"/>
      <c r="H224" s="7">
        <v>336.38</v>
      </c>
      <c r="I224" s="2"/>
      <c r="J224" s="6">
        <f t="shared" si="93"/>
        <v>1.1878982346461336E-4</v>
      </c>
      <c r="K224" s="2"/>
      <c r="L224" s="7">
        <f t="shared" si="94"/>
        <v>-336.38</v>
      </c>
      <c r="M224" s="2"/>
      <c r="N224" s="6">
        <f t="shared" si="95"/>
        <v>-1</v>
      </c>
      <c r="O224" s="11"/>
      <c r="P224" s="7">
        <v>75</v>
      </c>
      <c r="Q224" s="2"/>
      <c r="R224" s="6">
        <f t="shared" si="96"/>
        <v>4.1082825847228104E-5</v>
      </c>
      <c r="S224" s="2"/>
      <c r="T224" s="7">
        <v>686.18</v>
      </c>
      <c r="U224" s="2"/>
      <c r="V224" s="6">
        <f t="shared" si="97"/>
        <v>2.1162148736449812E-4</v>
      </c>
      <c r="W224" s="2"/>
      <c r="X224" s="7">
        <f t="shared" si="98"/>
        <v>-611.17999999999995</v>
      </c>
      <c r="Y224" s="2"/>
      <c r="Z224" s="6">
        <f t="shared" si="99"/>
        <v>-0.89069923343729052</v>
      </c>
    </row>
    <row r="225" spans="1:26" s="28" customFormat="1" outlineLevel="1" collapsed="1" x14ac:dyDescent="0.25">
      <c r="A225" s="27"/>
      <c r="B225" s="14" t="str">
        <f>CONCATENATE("     ","Supplies                                          ")</f>
        <v xml:space="preserve">     Supplies                                          </v>
      </c>
      <c r="C225" s="14"/>
      <c r="D225" s="1">
        <f>SUM(OSRRefD22_21x_0)</f>
        <v>8139.619999999999</v>
      </c>
      <c r="E225" s="1"/>
      <c r="F225" s="5">
        <f t="shared" ref="F225:F232" si="100">IF(D$12=0,0,D225/D$12)</f>
        <v>5.0939065141032587E-3</v>
      </c>
      <c r="G225" s="1"/>
      <c r="H225" s="1">
        <f>SUM(OSRRefH22_21x_0)</f>
        <v>15654.390000000003</v>
      </c>
      <c r="I225" s="1"/>
      <c r="J225" s="5">
        <f t="shared" ref="J225:J232" si="101">IF(H$12=0,0,H225/H$12)</f>
        <v>5.5282187542250102E-3</v>
      </c>
      <c r="K225" s="1"/>
      <c r="L225" s="1">
        <f t="shared" ref="L225:L232" si="102">+D225-H225</f>
        <v>-7514.7700000000041</v>
      </c>
      <c r="M225" s="1"/>
      <c r="N225" s="5">
        <f t="shared" ref="N225:N232" si="103">IF(H225=0,0,L225/H225)</f>
        <v>-0.48004233956097953</v>
      </c>
      <c r="O225" s="14"/>
      <c r="P225" s="1">
        <f>SUM(OSRRefP22_21x_0)</f>
        <v>19866.809999999998</v>
      </c>
      <c r="Q225" s="1"/>
      <c r="R225" s="5">
        <f t="shared" ref="R225:R232" si="104">IF(P$12=0,0,P225/P$12)</f>
        <v>1.0882462604932929E-2</v>
      </c>
      <c r="S225" s="1"/>
      <c r="T225" s="1">
        <f>SUM(OSRRefT22_21x_0)</f>
        <v>30002.07</v>
      </c>
      <c r="U225" s="1"/>
      <c r="V225" s="5">
        <f t="shared" ref="V225:V232" si="105">IF(T$12=0,0,T225/T$12)</f>
        <v>9.2527947148179617E-3</v>
      </c>
      <c r="W225" s="1"/>
      <c r="X225" s="1">
        <f t="shared" ref="X225:X232" si="106">+P225-T225</f>
        <v>-10135.260000000002</v>
      </c>
      <c r="Y225" s="1"/>
      <c r="Z225" s="5">
        <f t="shared" ref="Z225:Z232" si="107">IF(T225=0,0,X225/T225)</f>
        <v>-0.33781869051035485</v>
      </c>
    </row>
    <row r="226" spans="1:26" s="24" customFormat="1" hidden="1" outlineLevel="2" x14ac:dyDescent="0.25">
      <c r="A226" s="29"/>
      <c r="B226" s="11" t="str">
        <f>CONCATENATE("          ", "6234", " - ", "EXPENDABLE SUPPLIES &amp; EQUIPMEN")</f>
        <v xml:space="preserve">          6234 - EXPENDABLE SUPPLIES &amp; EQUIPMEN</v>
      </c>
      <c r="C226" s="11"/>
      <c r="D226" s="7"/>
      <c r="E226" s="2"/>
      <c r="F226" s="6">
        <f t="shared" si="100"/>
        <v>0</v>
      </c>
      <c r="G226" s="2"/>
      <c r="H226" s="7">
        <v>2078.2600000000002</v>
      </c>
      <c r="I226" s="2"/>
      <c r="J226" s="6">
        <f t="shared" si="101"/>
        <v>7.3392038323790766E-4</v>
      </c>
      <c r="K226" s="2"/>
      <c r="L226" s="7">
        <f t="shared" si="102"/>
        <v>-2078.2600000000002</v>
      </c>
      <c r="M226" s="2"/>
      <c r="N226" s="6">
        <f t="shared" si="103"/>
        <v>-1</v>
      </c>
      <c r="O226" s="11"/>
      <c r="P226" s="7"/>
      <c r="Q226" s="2"/>
      <c r="R226" s="6">
        <f t="shared" si="104"/>
        <v>0</v>
      </c>
      <c r="S226" s="2"/>
      <c r="T226" s="7">
        <v>2780.34</v>
      </c>
      <c r="U226" s="2"/>
      <c r="V226" s="6">
        <f t="shared" si="105"/>
        <v>8.5747134305722808E-4</v>
      </c>
      <c r="W226" s="2"/>
      <c r="X226" s="7">
        <f t="shared" si="106"/>
        <v>-2780.34</v>
      </c>
      <c r="Y226" s="2"/>
      <c r="Z226" s="6">
        <f t="shared" si="107"/>
        <v>-1</v>
      </c>
    </row>
    <row r="227" spans="1:26" s="24" customFormat="1" hidden="1" outlineLevel="2" x14ac:dyDescent="0.25">
      <c r="A227" s="29"/>
      <c r="B227" s="11" t="str">
        <f>CONCATENATE("          ", "6235", " - ", "COVID-19 EXPENSES")</f>
        <v xml:space="preserve">          6235 - COVID-19 EXPENSES</v>
      </c>
      <c r="C227" s="11"/>
      <c r="D227" s="7">
        <v>621.78</v>
      </c>
      <c r="E227" s="2"/>
      <c r="F227" s="6">
        <f t="shared" si="100"/>
        <v>3.8912003168933249E-4</v>
      </c>
      <c r="G227" s="2"/>
      <c r="H227" s="7"/>
      <c r="I227" s="2"/>
      <c r="J227" s="6">
        <f t="shared" si="101"/>
        <v>0</v>
      </c>
      <c r="K227" s="2"/>
      <c r="L227" s="7">
        <f t="shared" si="102"/>
        <v>621.78</v>
      </c>
      <c r="M227" s="2"/>
      <c r="N227" s="6">
        <f t="shared" si="103"/>
        <v>0</v>
      </c>
      <c r="O227" s="11"/>
      <c r="P227" s="7">
        <v>6841.16</v>
      </c>
      <c r="Q227" s="2"/>
      <c r="R227" s="6">
        <f t="shared" si="104"/>
        <v>3.7473891316403066E-3</v>
      </c>
      <c r="S227" s="2"/>
      <c r="T227" s="7"/>
      <c r="U227" s="2"/>
      <c r="V227" s="6">
        <f t="shared" si="105"/>
        <v>0</v>
      </c>
      <c r="W227" s="2"/>
      <c r="X227" s="7">
        <f t="shared" si="106"/>
        <v>6841.16</v>
      </c>
      <c r="Y227" s="2"/>
      <c r="Z227" s="6">
        <f t="shared" si="107"/>
        <v>0</v>
      </c>
    </row>
    <row r="228" spans="1:26" s="24" customFormat="1" hidden="1" outlineLevel="2" x14ac:dyDescent="0.25">
      <c r="A228" s="29"/>
      <c r="B228" s="11" t="str">
        <f>CONCATENATE("          ", "6237", " - ", "JANITORIAL SUPPLIES")</f>
        <v xml:space="preserve">          6237 - JANITORIAL SUPPLIES</v>
      </c>
      <c r="C228" s="11"/>
      <c r="D228" s="7"/>
      <c r="E228" s="2"/>
      <c r="F228" s="6">
        <f t="shared" si="100"/>
        <v>0</v>
      </c>
      <c r="G228" s="2"/>
      <c r="H228" s="7">
        <v>963.19</v>
      </c>
      <c r="I228" s="2"/>
      <c r="J228" s="6">
        <f t="shared" si="101"/>
        <v>3.4014260676283056E-4</v>
      </c>
      <c r="K228" s="2"/>
      <c r="L228" s="7">
        <f t="shared" si="102"/>
        <v>-963.19</v>
      </c>
      <c r="M228" s="2"/>
      <c r="N228" s="6">
        <f t="shared" si="103"/>
        <v>-1</v>
      </c>
      <c r="O228" s="11"/>
      <c r="P228" s="7">
        <v>139.31</v>
      </c>
      <c r="Q228" s="2"/>
      <c r="R228" s="6">
        <f t="shared" si="104"/>
        <v>7.6309979583697962E-5</v>
      </c>
      <c r="S228" s="2"/>
      <c r="T228" s="7">
        <v>1789.34</v>
      </c>
      <c r="U228" s="2"/>
      <c r="V228" s="6">
        <f t="shared" si="105"/>
        <v>5.518417794176325E-4</v>
      </c>
      <c r="W228" s="2"/>
      <c r="X228" s="7">
        <f t="shared" si="106"/>
        <v>-1650.03</v>
      </c>
      <c r="Y228" s="2"/>
      <c r="Z228" s="6">
        <f t="shared" si="107"/>
        <v>-0.92214447785216902</v>
      </c>
    </row>
    <row r="229" spans="1:26" s="24" customFormat="1" hidden="1" outlineLevel="2" x14ac:dyDescent="0.25">
      <c r="A229" s="29"/>
      <c r="B229" s="11" t="str">
        <f>CONCATENATE("          ", "6241", " - ", "OFFICE EXPENSE")</f>
        <v xml:space="preserve">          6241 - OFFICE EXPENSE</v>
      </c>
      <c r="C229" s="11"/>
      <c r="D229" s="7">
        <v>2334.83</v>
      </c>
      <c r="E229" s="2"/>
      <c r="F229" s="6">
        <f t="shared" si="100"/>
        <v>1.4611745691228476E-3</v>
      </c>
      <c r="G229" s="2"/>
      <c r="H229" s="7">
        <v>5076.67</v>
      </c>
      <c r="I229" s="2"/>
      <c r="J229" s="6">
        <f t="shared" si="101"/>
        <v>1.7927841521139744E-3</v>
      </c>
      <c r="K229" s="2"/>
      <c r="L229" s="7">
        <f t="shared" si="102"/>
        <v>-2741.84</v>
      </c>
      <c r="M229" s="2"/>
      <c r="N229" s="6">
        <f t="shared" si="103"/>
        <v>-0.5400863164239551</v>
      </c>
      <c r="O229" s="11"/>
      <c r="P229" s="7">
        <v>2765.24</v>
      </c>
      <c r="Q229" s="2"/>
      <c r="R229" s="6">
        <f t="shared" si="104"/>
        <v>1.5147183112771872E-3</v>
      </c>
      <c r="S229" s="2"/>
      <c r="T229" s="7">
        <v>7748.08</v>
      </c>
      <c r="U229" s="2"/>
      <c r="V229" s="6">
        <f t="shared" si="105"/>
        <v>2.3895482436374141E-3</v>
      </c>
      <c r="W229" s="2"/>
      <c r="X229" s="7">
        <f t="shared" si="106"/>
        <v>-4982.84</v>
      </c>
      <c r="Y229" s="2"/>
      <c r="Z229" s="6">
        <f t="shared" si="107"/>
        <v>-0.64310642120370465</v>
      </c>
    </row>
    <row r="230" spans="1:26" s="24" customFormat="1" hidden="1" outlineLevel="2" x14ac:dyDescent="0.25">
      <c r="A230" s="29"/>
      <c r="B230" s="11" t="str">
        <f>CONCATENATE("          ", "6243", " - ", "PAPER SUPPLIES")</f>
        <v xml:space="preserve">          6243 - PAPER SUPPLIES</v>
      </c>
      <c r="C230" s="11"/>
      <c r="D230" s="7">
        <v>2044.69</v>
      </c>
      <c r="E230" s="2"/>
      <c r="F230" s="6">
        <f t="shared" si="100"/>
        <v>1.2796002405913046E-3</v>
      </c>
      <c r="G230" s="2"/>
      <c r="H230" s="7">
        <v>2098.62</v>
      </c>
      <c r="I230" s="2"/>
      <c r="J230" s="6">
        <f t="shared" si="101"/>
        <v>7.4111034936472705E-4</v>
      </c>
      <c r="K230" s="2"/>
      <c r="L230" s="7">
        <f t="shared" si="102"/>
        <v>-53.929999999999836</v>
      </c>
      <c r="M230" s="2"/>
      <c r="N230" s="6">
        <f t="shared" si="103"/>
        <v>-2.5697839532645185E-2</v>
      </c>
      <c r="O230" s="11"/>
      <c r="P230" s="7">
        <v>3124.69</v>
      </c>
      <c r="Q230" s="2"/>
      <c r="R230" s="6">
        <f t="shared" si="104"/>
        <v>1.7116146012876692E-3</v>
      </c>
      <c r="S230" s="2"/>
      <c r="T230" s="7">
        <v>3259.96</v>
      </c>
      <c r="U230" s="2"/>
      <c r="V230" s="6">
        <f t="shared" si="105"/>
        <v>1.0053886501337395E-3</v>
      </c>
      <c r="W230" s="2"/>
      <c r="X230" s="7">
        <f t="shared" si="106"/>
        <v>-135.26999999999998</v>
      </c>
      <c r="Y230" s="2"/>
      <c r="Z230" s="6">
        <f t="shared" si="107"/>
        <v>-4.1494374164100165E-2</v>
      </c>
    </row>
    <row r="231" spans="1:26" s="24" customFormat="1" hidden="1" outlineLevel="2" x14ac:dyDescent="0.25">
      <c r="A231" s="29"/>
      <c r="B231" s="11" t="str">
        <f>CONCATENATE("          ", "6245", " - ", "PRINTING")</f>
        <v xml:space="preserve">          6245 - PRINTING</v>
      </c>
      <c r="C231" s="11"/>
      <c r="D231" s="7">
        <v>1248</v>
      </c>
      <c r="E231" s="2"/>
      <c r="F231" s="6">
        <f t="shared" si="100"/>
        <v>7.8101868755554534E-4</v>
      </c>
      <c r="G231" s="2"/>
      <c r="H231" s="7">
        <v>4985.1099999999997</v>
      </c>
      <c r="I231" s="2"/>
      <c r="J231" s="6">
        <f t="shared" si="101"/>
        <v>1.760450493048572E-3</v>
      </c>
      <c r="K231" s="2"/>
      <c r="L231" s="7">
        <f t="shared" si="102"/>
        <v>-3737.1099999999997</v>
      </c>
      <c r="M231" s="2"/>
      <c r="N231" s="6">
        <f t="shared" si="103"/>
        <v>-0.74965447101468174</v>
      </c>
      <c r="O231" s="11"/>
      <c r="P231" s="7">
        <v>-295.5</v>
      </c>
      <c r="Q231" s="2"/>
      <c r="R231" s="6">
        <f t="shared" si="104"/>
        <v>-1.6186633383807872E-4</v>
      </c>
      <c r="S231" s="2"/>
      <c r="T231" s="7">
        <v>4985.1099999999997</v>
      </c>
      <c r="U231" s="2"/>
      <c r="V231" s="6">
        <f t="shared" si="105"/>
        <v>1.5374338990871684E-3</v>
      </c>
      <c r="W231" s="2"/>
      <c r="X231" s="7">
        <f t="shared" si="106"/>
        <v>-5280.61</v>
      </c>
      <c r="Y231" s="2"/>
      <c r="Z231" s="6">
        <f t="shared" si="107"/>
        <v>-1.059276525492918</v>
      </c>
    </row>
    <row r="232" spans="1:26" s="24" customFormat="1" hidden="1" outlineLevel="2" x14ac:dyDescent="0.25">
      <c r="A232" s="29"/>
      <c r="B232" s="11" t="str">
        <f>CONCATENATE("          ", "6247", " - ", "STORE SUPPLIES")</f>
        <v xml:space="preserve">          6247 - STORE SUPPLIES</v>
      </c>
      <c r="C232" s="11"/>
      <c r="D232" s="7">
        <v>1890.32</v>
      </c>
      <c r="E232" s="2"/>
      <c r="F232" s="6">
        <f t="shared" si="100"/>
        <v>1.1829929851442295E-3</v>
      </c>
      <c r="G232" s="2"/>
      <c r="H232" s="7">
        <v>452.54</v>
      </c>
      <c r="I232" s="2"/>
      <c r="J232" s="6">
        <f t="shared" si="101"/>
        <v>1.5981076969699785E-4</v>
      </c>
      <c r="K232" s="2"/>
      <c r="L232" s="7">
        <f t="shared" si="102"/>
        <v>1437.78</v>
      </c>
      <c r="M232" s="2"/>
      <c r="N232" s="6">
        <f t="shared" si="103"/>
        <v>3.1771335130596188</v>
      </c>
      <c r="O232" s="11"/>
      <c r="P232" s="7">
        <v>7291.91</v>
      </c>
      <c r="Q232" s="2"/>
      <c r="R232" s="6">
        <f t="shared" si="104"/>
        <v>3.9942969149821478E-3</v>
      </c>
      <c r="S232" s="2"/>
      <c r="T232" s="7">
        <v>9439.24</v>
      </c>
      <c r="U232" s="2"/>
      <c r="V232" s="6">
        <f t="shared" si="105"/>
        <v>2.9111107994847785E-3</v>
      </c>
      <c r="W232" s="2"/>
      <c r="X232" s="7">
        <f t="shared" si="106"/>
        <v>-2147.33</v>
      </c>
      <c r="Y232" s="2"/>
      <c r="Z232" s="6">
        <f t="shared" si="107"/>
        <v>-0.22748971315487262</v>
      </c>
    </row>
    <row r="233" spans="1:26" s="28" customFormat="1" outlineLevel="1" collapsed="1" x14ac:dyDescent="0.25">
      <c r="A233" s="27"/>
      <c r="B233" s="14" t="str">
        <f>CONCATENATE("     ","Telephone/Data Lines                              ")</f>
        <v xml:space="preserve">     Telephone/Data Lines                              </v>
      </c>
      <c r="C233" s="14"/>
      <c r="D233" s="1">
        <f>SUM(OSRRefD22_22x_0)</f>
        <v>2485.56</v>
      </c>
      <c r="E233" s="1"/>
      <c r="F233" s="5">
        <f t="shared" ref="F233:F235" si="108">IF(D$12=0,0,D233/D$12)</f>
        <v>1.5555038533978855E-3</v>
      </c>
      <c r="G233" s="1"/>
      <c r="H233" s="1">
        <f>SUM(OSRRefH22_22x_0)</f>
        <v>2972.86</v>
      </c>
      <c r="I233" s="1"/>
      <c r="J233" s="5">
        <f t="shared" ref="J233:J235" si="109">IF(H$12=0,0,H233/H$12)</f>
        <v>1.049840997042067E-3</v>
      </c>
      <c r="K233" s="1"/>
      <c r="L233" s="1">
        <f t="shared" ref="L233:L235" si="110">+D233-H233</f>
        <v>-487.30000000000018</v>
      </c>
      <c r="M233" s="1"/>
      <c r="N233" s="5">
        <f t="shared" ref="N233:N235" si="111">IF(H233=0,0,L233/H233)</f>
        <v>-0.1639162288166951</v>
      </c>
      <c r="O233" s="14"/>
      <c r="P233" s="1">
        <f>SUM(OSRRefP22_22x_0)</f>
        <v>5247.62</v>
      </c>
      <c r="Q233" s="1"/>
      <c r="R233" s="5">
        <f t="shared" ref="R233:R235" si="112">IF(P$12=0,0,P233/P$12)</f>
        <v>2.8744941142990819E-3</v>
      </c>
      <c r="S233" s="1"/>
      <c r="T233" s="1">
        <f>SUM(OSRRefT22_22x_0)</f>
        <v>4998.9399999999996</v>
      </c>
      <c r="U233" s="1"/>
      <c r="V233" s="5">
        <f t="shared" ref="V233:V235" si="113">IF(T$12=0,0,T233/T$12)</f>
        <v>1.5416991431488592E-3</v>
      </c>
      <c r="W233" s="1"/>
      <c r="X233" s="1">
        <f t="shared" ref="X233:X235" si="114">+P233-T233</f>
        <v>248.68000000000029</v>
      </c>
      <c r="Y233" s="1"/>
      <c r="Z233" s="5">
        <f t="shared" ref="Z233:Z235" si="115">IF(T233=0,0,X233/T233)</f>
        <v>4.974654626780884E-2</v>
      </c>
    </row>
    <row r="234" spans="1:26" s="24" customFormat="1" hidden="1" outlineLevel="2" x14ac:dyDescent="0.25">
      <c r="A234" s="29"/>
      <c r="B234" s="11" t="str">
        <f>CONCATENATE("          ", "6303", " - ", "DATA PHONE LINES")</f>
        <v xml:space="preserve">          6303 - DATA PHONE LINES</v>
      </c>
      <c r="C234" s="11"/>
      <c r="D234" s="7"/>
      <c r="E234" s="2"/>
      <c r="F234" s="6">
        <f t="shared" si="108"/>
        <v>0</v>
      </c>
      <c r="G234" s="2"/>
      <c r="H234" s="7">
        <v>295</v>
      </c>
      <c r="I234" s="2"/>
      <c r="J234" s="6">
        <f t="shared" si="109"/>
        <v>1.041768176528359E-4</v>
      </c>
      <c r="K234" s="2"/>
      <c r="L234" s="7">
        <f t="shared" si="110"/>
        <v>-295</v>
      </c>
      <c r="M234" s="2"/>
      <c r="N234" s="6">
        <f t="shared" si="111"/>
        <v>-1</v>
      </c>
      <c r="O234" s="11"/>
      <c r="P234" s="7">
        <v>295</v>
      </c>
      <c r="Q234" s="2"/>
      <c r="R234" s="6">
        <f t="shared" si="112"/>
        <v>1.6159244833243054E-4</v>
      </c>
      <c r="S234" s="2"/>
      <c r="T234" s="7">
        <v>590</v>
      </c>
      <c r="U234" s="2"/>
      <c r="V234" s="6">
        <f t="shared" si="113"/>
        <v>1.8195907421529904E-4</v>
      </c>
      <c r="W234" s="2"/>
      <c r="X234" s="7">
        <f t="shared" si="114"/>
        <v>-295</v>
      </c>
      <c r="Y234" s="2"/>
      <c r="Z234" s="6">
        <f t="shared" si="115"/>
        <v>-0.5</v>
      </c>
    </row>
    <row r="235" spans="1:26" s="24" customFormat="1" hidden="1" outlineLevel="2" x14ac:dyDescent="0.25">
      <c r="A235" s="29"/>
      <c r="B235" s="11" t="str">
        <f>CONCATENATE("          ", "6309", " - ", "TELEPHONE")</f>
        <v xml:space="preserve">          6309 - TELEPHONE</v>
      </c>
      <c r="C235" s="11"/>
      <c r="D235" s="7">
        <v>2485.56</v>
      </c>
      <c r="E235" s="2"/>
      <c r="F235" s="6">
        <f t="shared" si="108"/>
        <v>1.5555038533978855E-3</v>
      </c>
      <c r="G235" s="2"/>
      <c r="H235" s="7">
        <v>2677.86</v>
      </c>
      <c r="I235" s="2"/>
      <c r="J235" s="6">
        <f t="shared" si="109"/>
        <v>9.4566417938923104E-4</v>
      </c>
      <c r="K235" s="2"/>
      <c r="L235" s="7">
        <f t="shared" si="110"/>
        <v>-192.30000000000018</v>
      </c>
      <c r="M235" s="2"/>
      <c r="N235" s="6">
        <f t="shared" si="111"/>
        <v>-7.1811073020994445E-2</v>
      </c>
      <c r="O235" s="11"/>
      <c r="P235" s="7">
        <v>4952.62</v>
      </c>
      <c r="Q235" s="2"/>
      <c r="R235" s="6">
        <f t="shared" si="112"/>
        <v>2.7129016659666514E-3</v>
      </c>
      <c r="S235" s="2"/>
      <c r="T235" s="7">
        <v>4408.9399999999996</v>
      </c>
      <c r="U235" s="2"/>
      <c r="V235" s="6">
        <f t="shared" si="113"/>
        <v>1.3597400689335602E-3</v>
      </c>
      <c r="W235" s="2"/>
      <c r="X235" s="7">
        <f t="shared" si="114"/>
        <v>543.68000000000029</v>
      </c>
      <c r="Y235" s="2"/>
      <c r="Z235" s="6">
        <f t="shared" si="115"/>
        <v>0.1233130865922422</v>
      </c>
    </row>
    <row r="236" spans="1:26" s="28" customFormat="1" outlineLevel="1" collapsed="1" x14ac:dyDescent="0.25">
      <c r="A236" s="27"/>
      <c r="B236" s="14" t="str">
        <f>CONCATENATE("     ","Training                                          ")</f>
        <v xml:space="preserve">     Training                                          </v>
      </c>
      <c r="C236" s="14"/>
      <c r="D236" s="1">
        <f>SUM(OSRRefD22_23x_0)</f>
        <v>0</v>
      </c>
      <c r="E236" s="1"/>
      <c r="F236" s="5">
        <f t="shared" ref="F236:F241" si="116">IF(D$12=0,0,D236/D$12)</f>
        <v>0</v>
      </c>
      <c r="G236" s="1"/>
      <c r="H236" s="1">
        <f>SUM(OSRRefH22_23x_0)</f>
        <v>6530.86</v>
      </c>
      <c r="I236" s="1"/>
      <c r="J236" s="5">
        <f t="shared" ref="J236:J241" si="117">IF(H$12=0,0,H236/H$12)</f>
        <v>2.3063193604616942E-3</v>
      </c>
      <c r="K236" s="1"/>
      <c r="L236" s="1">
        <f t="shared" ref="L236:L241" si="118">+D236-H236</f>
        <v>-6530.86</v>
      </c>
      <c r="M236" s="1"/>
      <c r="N236" s="5">
        <f t="shared" ref="N236:N241" si="119">IF(H236=0,0,L236/H236)</f>
        <v>-1</v>
      </c>
      <c r="O236" s="14"/>
      <c r="P236" s="1">
        <f>SUM(OSRRefP22_23x_0)</f>
        <v>131.63</v>
      </c>
      <c r="Q236" s="1"/>
      <c r="R236" s="5">
        <f t="shared" ref="R236:R241" si="120">IF(P$12=0,0,P236/P$12)</f>
        <v>7.2103098216941806E-5</v>
      </c>
      <c r="S236" s="1"/>
      <c r="T236" s="1">
        <f>SUM(OSRRefT22_23x_0)</f>
        <v>7322.53</v>
      </c>
      <c r="U236" s="1"/>
      <c r="V236" s="5">
        <f t="shared" ref="V236:V241" si="121">IF(T$12=0,0,T236/T$12)</f>
        <v>2.2583064062944979E-3</v>
      </c>
      <c r="W236" s="1"/>
      <c r="X236" s="1">
        <f t="shared" ref="X236:X241" si="122">+P236-T236</f>
        <v>-7190.9</v>
      </c>
      <c r="Y236" s="1"/>
      <c r="Z236" s="5">
        <f t="shared" ref="Z236:Z241" si="123">IF(T236=0,0,X236/T236)</f>
        <v>-0.9820239725887091</v>
      </c>
    </row>
    <row r="237" spans="1:26" s="24" customFormat="1" hidden="1" outlineLevel="2" x14ac:dyDescent="0.25">
      <c r="A237" s="29"/>
      <c r="B237" s="11" t="str">
        <f>CONCATENATE("          ", "6376", " - ", "TRAINING")</f>
        <v xml:space="preserve">          6376 - TRAINING</v>
      </c>
      <c r="C237" s="11"/>
      <c r="D237" s="7"/>
      <c r="E237" s="2"/>
      <c r="F237" s="6">
        <f t="shared" si="116"/>
        <v>0</v>
      </c>
      <c r="G237" s="2"/>
      <c r="H237" s="7">
        <v>6530.86</v>
      </c>
      <c r="I237" s="2"/>
      <c r="J237" s="6">
        <f t="shared" si="117"/>
        <v>2.3063193604616942E-3</v>
      </c>
      <c r="K237" s="2"/>
      <c r="L237" s="7">
        <f t="shared" si="118"/>
        <v>-6530.86</v>
      </c>
      <c r="M237" s="2"/>
      <c r="N237" s="6">
        <f t="shared" si="119"/>
        <v>-1</v>
      </c>
      <c r="O237" s="11"/>
      <c r="P237" s="7">
        <v>131.63</v>
      </c>
      <c r="Q237" s="2"/>
      <c r="R237" s="6">
        <f t="shared" si="120"/>
        <v>7.2103098216941806E-5</v>
      </c>
      <c r="S237" s="2"/>
      <c r="T237" s="7">
        <v>7322.53</v>
      </c>
      <c r="U237" s="2"/>
      <c r="V237" s="6">
        <f t="shared" si="121"/>
        <v>2.2583064062944979E-3</v>
      </c>
      <c r="W237" s="2"/>
      <c r="X237" s="7">
        <f t="shared" si="122"/>
        <v>-7190.9</v>
      </c>
      <c r="Y237" s="2"/>
      <c r="Z237" s="6">
        <f t="shared" si="123"/>
        <v>-0.9820239725887091</v>
      </c>
    </row>
    <row r="238" spans="1:26" s="28" customFormat="1" outlineLevel="1" collapsed="1" x14ac:dyDescent="0.25">
      <c r="A238" s="27"/>
      <c r="B238" s="14" t="str">
        <f>CONCATENATE("     ","Travel                                            ")</f>
        <v xml:space="preserve">     Travel                                            </v>
      </c>
      <c r="C238" s="14"/>
      <c r="D238" s="1">
        <f>SUM(OSRRefD22_24x_0)</f>
        <v>25.76</v>
      </c>
      <c r="E238" s="1"/>
      <c r="F238" s="5">
        <f t="shared" si="116"/>
        <v>1.6121026755954206E-5</v>
      </c>
      <c r="G238" s="1"/>
      <c r="H238" s="1">
        <f>SUM(OSRRefH22_24x_0)</f>
        <v>184.35</v>
      </c>
      <c r="I238" s="1"/>
      <c r="J238" s="5">
        <f t="shared" si="117"/>
        <v>6.5101682489153556E-5</v>
      </c>
      <c r="K238" s="1"/>
      <c r="L238" s="1">
        <f t="shared" si="118"/>
        <v>-158.59</v>
      </c>
      <c r="M238" s="1"/>
      <c r="N238" s="5">
        <f t="shared" si="119"/>
        <v>-0.8602657987523733</v>
      </c>
      <c r="O238" s="14"/>
      <c r="P238" s="1">
        <f>SUM(OSRRefP22_24x_0)</f>
        <v>300.96999999999997</v>
      </c>
      <c r="Q238" s="1"/>
      <c r="R238" s="5">
        <f t="shared" si="120"/>
        <v>1.6486264126986988E-4</v>
      </c>
      <c r="S238" s="1"/>
      <c r="T238" s="1">
        <f>SUM(OSRRefT22_24x_0)</f>
        <v>406.03</v>
      </c>
      <c r="U238" s="1"/>
      <c r="V238" s="5">
        <f t="shared" si="121"/>
        <v>1.2522176763328451E-4</v>
      </c>
      <c r="W238" s="1"/>
      <c r="X238" s="1">
        <f t="shared" si="122"/>
        <v>-105.06</v>
      </c>
      <c r="Y238" s="1"/>
      <c r="Z238" s="5">
        <f t="shared" si="123"/>
        <v>-0.25874935349604711</v>
      </c>
    </row>
    <row r="239" spans="1:26" s="24" customFormat="1" hidden="1" outlineLevel="2" x14ac:dyDescent="0.25">
      <c r="A239" s="29"/>
      <c r="B239" s="11" t="str">
        <f>CONCATENATE("          ", "6292", " - ", "TRAVEL/CONFERENCE")</f>
        <v xml:space="preserve">          6292 - TRAVEL/CONFERENCE</v>
      </c>
      <c r="C239" s="11"/>
      <c r="D239" s="7"/>
      <c r="E239" s="2"/>
      <c r="F239" s="6">
        <f t="shared" si="116"/>
        <v>0</v>
      </c>
      <c r="G239" s="2"/>
      <c r="H239" s="7">
        <v>100.16</v>
      </c>
      <c r="I239" s="2"/>
      <c r="J239" s="6">
        <f t="shared" si="117"/>
        <v>3.5370678156298453E-5</v>
      </c>
      <c r="K239" s="2"/>
      <c r="L239" s="7">
        <f t="shared" si="118"/>
        <v>-100.16</v>
      </c>
      <c r="M239" s="2"/>
      <c r="N239" s="6">
        <f t="shared" si="119"/>
        <v>-1</v>
      </c>
      <c r="O239" s="11"/>
      <c r="P239" s="7">
        <v>0.16</v>
      </c>
      <c r="Q239" s="2"/>
      <c r="R239" s="6">
        <f t="shared" si="120"/>
        <v>8.7643361807419955E-8</v>
      </c>
      <c r="S239" s="2"/>
      <c r="T239" s="7">
        <v>250.64</v>
      </c>
      <c r="U239" s="2"/>
      <c r="V239" s="6">
        <f t="shared" si="121"/>
        <v>7.7298681968343306E-5</v>
      </c>
      <c r="W239" s="2"/>
      <c r="X239" s="7">
        <f t="shared" si="122"/>
        <v>-250.48</v>
      </c>
      <c r="Y239" s="2"/>
      <c r="Z239" s="6">
        <f t="shared" si="123"/>
        <v>-0.999361634216406</v>
      </c>
    </row>
    <row r="240" spans="1:26" s="24" customFormat="1" hidden="1" outlineLevel="2" x14ac:dyDescent="0.25">
      <c r="A240" s="29"/>
      <c r="B240" s="11" t="str">
        <f>CONCATENATE("          ", "6294", " - ", "TRAVEL OPERATIONAL")</f>
        <v xml:space="preserve">          6294 - TRAVEL OPERATIONAL</v>
      </c>
      <c r="C240" s="11"/>
      <c r="D240" s="7">
        <v>25.76</v>
      </c>
      <c r="E240" s="2"/>
      <c r="F240" s="6">
        <f t="shared" si="116"/>
        <v>1.6121026755954206E-5</v>
      </c>
      <c r="G240" s="2"/>
      <c r="H240" s="7">
        <v>68.67</v>
      </c>
      <c r="I240" s="2"/>
      <c r="J240" s="6">
        <f t="shared" si="117"/>
        <v>2.4250244299051668E-5</v>
      </c>
      <c r="K240" s="2"/>
      <c r="L240" s="7">
        <f t="shared" si="118"/>
        <v>-42.91</v>
      </c>
      <c r="M240" s="2"/>
      <c r="N240" s="6">
        <f t="shared" si="119"/>
        <v>-0.62487257900101933</v>
      </c>
      <c r="O240" s="11"/>
      <c r="P240" s="7">
        <v>240.92</v>
      </c>
      <c r="Q240" s="2"/>
      <c r="R240" s="6">
        <f t="shared" si="120"/>
        <v>1.319689920415226E-4</v>
      </c>
      <c r="S240" s="2"/>
      <c r="T240" s="7">
        <v>68.67</v>
      </c>
      <c r="U240" s="2"/>
      <c r="V240" s="6">
        <f t="shared" si="121"/>
        <v>2.1178185807397601E-5</v>
      </c>
      <c r="W240" s="2"/>
      <c r="X240" s="7">
        <f t="shared" si="122"/>
        <v>172.25</v>
      </c>
      <c r="Y240" s="2"/>
      <c r="Z240" s="6">
        <f t="shared" si="123"/>
        <v>2.5083733799330128</v>
      </c>
    </row>
    <row r="241" spans="1:26" s="24" customFormat="1" hidden="1" outlineLevel="2" x14ac:dyDescent="0.25">
      <c r="A241" s="29"/>
      <c r="B241" s="11" t="str">
        <f>CONCATENATE("          ", "6298", " - ", "VEHICLE MILEAGE")</f>
        <v xml:space="preserve">          6298 - VEHICLE MILEAGE</v>
      </c>
      <c r="C241" s="11"/>
      <c r="D241" s="7"/>
      <c r="E241" s="2"/>
      <c r="F241" s="6">
        <f t="shared" si="116"/>
        <v>0</v>
      </c>
      <c r="G241" s="2"/>
      <c r="H241" s="7">
        <v>15.52</v>
      </c>
      <c r="I241" s="2"/>
      <c r="J241" s="6">
        <f t="shared" si="117"/>
        <v>5.4807600338034348E-6</v>
      </c>
      <c r="K241" s="2"/>
      <c r="L241" s="7">
        <f t="shared" si="118"/>
        <v>-15.52</v>
      </c>
      <c r="M241" s="2"/>
      <c r="N241" s="6">
        <f t="shared" si="119"/>
        <v>-1</v>
      </c>
      <c r="O241" s="11"/>
      <c r="P241" s="7">
        <v>59.89</v>
      </c>
      <c r="Q241" s="2"/>
      <c r="R241" s="6">
        <f t="shared" si="120"/>
        <v>3.2806005866539883E-5</v>
      </c>
      <c r="S241" s="2"/>
      <c r="T241" s="7">
        <v>86.72</v>
      </c>
      <c r="U241" s="2"/>
      <c r="V241" s="6">
        <f t="shared" si="121"/>
        <v>2.6744899857543616E-5</v>
      </c>
      <c r="W241" s="2"/>
      <c r="X241" s="7">
        <f t="shared" si="122"/>
        <v>-26.83</v>
      </c>
      <c r="Y241" s="2"/>
      <c r="Z241" s="6">
        <f t="shared" si="123"/>
        <v>-0.30938653136531363</v>
      </c>
    </row>
    <row r="242" spans="1:26" s="28" customFormat="1" outlineLevel="1" collapsed="1" x14ac:dyDescent="0.25">
      <c r="A242" s="27"/>
      <c r="B242" s="14" t="str">
        <f>CONCATENATE("     ","Utilities                                         ")</f>
        <v xml:space="preserve">     Utilities                                         </v>
      </c>
      <c r="C242" s="14"/>
      <c r="D242" s="1">
        <f>SUM(OSRRefD22_25x_0)</f>
        <v>6209.91</v>
      </c>
      <c r="E242" s="1"/>
      <c r="F242" s="5">
        <f t="shared" ref="F242:F243" si="124">IF(D$12=0,0,D242/D$12)</f>
        <v>3.8862626266330581E-3</v>
      </c>
      <c r="G242" s="1"/>
      <c r="H242" s="1">
        <f>SUM(OSRRefH22_25x_0)</f>
        <v>-849.1</v>
      </c>
      <c r="I242" s="1"/>
      <c r="J242" s="5">
        <f t="shared" ref="J242:J243" si="125">IF(H$12=0,0,H242/H$12)</f>
        <v>-2.9985266396278973E-4</v>
      </c>
      <c r="K242" s="1"/>
      <c r="L242" s="1">
        <f t="shared" ref="L242:L243" si="126">+D242-H242</f>
        <v>7059.01</v>
      </c>
      <c r="M242" s="1"/>
      <c r="N242" s="5">
        <f t="shared" ref="N242:N243" si="127">IF(H242=0,0,L242/H242)</f>
        <v>-8.3135201978565547</v>
      </c>
      <c r="O242" s="14"/>
      <c r="P242" s="1">
        <f>SUM(OSRRefP22_25x_0)</f>
        <v>12421.37</v>
      </c>
      <c r="Q242" s="1"/>
      <c r="R242" s="5">
        <f t="shared" ref="R242:R243" si="128">IF(P$12=0,0,P242/P$12)</f>
        <v>6.8040664065864504E-3</v>
      </c>
      <c r="S242" s="1"/>
      <c r="T242" s="1">
        <f>SUM(OSRRefT22_25x_0)</f>
        <v>5745.9</v>
      </c>
      <c r="U242" s="1"/>
      <c r="V242" s="5">
        <f t="shared" ref="V242:V243" si="129">IF(T$12=0,0,T242/T$12)</f>
        <v>1.7720654992096384E-3</v>
      </c>
      <c r="W242" s="1"/>
      <c r="X242" s="1">
        <f t="shared" ref="X242:X243" si="130">+P242-T242</f>
        <v>6675.4700000000012</v>
      </c>
      <c r="Y242" s="1"/>
      <c r="Z242" s="5">
        <f t="shared" ref="Z242:Z243" si="131">IF(T242=0,0,X242/T242)</f>
        <v>1.1617797037887887</v>
      </c>
    </row>
    <row r="243" spans="1:26" s="24" customFormat="1" hidden="1" outlineLevel="2" x14ac:dyDescent="0.25">
      <c r="A243" s="29"/>
      <c r="B243" s="11" t="str">
        <f>CONCATENATE("          ", "6274", " - ", "UTILITIES")</f>
        <v xml:space="preserve">          6274 - UTILITIES</v>
      </c>
      <c r="C243" s="11"/>
      <c r="D243" s="7">
        <v>6209.91</v>
      </c>
      <c r="E243" s="2"/>
      <c r="F243" s="6">
        <f t="shared" si="124"/>
        <v>3.8862626266330581E-3</v>
      </c>
      <c r="G243" s="2"/>
      <c r="H243" s="7">
        <v>-849.1</v>
      </c>
      <c r="I243" s="2"/>
      <c r="J243" s="6">
        <f t="shared" si="125"/>
        <v>-2.9985266396278973E-4</v>
      </c>
      <c r="K243" s="2"/>
      <c r="L243" s="7">
        <f t="shared" si="126"/>
        <v>7059.01</v>
      </c>
      <c r="M243" s="2"/>
      <c r="N243" s="6">
        <f t="shared" si="127"/>
        <v>-8.3135201978565547</v>
      </c>
      <c r="O243" s="11"/>
      <c r="P243" s="7">
        <v>12421.37</v>
      </c>
      <c r="Q243" s="2"/>
      <c r="R243" s="6">
        <f t="shared" si="128"/>
        <v>6.8040664065864504E-3</v>
      </c>
      <c r="S243" s="2"/>
      <c r="T243" s="7">
        <v>5745.9</v>
      </c>
      <c r="U243" s="2"/>
      <c r="V243" s="6">
        <f t="shared" si="129"/>
        <v>1.7720654992096384E-3</v>
      </c>
      <c r="W243" s="2"/>
      <c r="X243" s="7">
        <f t="shared" si="130"/>
        <v>6675.4700000000012</v>
      </c>
      <c r="Y243" s="2"/>
      <c r="Z243" s="6">
        <f t="shared" si="131"/>
        <v>1.1617797037887887</v>
      </c>
    </row>
    <row r="244" spans="1:26" s="52" customFormat="1" x14ac:dyDescent="0.25">
      <c r="A244" s="37"/>
      <c r="B244" s="37"/>
      <c r="C244" s="37"/>
      <c r="D244" s="1"/>
      <c r="E244" s="1"/>
      <c r="F244" s="5"/>
      <c r="G244" s="1"/>
      <c r="H244" s="1"/>
      <c r="I244" s="1"/>
      <c r="J244" s="5"/>
      <c r="K244" s="1"/>
      <c r="L244" s="1"/>
      <c r="M244" s="1"/>
      <c r="N244" s="5"/>
      <c r="O244" s="37"/>
      <c r="P244" s="1"/>
      <c r="Q244" s="1"/>
      <c r="R244" s="5"/>
      <c r="S244" s="1"/>
      <c r="T244" s="1"/>
      <c r="U244" s="1"/>
      <c r="V244" s="5"/>
      <c r="W244" s="1"/>
      <c r="X244" s="1"/>
      <c r="Y244" s="1"/>
      <c r="Z244" s="5"/>
    </row>
    <row r="245" spans="1:26" s="23" customFormat="1" collapsed="1" x14ac:dyDescent="0.25">
      <c r="A245" s="10"/>
      <c r="B245" s="25" t="s">
        <v>0</v>
      </c>
      <c r="C245" s="10"/>
      <c r="D245" s="4">
        <f>SUM(OSRRefD25x_0)</f>
        <v>56868.1</v>
      </c>
      <c r="E245" s="4"/>
      <c r="F245" s="12">
        <f t="shared" ref="F245:F253" si="132">IF(D$12=0,0,D245/D$12)</f>
        <v>3.5588981430911465E-2</v>
      </c>
      <c r="G245" s="4"/>
      <c r="H245" s="4">
        <f>SUM(OSRRefH25x_0)</f>
        <v>50335.740000000005</v>
      </c>
      <c r="I245" s="4"/>
      <c r="J245" s="12">
        <f t="shared" ref="J245:J253" si="133">IF(H$12=0,0,H245/H$12)</f>
        <v>1.777565155051037E-2</v>
      </c>
      <c r="K245" s="4"/>
      <c r="L245" s="4">
        <f t="shared" ref="L245:L253" si="134">+D245-H245</f>
        <v>6532.3599999999933</v>
      </c>
      <c r="M245" s="4"/>
      <c r="N245" s="12">
        <f t="shared" ref="N245:N253" si="135">IF(H245=0,0,L245/H245)</f>
        <v>0.12977578158183414</v>
      </c>
      <c r="O245" s="10"/>
      <c r="P245" s="4">
        <f>SUM(OSRRefP25x_0)</f>
        <v>254740.65</v>
      </c>
      <c r="Q245" s="4"/>
      <c r="R245" s="12">
        <f t="shared" ref="R245:R253" si="136">IF(P$12=0,0,P245/P$12)</f>
        <v>0.13953954346879582</v>
      </c>
      <c r="S245" s="4"/>
      <c r="T245" s="4">
        <f>SUM(OSRRefT25x_0)</f>
        <v>121202.85</v>
      </c>
      <c r="U245" s="4"/>
      <c r="V245" s="12">
        <f t="shared" ref="V245:V253" si="137">IF(T$12=0,0,T245/T$12)</f>
        <v>3.7379590471619928E-2</v>
      </c>
      <c r="W245" s="4"/>
      <c r="X245" s="4">
        <f t="shared" ref="X245:X253" si="138">+P245-T245</f>
        <v>133537.79999999999</v>
      </c>
      <c r="Y245" s="4"/>
      <c r="Z245" s="12">
        <f t="shared" ref="Z245:Z253" si="139">IF(T245=0,0,X245/T245)</f>
        <v>1.1017711217186723</v>
      </c>
    </row>
    <row r="246" spans="1:26" s="24" customFormat="1" hidden="1" outlineLevel="1" x14ac:dyDescent="0.25">
      <c r="A246" s="44"/>
      <c r="B246" s="11" t="str">
        <f>CONCATENATE("          ", "4098", " - ", "TAXABLE SALES-GRAD RENTALS")</f>
        <v xml:space="preserve">          4098 - TAXABLE SALES-GRAD RENTALS</v>
      </c>
      <c r="C246" s="11"/>
      <c r="D246" s="2">
        <f t="shared" ref="D246:D248" si="140">0</f>
        <v>0</v>
      </c>
      <c r="E246" s="2"/>
      <c r="F246" s="19">
        <f t="shared" si="132"/>
        <v>0</v>
      </c>
      <c r="G246" s="2"/>
      <c r="H246" s="2">
        <f>--1552.15</f>
        <v>1552.15</v>
      </c>
      <c r="I246" s="2"/>
      <c r="J246" s="19">
        <f t="shared" si="133"/>
        <v>5.4812897464355677E-4</v>
      </c>
      <c r="K246" s="2"/>
      <c r="L246" s="2">
        <f t="shared" si="134"/>
        <v>-1552.15</v>
      </c>
      <c r="M246" s="2"/>
      <c r="N246" s="19">
        <f t="shared" si="135"/>
        <v>-1</v>
      </c>
      <c r="O246" s="11"/>
      <c r="P246" s="2">
        <f t="shared" ref="P246:P248" si="141">0</f>
        <v>0</v>
      </c>
      <c r="Q246" s="2"/>
      <c r="R246" s="19">
        <f t="shared" si="136"/>
        <v>0</v>
      </c>
      <c r="S246" s="2"/>
      <c r="T246" s="2">
        <f>--1626.85</f>
        <v>1626.85</v>
      </c>
      <c r="U246" s="2"/>
      <c r="V246" s="19">
        <f t="shared" si="137"/>
        <v>5.0172901675789696E-4</v>
      </c>
      <c r="W246" s="2"/>
      <c r="X246" s="2">
        <f t="shared" si="138"/>
        <v>-1626.85</v>
      </c>
      <c r="Y246" s="2"/>
      <c r="Z246" s="19">
        <f t="shared" si="139"/>
        <v>-1</v>
      </c>
    </row>
    <row r="247" spans="1:26" s="24" customFormat="1" hidden="1" outlineLevel="1" x14ac:dyDescent="0.25">
      <c r="A247" s="44"/>
      <c r="B247" s="11" t="str">
        <f>CONCATENATE("          ", "4197", " - ", "NON-TAXABLE SALES-RETURNED CHE")</f>
        <v xml:space="preserve">          4197 - NON-TAXABLE SALES-RETURNED CHE</v>
      </c>
      <c r="C247" s="11"/>
      <c r="D247" s="2">
        <f t="shared" si="140"/>
        <v>0</v>
      </c>
      <c r="E247" s="2"/>
      <c r="F247" s="19">
        <f t="shared" si="132"/>
        <v>0</v>
      </c>
      <c r="G247" s="2"/>
      <c r="H247" s="2">
        <f>--30</f>
        <v>30</v>
      </c>
      <c r="I247" s="2"/>
      <c r="J247" s="19">
        <f t="shared" si="133"/>
        <v>1.0594252642661278E-5</v>
      </c>
      <c r="K247" s="2"/>
      <c r="L247" s="2">
        <f t="shared" si="134"/>
        <v>-30</v>
      </c>
      <c r="M247" s="2"/>
      <c r="N247" s="19">
        <f t="shared" si="135"/>
        <v>-1</v>
      </c>
      <c r="O247" s="11"/>
      <c r="P247" s="2">
        <f t="shared" si="141"/>
        <v>0</v>
      </c>
      <c r="Q247" s="2"/>
      <c r="R247" s="19">
        <f t="shared" si="136"/>
        <v>0</v>
      </c>
      <c r="S247" s="2"/>
      <c r="T247" s="2">
        <f>--30</f>
        <v>30</v>
      </c>
      <c r="U247" s="2"/>
      <c r="V247" s="19">
        <f t="shared" si="137"/>
        <v>9.2521563160321555E-6</v>
      </c>
      <c r="W247" s="2"/>
      <c r="X247" s="2">
        <f t="shared" si="138"/>
        <v>-30</v>
      </c>
      <c r="Y247" s="2"/>
      <c r="Z247" s="19">
        <f t="shared" si="139"/>
        <v>-1</v>
      </c>
    </row>
    <row r="248" spans="1:26" s="24" customFormat="1" hidden="1" outlineLevel="1" x14ac:dyDescent="0.25">
      <c r="A248" s="44"/>
      <c r="B248" s="11" t="str">
        <f>CONCATENATE("          ", "4198", " - ", "NON-TAXABLE SALES-GRAD RENTALS")</f>
        <v xml:space="preserve">          4198 - NON-TAXABLE SALES-GRAD RENTALS</v>
      </c>
      <c r="C248" s="11"/>
      <c r="D248" s="2">
        <f t="shared" si="140"/>
        <v>0</v>
      </c>
      <c r="E248" s="2"/>
      <c r="F248" s="19">
        <f t="shared" si="132"/>
        <v>0</v>
      </c>
      <c r="G248" s="2"/>
      <c r="H248" s="2">
        <f>--210</f>
        <v>210</v>
      </c>
      <c r="I248" s="2"/>
      <c r="J248" s="19">
        <f t="shared" si="133"/>
        <v>7.4159768498628943E-5</v>
      </c>
      <c r="K248" s="2"/>
      <c r="L248" s="2">
        <f t="shared" si="134"/>
        <v>-210</v>
      </c>
      <c r="M248" s="2"/>
      <c r="N248" s="19">
        <f t="shared" si="135"/>
        <v>-1</v>
      </c>
      <c r="O248" s="11"/>
      <c r="P248" s="2">
        <f t="shared" si="141"/>
        <v>0</v>
      </c>
      <c r="Q248" s="2"/>
      <c r="R248" s="19">
        <f t="shared" si="136"/>
        <v>0</v>
      </c>
      <c r="S248" s="2"/>
      <c r="T248" s="2">
        <f>--465</f>
        <v>465</v>
      </c>
      <c r="U248" s="2"/>
      <c r="V248" s="19">
        <f t="shared" si="137"/>
        <v>1.434084228984984E-4</v>
      </c>
      <c r="W248" s="2"/>
      <c r="X248" s="2">
        <f t="shared" si="138"/>
        <v>-465</v>
      </c>
      <c r="Y248" s="2"/>
      <c r="Z248" s="19">
        <f t="shared" si="139"/>
        <v>-1</v>
      </c>
    </row>
    <row r="249" spans="1:26" s="24" customFormat="1" hidden="1" outlineLevel="1" x14ac:dyDescent="0.25">
      <c r="A249" s="44"/>
      <c r="B249" s="11" t="str">
        <f>CONCATENATE("          ", "9150", " - ", "MISC. INCOME")</f>
        <v xml:space="preserve">          9150 - MISC. INCOME</v>
      </c>
      <c r="C249" s="11"/>
      <c r="D249" s="2">
        <f>--56796.1</f>
        <v>56796.1</v>
      </c>
      <c r="E249" s="2"/>
      <c r="F249" s="19">
        <f t="shared" si="132"/>
        <v>3.5543922660475569E-2</v>
      </c>
      <c r="G249" s="2"/>
      <c r="H249" s="2">
        <f>--27536.18</f>
        <v>27536.18</v>
      </c>
      <c r="I249" s="2"/>
      <c r="J249" s="19">
        <f t="shared" si="133"/>
        <v>9.7241749244598875E-3</v>
      </c>
      <c r="K249" s="2"/>
      <c r="L249" s="2">
        <f t="shared" si="134"/>
        <v>29259.919999999998</v>
      </c>
      <c r="M249" s="2"/>
      <c r="N249" s="19">
        <f t="shared" si="135"/>
        <v>1.0625990968972456</v>
      </c>
      <c r="O249" s="11"/>
      <c r="P249" s="2">
        <f>--92530.36</f>
        <v>92530.36</v>
      </c>
      <c r="Q249" s="2"/>
      <c r="R249" s="19">
        <f t="shared" si="136"/>
        <v>5.0685448872817618E-2</v>
      </c>
      <c r="S249" s="2"/>
      <c r="T249" s="2">
        <f>--98168.08</f>
        <v>98168.08</v>
      </c>
      <c r="U249" s="2"/>
      <c r="V249" s="19">
        <f t="shared" si="137"/>
        <v>3.0275547380158328E-2</v>
      </c>
      <c r="W249" s="2"/>
      <c r="X249" s="2">
        <f t="shared" si="138"/>
        <v>-5637.7200000000012</v>
      </c>
      <c r="Y249" s="2"/>
      <c r="Z249" s="19">
        <f t="shared" si="139"/>
        <v>-5.7429258064332127E-2</v>
      </c>
    </row>
    <row r="250" spans="1:26" s="24" customFormat="1" hidden="1" outlineLevel="1" x14ac:dyDescent="0.25">
      <c r="A250" s="44"/>
      <c r="B250" s="11" t="str">
        <f>CONCATENATE("          ", "9151", " - ", "MISC. INCOME")</f>
        <v xml:space="preserve">          9151 - MISC. INCOME</v>
      </c>
      <c r="C250" s="11"/>
      <c r="D250" s="2">
        <f>0</f>
        <v>0</v>
      </c>
      <c r="E250" s="2"/>
      <c r="F250" s="19">
        <f t="shared" si="132"/>
        <v>0</v>
      </c>
      <c r="G250" s="2"/>
      <c r="H250" s="2">
        <f>-170.02</f>
        <v>-170.02</v>
      </c>
      <c r="I250" s="2"/>
      <c r="J250" s="19">
        <f t="shared" si="133"/>
        <v>-6.0041161143509022E-5</v>
      </c>
      <c r="K250" s="2"/>
      <c r="L250" s="2">
        <f t="shared" si="134"/>
        <v>170.02</v>
      </c>
      <c r="M250" s="2"/>
      <c r="N250" s="19">
        <f t="shared" si="135"/>
        <v>-1</v>
      </c>
      <c r="O250" s="11"/>
      <c r="P250" s="2">
        <f>0</f>
        <v>0</v>
      </c>
      <c r="Q250" s="2"/>
      <c r="R250" s="19">
        <f t="shared" si="136"/>
        <v>0</v>
      </c>
      <c r="S250" s="2"/>
      <c r="T250" s="2">
        <f>-264.51</f>
        <v>-264.51</v>
      </c>
      <c r="U250" s="2"/>
      <c r="V250" s="19">
        <f t="shared" si="137"/>
        <v>-8.1576262238455512E-5</v>
      </c>
      <c r="W250" s="2"/>
      <c r="X250" s="2">
        <f t="shared" si="138"/>
        <v>264.51</v>
      </c>
      <c r="Y250" s="2"/>
      <c r="Z250" s="19">
        <f t="shared" si="139"/>
        <v>-1</v>
      </c>
    </row>
    <row r="251" spans="1:26" s="24" customFormat="1" hidden="1" outlineLevel="1" x14ac:dyDescent="0.25">
      <c r="A251" s="44"/>
      <c r="B251" s="11" t="str">
        <f>CONCATENATE("          ", "9152", " - ", "MISC. INCOME")</f>
        <v xml:space="preserve">          9152 - MISC. INCOME</v>
      </c>
      <c r="C251" s="11"/>
      <c r="D251" s="2">
        <f>--72</f>
        <v>72</v>
      </c>
      <c r="E251" s="2"/>
      <c r="F251" s="19">
        <f t="shared" si="132"/>
        <v>4.5058770435896844E-5</v>
      </c>
      <c r="G251" s="2"/>
      <c r="H251" s="2">
        <f>--7.43</f>
        <v>7.43</v>
      </c>
      <c r="I251" s="2"/>
      <c r="J251" s="19">
        <f t="shared" si="133"/>
        <v>2.623843237832443E-6</v>
      </c>
      <c r="K251" s="2"/>
      <c r="L251" s="2">
        <f t="shared" si="134"/>
        <v>64.569999999999993</v>
      </c>
      <c r="M251" s="2"/>
      <c r="N251" s="19">
        <f t="shared" si="135"/>
        <v>8.6904441453566612</v>
      </c>
      <c r="O251" s="11"/>
      <c r="P251" s="2">
        <f>--1546.39</f>
        <v>1546.39</v>
      </c>
      <c r="Q251" s="2"/>
      <c r="R251" s="19">
        <f t="shared" si="136"/>
        <v>8.47067614158601E-4</v>
      </c>
      <c r="S251" s="2"/>
      <c r="T251" s="2">
        <f>--7.43</f>
        <v>7.43</v>
      </c>
      <c r="U251" s="2"/>
      <c r="V251" s="19">
        <f t="shared" si="137"/>
        <v>2.2914507142706301E-6</v>
      </c>
      <c r="W251" s="2"/>
      <c r="X251" s="2">
        <f t="shared" si="138"/>
        <v>1538.96</v>
      </c>
      <c r="Y251" s="2"/>
      <c r="Z251" s="19">
        <f t="shared" si="139"/>
        <v>207.12786002691792</v>
      </c>
    </row>
    <row r="252" spans="1:26" s="24" customFormat="1" hidden="1" outlineLevel="1" x14ac:dyDescent="0.25">
      <c r="A252" s="44"/>
      <c r="B252" s="11" t="str">
        <f>CONCATENATE("          ", "9160", " - ", "MISC. INCOME")</f>
        <v xml:space="preserve">          9160 - MISC. INCOME</v>
      </c>
      <c r="C252" s="11"/>
      <c r="D252" s="2">
        <f t="shared" ref="D252:D253" si="142">0</f>
        <v>0</v>
      </c>
      <c r="E252" s="2"/>
      <c r="F252" s="19">
        <f t="shared" si="132"/>
        <v>0</v>
      </c>
      <c r="G252" s="2"/>
      <c r="H252" s="2">
        <f>--21170</f>
        <v>21170</v>
      </c>
      <c r="I252" s="2"/>
      <c r="J252" s="19">
        <f t="shared" si="133"/>
        <v>7.4760109481713088E-3</v>
      </c>
      <c r="K252" s="2"/>
      <c r="L252" s="2">
        <f t="shared" si="134"/>
        <v>-21170</v>
      </c>
      <c r="M252" s="2"/>
      <c r="N252" s="19">
        <f t="shared" si="135"/>
        <v>-1</v>
      </c>
      <c r="O252" s="11"/>
      <c r="P252" s="2">
        <f>0</f>
        <v>0</v>
      </c>
      <c r="Q252" s="2"/>
      <c r="R252" s="19">
        <f t="shared" si="136"/>
        <v>0</v>
      </c>
      <c r="S252" s="2"/>
      <c r="T252" s="2">
        <f>--21170</f>
        <v>21170</v>
      </c>
      <c r="U252" s="2"/>
      <c r="V252" s="19">
        <f t="shared" si="137"/>
        <v>6.5289383070133572E-3</v>
      </c>
      <c r="W252" s="2"/>
      <c r="X252" s="2">
        <f t="shared" si="138"/>
        <v>-21170</v>
      </c>
      <c r="Y252" s="2"/>
      <c r="Z252" s="19">
        <f t="shared" si="139"/>
        <v>-1</v>
      </c>
    </row>
    <row r="253" spans="1:26" s="24" customFormat="1" hidden="1" outlineLevel="1" x14ac:dyDescent="0.25">
      <c r="A253" s="44"/>
      <c r="B253" s="11" t="str">
        <f>CONCATENATE("          ", "9163", " - ", "MISC. INCOME")</f>
        <v xml:space="preserve">          9163 - MISC. INCOME</v>
      </c>
      <c r="C253" s="11"/>
      <c r="D253" s="2">
        <f t="shared" si="142"/>
        <v>0</v>
      </c>
      <c r="E253" s="2"/>
      <c r="F253" s="19">
        <f t="shared" si="132"/>
        <v>0</v>
      </c>
      <c r="G253" s="2"/>
      <c r="H253" s="2">
        <f>0</f>
        <v>0</v>
      </c>
      <c r="I253" s="2"/>
      <c r="J253" s="19">
        <f t="shared" si="133"/>
        <v>0</v>
      </c>
      <c r="K253" s="2"/>
      <c r="L253" s="2">
        <f t="shared" si="134"/>
        <v>0</v>
      </c>
      <c r="M253" s="2"/>
      <c r="N253" s="19">
        <f t="shared" si="135"/>
        <v>0</v>
      </c>
      <c r="O253" s="11"/>
      <c r="P253" s="2">
        <f>--160663.9</f>
        <v>160663.9</v>
      </c>
      <c r="Q253" s="2"/>
      <c r="R253" s="19">
        <f t="shared" si="136"/>
        <v>8.8007026981819614E-2</v>
      </c>
      <c r="S253" s="2"/>
      <c r="T253" s="2">
        <f>0</f>
        <v>0</v>
      </c>
      <c r="U253" s="2"/>
      <c r="V253" s="19">
        <f t="shared" si="137"/>
        <v>0</v>
      </c>
      <c r="W253" s="2"/>
      <c r="X253" s="2">
        <f t="shared" si="138"/>
        <v>160663.9</v>
      </c>
      <c r="Y253" s="2"/>
      <c r="Z253" s="19">
        <f t="shared" si="139"/>
        <v>0</v>
      </c>
    </row>
    <row r="254" spans="1:26" x14ac:dyDescent="0.25">
      <c r="A254" s="9"/>
      <c r="B254" s="10"/>
      <c r="C254" s="10"/>
      <c r="D254" s="3"/>
      <c r="E254" s="3"/>
      <c r="F254" s="8"/>
      <c r="G254" s="3"/>
      <c r="H254" s="3"/>
      <c r="I254" s="3"/>
      <c r="J254" s="8"/>
      <c r="K254" s="3"/>
      <c r="L254" s="3"/>
      <c r="M254" s="3"/>
      <c r="N254" s="8"/>
      <c r="O254" s="10"/>
      <c r="P254" s="3"/>
      <c r="Q254" s="3"/>
      <c r="R254" s="8"/>
      <c r="S254" s="3"/>
      <c r="T254" s="3"/>
      <c r="U254" s="3"/>
      <c r="V254" s="8"/>
      <c r="W254" s="3"/>
      <c r="X254" s="3"/>
      <c r="Y254" s="3"/>
      <c r="Z254" s="8"/>
    </row>
    <row r="255" spans="1:26" s="23" customFormat="1" x14ac:dyDescent="0.25">
      <c r="A255" s="10"/>
      <c r="B255" s="26" t="s">
        <v>3</v>
      </c>
      <c r="C255" s="26"/>
      <c r="D255" s="22">
        <f>+D152-D154+D245</f>
        <v>321534.36000000022</v>
      </c>
      <c r="E255" s="13"/>
      <c r="F255" s="21">
        <f>IF(D$12=0,0,D255/D$12)</f>
        <v>0.20122142936795864</v>
      </c>
      <c r="G255" s="13"/>
      <c r="H255" s="22">
        <f>+H152-H154+H245</f>
        <v>547493.23999999953</v>
      </c>
      <c r="I255" s="13"/>
      <c r="J255" s="21">
        <f>IF(H$12=0,0,H255/H$12)</f>
        <v>0.19334272349030601</v>
      </c>
      <c r="K255" s="16"/>
      <c r="L255" s="22">
        <f>+D255-H255</f>
        <v>-225958.87999999931</v>
      </c>
      <c r="M255" s="16"/>
      <c r="N255" s="21">
        <f>IF(H255=0,0,L255/H255)</f>
        <v>-0.41271537891499721</v>
      </c>
      <c r="O255" s="25"/>
      <c r="P255" s="22">
        <f>+P152-P154+P245</f>
        <v>252029.87999999998</v>
      </c>
      <c r="Q255" s="13"/>
      <c r="R255" s="21">
        <f>IF(P$12=0,0,P255/P$12)</f>
        <v>0.13805466224450394</v>
      </c>
      <c r="S255" s="13"/>
      <c r="T255" s="22">
        <f>+T152-T154+T245</f>
        <v>369445.94999999949</v>
      </c>
      <c r="U255" s="13"/>
      <c r="V255" s="21">
        <f>IF(T$12=0,0,T255/T$12)</f>
        <v>0.11393905599083316</v>
      </c>
      <c r="W255" s="16"/>
      <c r="X255" s="22">
        <f>+P255-T255</f>
        <v>-117416.06999999951</v>
      </c>
      <c r="Y255" s="16"/>
      <c r="Z255" s="21">
        <f>IF(T255=0,0,X255/T255)</f>
        <v>-0.31781663867204302</v>
      </c>
    </row>
    <row r="256" spans="1:26" x14ac:dyDescent="0.25">
      <c r="A256" s="9"/>
      <c r="B256" s="10"/>
      <c r="C256" s="9"/>
      <c r="D256" s="3"/>
      <c r="E256" s="3"/>
      <c r="F256" s="8"/>
      <c r="G256" s="3"/>
      <c r="H256" s="3"/>
      <c r="I256" s="3"/>
      <c r="J256" s="8"/>
      <c r="K256" s="3"/>
      <c r="L256" s="3"/>
      <c r="M256" s="3"/>
      <c r="N256" s="8"/>
      <c r="P256" s="3"/>
      <c r="Q256" s="3"/>
      <c r="R256" s="8"/>
      <c r="S256" s="3"/>
      <c r="T256" s="3"/>
      <c r="U256" s="3"/>
      <c r="V256" s="8"/>
      <c r="W256" s="3"/>
      <c r="X256" s="3"/>
      <c r="Y256" s="3"/>
      <c r="Z256" s="8"/>
    </row>
    <row r="257" spans="1:26" s="23" customFormat="1" x14ac:dyDescent="0.25">
      <c r="A257" s="51"/>
      <c r="B257" s="10" t="s">
        <v>13</v>
      </c>
      <c r="C257" s="10"/>
      <c r="D257" s="4">
        <v>193571.74</v>
      </c>
      <c r="E257" s="4"/>
      <c r="F257" s="12">
        <f>IF(D$12=0,0,D257/D$12)</f>
        <v>0.12114034160468209</v>
      </c>
      <c r="G257" s="4"/>
      <c r="H257" s="4">
        <v>318869.24</v>
      </c>
      <c r="I257" s="4"/>
      <c r="J257" s="12">
        <f>IF(H$12=0,0,H257/H$12)</f>
        <v>0.11260604295111311</v>
      </c>
      <c r="K257" s="4"/>
      <c r="L257" s="4">
        <f>+D257-H257</f>
        <v>-125297.5</v>
      </c>
      <c r="M257" s="4"/>
      <c r="N257" s="12">
        <f>IF(H257=0,0,L257/H257)</f>
        <v>-0.39294320142011818</v>
      </c>
      <c r="O257" s="10"/>
      <c r="P257" s="4">
        <v>308224.99</v>
      </c>
      <c r="Q257" s="4"/>
      <c r="R257" s="12">
        <f>IF(P$12=0,0,P257/P$12)</f>
        <v>0.16883671447911497</v>
      </c>
      <c r="S257" s="4"/>
      <c r="T257" s="4">
        <v>404279.03999999998</v>
      </c>
      <c r="U257" s="4"/>
      <c r="V257" s="12">
        <f>IF(T$12=0,0,T257/T$12)</f>
        <v>0.12468176244584719</v>
      </c>
      <c r="W257" s="4"/>
      <c r="X257" s="4">
        <f>+P257-T257</f>
        <v>-96054.049999999988</v>
      </c>
      <c r="Y257" s="4"/>
      <c r="Z257" s="12">
        <f>IF(T257=0,0,X257/T257)</f>
        <v>-0.23759344535892832</v>
      </c>
    </row>
    <row r="258" spans="1:26" x14ac:dyDescent="0.25">
      <c r="A258" s="9"/>
      <c r="B258" s="10"/>
      <c r="C258" s="10"/>
      <c r="D258" s="3"/>
      <c r="E258" s="3"/>
      <c r="F258" s="8"/>
      <c r="G258" s="3"/>
      <c r="H258" s="3"/>
      <c r="I258" s="3"/>
      <c r="J258" s="8"/>
      <c r="K258" s="3"/>
      <c r="L258" s="3"/>
      <c r="M258" s="3"/>
      <c r="N258" s="8"/>
      <c r="O258" s="10"/>
      <c r="P258" s="3"/>
      <c r="Q258" s="3"/>
      <c r="R258" s="8"/>
      <c r="S258" s="3"/>
      <c r="T258" s="3"/>
      <c r="U258" s="3"/>
      <c r="V258" s="8"/>
      <c r="W258" s="3"/>
      <c r="X258" s="3"/>
      <c r="Y258" s="3"/>
      <c r="Z258" s="8"/>
    </row>
    <row r="259" spans="1:26" s="23" customFormat="1" ht="15.75" thickBot="1" x14ac:dyDescent="0.3">
      <c r="A259" s="10"/>
      <c r="B259" s="26" t="s">
        <v>4</v>
      </c>
      <c r="C259" s="26"/>
      <c r="D259" s="36">
        <f>+D255-D257</f>
        <v>127962.62000000023</v>
      </c>
      <c r="E259" s="13"/>
      <c r="F259" s="34">
        <f>IF(D$12=0,0,D259/D$12)</f>
        <v>8.0081087763276562E-2</v>
      </c>
      <c r="G259" s="13"/>
      <c r="H259" s="36">
        <f>+H255-H257</f>
        <v>228623.99999999953</v>
      </c>
      <c r="I259" s="13"/>
      <c r="J259" s="34">
        <f>IF(H$12=0,0,H259/H$12)</f>
        <v>8.0736680539192904E-2</v>
      </c>
      <c r="K259" s="16"/>
      <c r="L259" s="36">
        <f>D259-H259</f>
        <v>-100661.37999999931</v>
      </c>
      <c r="M259" s="16"/>
      <c r="N259" s="34">
        <f>IF(H259=0,0,L259/H259)</f>
        <v>-0.44029227027783396</v>
      </c>
      <c r="O259" s="25"/>
      <c r="P259" s="36">
        <f>+P255-P257</f>
        <v>-56195.110000000015</v>
      </c>
      <c r="Q259" s="13"/>
      <c r="R259" s="34">
        <f>IF(P$12=0,0,P259/P$12)</f>
        <v>-3.0782052234611029E-2</v>
      </c>
      <c r="S259" s="13"/>
      <c r="T259" s="36">
        <f>+T255-T257</f>
        <v>-34833.090000000491</v>
      </c>
      <c r="U259" s="13"/>
      <c r="V259" s="34">
        <f>IF(T$12=0,0,T259/T$12)</f>
        <v>-1.0742706455014035E-2</v>
      </c>
      <c r="W259" s="16"/>
      <c r="X259" s="36">
        <f>P259-T259</f>
        <v>-21362.019999999524</v>
      </c>
      <c r="Y259" s="16"/>
      <c r="Z259" s="34">
        <f>IF(T259=0,0,X259/T259)</f>
        <v>0.61326801613061666</v>
      </c>
    </row>
    <row r="260" spans="1:26" ht="15.75" thickTop="1" x14ac:dyDescent="0.25">
      <c r="A260" s="9"/>
      <c r="B260" s="9"/>
      <c r="C260" s="9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x14ac:dyDescent="0.25">
      <c r="A261" s="9"/>
      <c r="B261" s="9"/>
      <c r="C261" s="9"/>
      <c r="D261" s="3"/>
      <c r="E261" s="3"/>
      <c r="F261" s="8"/>
      <c r="G261" s="3"/>
      <c r="H261" s="3"/>
      <c r="I261" s="3"/>
      <c r="J261" s="8"/>
      <c r="K261" s="3"/>
      <c r="L261" s="3"/>
      <c r="M261" s="3"/>
      <c r="N261" s="8"/>
      <c r="P261" s="3"/>
      <c r="Q261" s="3"/>
      <c r="R261" s="8"/>
      <c r="S261" s="3"/>
      <c r="T261" s="3"/>
      <c r="U261" s="3"/>
      <c r="V261" s="8"/>
      <c r="W261" s="3"/>
      <c r="X261" s="3"/>
      <c r="Y261" s="3"/>
      <c r="Z261" s="8"/>
    </row>
    <row r="262" spans="1:26" s="23" customFormat="1" ht="15.75" thickBot="1" x14ac:dyDescent="0.3">
      <c r="A262" s="10"/>
      <c r="B262" s="26" t="s">
        <v>5</v>
      </c>
      <c r="C262" s="26"/>
      <c r="D262" s="30">
        <f>SUM(D259:D261)</f>
        <v>127962.62000000023</v>
      </c>
      <c r="E262" s="13"/>
      <c r="F262" s="31">
        <f>IF(D$12=0,0,D262/D$12)</f>
        <v>8.0081087763276562E-2</v>
      </c>
      <c r="G262" s="13"/>
      <c r="H262" s="30">
        <f>SUM(H259:H261)</f>
        <v>228623.99999999953</v>
      </c>
      <c r="I262" s="13"/>
      <c r="J262" s="31">
        <f>IF(H$12=0,0,H262/H$12)</f>
        <v>8.0736680539192904E-2</v>
      </c>
      <c r="K262" s="16"/>
      <c r="L262" s="30">
        <f>+D262-H262</f>
        <v>-100661.37999999931</v>
      </c>
      <c r="M262" s="16"/>
      <c r="N262" s="31">
        <f>IF(H262=0,0,L262/H262)</f>
        <v>-0.44029227027783396</v>
      </c>
      <c r="O262" s="25"/>
      <c r="P262" s="30">
        <f>SUM(P259:P261)</f>
        <v>-56195.110000000015</v>
      </c>
      <c r="Q262" s="13"/>
      <c r="R262" s="31">
        <f>IF(P$12=0,0,P262/P$12)</f>
        <v>-3.0782052234611029E-2</v>
      </c>
      <c r="S262" s="13"/>
      <c r="T262" s="30">
        <f>SUM(T259:T261)</f>
        <v>-34833.090000000491</v>
      </c>
      <c r="U262" s="13"/>
      <c r="V262" s="31">
        <f>IF(T$12=0,0,T262/T$12)</f>
        <v>-1.0742706455014035E-2</v>
      </c>
      <c r="W262" s="16"/>
      <c r="X262" s="30">
        <f>+P262-T262</f>
        <v>-21362.019999999524</v>
      </c>
      <c r="Y262" s="16"/>
      <c r="Z262" s="31">
        <f>IF(T262=0,0,X262/T262)</f>
        <v>0.61326801613061666</v>
      </c>
    </row>
    <row r="263" spans="1:26" ht="15.75" thickTop="1" x14ac:dyDescent="0.25">
      <c r="A263" s="9"/>
      <c r="C263" s="9"/>
      <c r="D263" s="18"/>
      <c r="E263" s="18"/>
      <c r="G263" s="18"/>
      <c r="H263" s="18"/>
      <c r="I263" s="18"/>
      <c r="J263" s="43"/>
      <c r="K263" s="18"/>
      <c r="L263" s="18"/>
      <c r="M263" s="18"/>
      <c r="P263" s="18"/>
      <c r="Q263" s="18"/>
      <c r="R263" s="43"/>
      <c r="S263" s="18"/>
      <c r="T263" s="18"/>
      <c r="U263" s="18"/>
      <c r="V263" s="43"/>
      <c r="W263" s="18"/>
      <c r="X263" s="18"/>
    </row>
    <row r="264" spans="1:26" x14ac:dyDescent="0.25">
      <c r="A264" s="9"/>
      <c r="B264" s="61">
        <v>44113.695601307867</v>
      </c>
      <c r="D264" s="18"/>
      <c r="E264" s="18"/>
      <c r="G264" s="18"/>
      <c r="H264" s="18"/>
      <c r="I264" s="18"/>
      <c r="J264" s="43"/>
      <c r="K264" s="18"/>
      <c r="L264" s="18"/>
      <c r="M264" s="18"/>
      <c r="P264" s="18"/>
      <c r="Q264" s="18"/>
      <c r="R264" s="43"/>
      <c r="S264" s="18"/>
      <c r="T264" s="18"/>
      <c r="U264" s="18"/>
      <c r="V264" s="43"/>
      <c r="W264" s="18"/>
      <c r="X264" s="18"/>
    </row>
    <row r="265" spans="1:26" x14ac:dyDescent="0.25">
      <c r="A265" s="9"/>
      <c r="B265" s="56" t="s">
        <v>313</v>
      </c>
      <c r="D265" s="18"/>
      <c r="E265" s="18"/>
      <c r="G265" s="18"/>
      <c r="H265" s="18"/>
      <c r="I265" s="18"/>
      <c r="J265" s="43"/>
      <c r="K265" s="18"/>
      <c r="L265" s="18"/>
      <c r="M265" s="18"/>
      <c r="P265" s="18"/>
      <c r="Q265" s="18"/>
      <c r="R265" s="43"/>
      <c r="S265" s="18"/>
      <c r="T265" s="18"/>
      <c r="U265" s="18"/>
      <c r="V265" s="43"/>
      <c r="W265" s="18"/>
      <c r="X265" s="18"/>
    </row>
    <row r="266" spans="1:26" x14ac:dyDescent="0.25">
      <c r="A266" s="9"/>
      <c r="B266" s="58"/>
      <c r="D266" s="18"/>
      <c r="E266" s="18"/>
      <c r="G266" s="18"/>
      <c r="H266" s="18"/>
      <c r="I266" s="18"/>
      <c r="J266" s="43"/>
      <c r="K266" s="18"/>
      <c r="L266" s="18"/>
      <c r="M266" s="18"/>
      <c r="P266" s="18"/>
      <c r="Q266" s="18"/>
      <c r="R266" s="43"/>
      <c r="S266" s="18"/>
      <c r="T266" s="18"/>
      <c r="U266" s="18"/>
      <c r="V266" s="43"/>
      <c r="W266" s="18"/>
      <c r="X266" s="18"/>
    </row>
    <row r="267" spans="1:26" x14ac:dyDescent="0.25">
      <c r="D267" s="18"/>
      <c r="E267" s="18"/>
      <c r="G267" s="18"/>
      <c r="H267" s="18"/>
      <c r="I267" s="18"/>
      <c r="J267" s="43"/>
      <c r="K267" s="18"/>
      <c r="L267" s="18"/>
      <c r="M267" s="18"/>
      <c r="P267" s="18"/>
      <c r="Q267" s="18"/>
      <c r="R267" s="43"/>
      <c r="S267" s="18"/>
      <c r="T267" s="18"/>
      <c r="U267" s="18"/>
      <c r="V267" s="43"/>
      <c r="W267" s="18"/>
      <c r="X267" s="18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25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1597089.1100000003</v>
      </c>
      <c r="E12" s="4"/>
      <c r="F12" s="12"/>
      <c r="G12" s="4"/>
      <c r="H12" s="4">
        <f>SUM(OSRRefH13x_0)</f>
        <v>2703005.6900000004</v>
      </c>
      <c r="I12" s="4"/>
      <c r="J12" s="12"/>
      <c r="K12" s="4"/>
      <c r="L12" s="4">
        <f t="shared" ref="L12:L96" si="0">+D12-H12</f>
        <v>-1105916.58</v>
      </c>
      <c r="M12" s="4"/>
      <c r="N12" s="12">
        <f t="shared" ref="N12:N96" si="1">IF(H12=0,0,L12/H12)</f>
        <v>-0.40914326747125712</v>
      </c>
      <c r="O12" s="10"/>
      <c r="P12" s="4">
        <f>SUM(OSRRefP13x_0)</f>
        <v>1824756.3600000003</v>
      </c>
      <c r="Q12" s="4"/>
      <c r="R12" s="12"/>
      <c r="S12" s="4"/>
      <c r="T12" s="4">
        <f>SUM(OSRRefT13x_0)</f>
        <v>3054944.0700000017</v>
      </c>
      <c r="U12" s="4"/>
      <c r="V12" s="12"/>
      <c r="W12" s="4"/>
      <c r="X12" s="4">
        <f t="shared" ref="X12:X96" si="2">+P12-T12</f>
        <v>-1230187.7100000014</v>
      </c>
      <c r="Y12" s="4"/>
      <c r="Z12" s="12">
        <f t="shared" ref="Z12:Z96" si="3">IF(T12=0,0,X12/T12)</f>
        <v>-0.40268747375136094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-17230.39</f>
        <v>-17230.39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-17230.39</v>
      </c>
      <c r="M13" s="2"/>
      <c r="N13" s="19">
        <f t="shared" si="1"/>
        <v>0</v>
      </c>
      <c r="O13" s="11"/>
      <c r="P13" s="2">
        <f>-27953.85</f>
        <v>-27953.85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-27953.85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19"/>
      <c r="G14" s="2"/>
      <c r="H14" s="2">
        <f>--1090909.72</f>
        <v>1090909.72</v>
      </c>
      <c r="I14" s="2"/>
      <c r="J14" s="19"/>
      <c r="K14" s="2"/>
      <c r="L14" s="2">
        <f t="shared" si="0"/>
        <v>-518660.25</v>
      </c>
      <c r="M14" s="2"/>
      <c r="N14" s="19">
        <f t="shared" si="1"/>
        <v>-0.4754382883305871</v>
      </c>
      <c r="O14" s="11"/>
      <c r="P14" s="2">
        <f>--584197.32</f>
        <v>584197.31999999995</v>
      </c>
      <c r="Q14" s="2"/>
      <c r="R14" s="19"/>
      <c r="S14" s="2"/>
      <c r="T14" s="2">
        <f>--1127221.97</f>
        <v>1127221.97</v>
      </c>
      <c r="U14" s="2"/>
      <c r="V14" s="19"/>
      <c r="W14" s="2"/>
      <c r="X14" s="2">
        <f t="shared" si="2"/>
        <v>-543024.65</v>
      </c>
      <c r="Y14" s="2"/>
      <c r="Z14" s="19">
        <f t="shared" si="3"/>
        <v>-0.48173710631278777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19"/>
      <c r="G15" s="2"/>
      <c r="H15" s="2">
        <f>--533666.11</f>
        <v>533666.11</v>
      </c>
      <c r="I15" s="2"/>
      <c r="J15" s="19"/>
      <c r="K15" s="2"/>
      <c r="L15" s="2">
        <f t="shared" si="0"/>
        <v>-268083.28999999998</v>
      </c>
      <c r="M15" s="2"/>
      <c r="N15" s="19">
        <f t="shared" si="1"/>
        <v>-0.50234272886468279</v>
      </c>
      <c r="O15" s="11"/>
      <c r="P15" s="2">
        <f>--278612.16</f>
        <v>278612.15999999997</v>
      </c>
      <c r="Q15" s="2"/>
      <c r="R15" s="19"/>
      <c r="S15" s="2"/>
      <c r="T15" s="2">
        <f>--555460.92</f>
        <v>555460.92000000004</v>
      </c>
      <c r="U15" s="2"/>
      <c r="V15" s="19"/>
      <c r="W15" s="2"/>
      <c r="X15" s="2">
        <f t="shared" si="2"/>
        <v>-276848.76000000007</v>
      </c>
      <c r="Y15" s="2"/>
      <c r="Z15" s="19">
        <f t="shared" si="3"/>
        <v>-0.49841266960779174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19"/>
      <c r="G16" s="2"/>
      <c r="H16" s="2">
        <f>--12302.07</f>
        <v>12302.07</v>
      </c>
      <c r="I16" s="2"/>
      <c r="J16" s="19"/>
      <c r="K16" s="2"/>
      <c r="L16" s="2">
        <f t="shared" si="0"/>
        <v>-3246.2299999999996</v>
      </c>
      <c r="M16" s="2"/>
      <c r="N16" s="19">
        <f t="shared" si="1"/>
        <v>-0.26387672968858084</v>
      </c>
      <c r="O16" s="11"/>
      <c r="P16" s="2">
        <f>--9055.84</f>
        <v>9055.84</v>
      </c>
      <c r="Q16" s="2"/>
      <c r="R16" s="19"/>
      <c r="S16" s="2"/>
      <c r="T16" s="2">
        <f>--12736.05</f>
        <v>12736.05</v>
      </c>
      <c r="U16" s="2"/>
      <c r="V16" s="19"/>
      <c r="W16" s="2"/>
      <c r="X16" s="2">
        <f t="shared" si="2"/>
        <v>-3680.2099999999991</v>
      </c>
      <c r="Y16" s="2"/>
      <c r="Z16" s="19">
        <f t="shared" si="3"/>
        <v>-0.28896007788914141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19"/>
      <c r="G17" s="2"/>
      <c r="H17" s="2">
        <f>--22276.72</f>
        <v>22276.720000000001</v>
      </c>
      <c r="I17" s="2"/>
      <c r="J17" s="19"/>
      <c r="K17" s="2"/>
      <c r="L17" s="2">
        <f t="shared" si="0"/>
        <v>-20455.830000000002</v>
      </c>
      <c r="M17" s="2"/>
      <c r="N17" s="19">
        <f t="shared" si="1"/>
        <v>-0.91826040817499166</v>
      </c>
      <c r="O17" s="11"/>
      <c r="P17" s="2">
        <f>--1820.89</f>
        <v>1820.89</v>
      </c>
      <c r="Q17" s="2"/>
      <c r="R17" s="19"/>
      <c r="S17" s="2"/>
      <c r="T17" s="2">
        <f>--22410.07</f>
        <v>22410.07</v>
      </c>
      <c r="U17" s="2"/>
      <c r="V17" s="19"/>
      <c r="W17" s="2"/>
      <c r="X17" s="2">
        <f t="shared" si="2"/>
        <v>-20589.18</v>
      </c>
      <c r="Y17" s="2"/>
      <c r="Z17" s="19">
        <f t="shared" si="3"/>
        <v>-0.9187467955254045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19"/>
      <c r="G18" s="2"/>
      <c r="H18" s="2">
        <f>--70.86</f>
        <v>70.86</v>
      </c>
      <c r="I18" s="2"/>
      <c r="J18" s="19"/>
      <c r="K18" s="2"/>
      <c r="L18" s="2">
        <f t="shared" si="0"/>
        <v>-30.96</v>
      </c>
      <c r="M18" s="2"/>
      <c r="N18" s="19">
        <f t="shared" si="1"/>
        <v>-0.436917866215072</v>
      </c>
      <c r="O18" s="11"/>
      <c r="P18" s="2">
        <f>--39.9</f>
        <v>39.9</v>
      </c>
      <c r="Q18" s="2"/>
      <c r="R18" s="19"/>
      <c r="S18" s="2"/>
      <c r="T18" s="2">
        <f>--110.81</f>
        <v>110.81</v>
      </c>
      <c r="U18" s="2"/>
      <c r="V18" s="19"/>
      <c r="W18" s="2"/>
      <c r="X18" s="2">
        <f t="shared" si="2"/>
        <v>-70.91</v>
      </c>
      <c r="Y18" s="2"/>
      <c r="Z18" s="19">
        <f t="shared" si="3"/>
        <v>-0.63992419456727723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19"/>
      <c r="G19" s="2"/>
      <c r="H19" s="2">
        <f>--175</f>
        <v>175</v>
      </c>
      <c r="I19" s="2"/>
      <c r="J19" s="19"/>
      <c r="K19" s="2"/>
      <c r="L19" s="2">
        <f t="shared" si="0"/>
        <v>9.0000000000003411E-2</v>
      </c>
      <c r="M19" s="2"/>
      <c r="N19" s="19">
        <f t="shared" si="1"/>
        <v>5.1428571428573382E-4</v>
      </c>
      <c r="O19" s="11"/>
      <c r="P19" s="2">
        <f>--206.93</f>
        <v>206.93</v>
      </c>
      <c r="Q19" s="2"/>
      <c r="R19" s="19"/>
      <c r="S19" s="2"/>
      <c r="T19" s="2">
        <f>--425.65</f>
        <v>425.65</v>
      </c>
      <c r="U19" s="2"/>
      <c r="V19" s="19"/>
      <c r="W19" s="2"/>
      <c r="X19" s="2">
        <f t="shared" si="2"/>
        <v>-218.71999999999997</v>
      </c>
      <c r="Y19" s="2"/>
      <c r="Z19" s="19">
        <f t="shared" si="3"/>
        <v>-0.51384940678961588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0</f>
        <v>0</v>
      </c>
      <c r="E20" s="2"/>
      <c r="F20" s="19"/>
      <c r="G20" s="2"/>
      <c r="H20" s="2">
        <f>--152.83</f>
        <v>152.83000000000001</v>
      </c>
      <c r="I20" s="2"/>
      <c r="J20" s="19"/>
      <c r="K20" s="2"/>
      <c r="L20" s="2">
        <f t="shared" si="0"/>
        <v>-152.83000000000001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--157.3</f>
        <v>157.30000000000001</v>
      </c>
      <c r="U20" s="2"/>
      <c r="V20" s="19"/>
      <c r="W20" s="2"/>
      <c r="X20" s="2">
        <f t="shared" si="2"/>
        <v>-157.30000000000001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--118.03</f>
        <v>118.03</v>
      </c>
      <c r="E21" s="2"/>
      <c r="F21" s="19"/>
      <c r="G21" s="2"/>
      <c r="H21" s="2">
        <f>--1184.84</f>
        <v>1184.8399999999999</v>
      </c>
      <c r="I21" s="2"/>
      <c r="J21" s="19"/>
      <c r="K21" s="2"/>
      <c r="L21" s="2">
        <f t="shared" si="0"/>
        <v>-1066.81</v>
      </c>
      <c r="M21" s="2"/>
      <c r="N21" s="19">
        <f t="shared" si="1"/>
        <v>-0.90038317409945645</v>
      </c>
      <c r="O21" s="11"/>
      <c r="P21" s="2">
        <f>--135.02</f>
        <v>135.02000000000001</v>
      </c>
      <c r="Q21" s="2"/>
      <c r="R21" s="19"/>
      <c r="S21" s="2"/>
      <c r="T21" s="2">
        <f>--1364.13</f>
        <v>1364.13</v>
      </c>
      <c r="U21" s="2"/>
      <c r="V21" s="19"/>
      <c r="W21" s="2"/>
      <c r="X21" s="2">
        <f t="shared" si="2"/>
        <v>-1229.1100000000001</v>
      </c>
      <c r="Y21" s="2"/>
      <c r="Z21" s="19">
        <f t="shared" si="3"/>
        <v>-0.90102116367208407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 t="shared" ref="D22:D24" si="4">0</f>
        <v>0</v>
      </c>
      <c r="E22" s="2"/>
      <c r="F22" s="19"/>
      <c r="G22" s="2"/>
      <c r="H22" s="2">
        <f>--14.95</f>
        <v>14.95</v>
      </c>
      <c r="I22" s="2"/>
      <c r="J22" s="19"/>
      <c r="K22" s="2"/>
      <c r="L22" s="2">
        <f t="shared" si="0"/>
        <v>-14.95</v>
      </c>
      <c r="M22" s="2"/>
      <c r="N22" s="19">
        <f t="shared" si="1"/>
        <v>-1</v>
      </c>
      <c r="O22" s="11"/>
      <c r="P22" s="2">
        <f t="shared" ref="P22:P23" si="5">0</f>
        <v>0</v>
      </c>
      <c r="Q22" s="2"/>
      <c r="R22" s="19"/>
      <c r="S22" s="2"/>
      <c r="T22" s="2">
        <f>--14.95</f>
        <v>14.95</v>
      </c>
      <c r="U22" s="2"/>
      <c r="V22" s="19"/>
      <c r="W22" s="2"/>
      <c r="X22" s="2">
        <f t="shared" si="2"/>
        <v>-14.95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 t="shared" si="4"/>
        <v>0</v>
      </c>
      <c r="E23" s="2"/>
      <c r="F23" s="19"/>
      <c r="G23" s="2"/>
      <c r="H23" s="2">
        <f>--4066.24</f>
        <v>4066.24</v>
      </c>
      <c r="I23" s="2"/>
      <c r="J23" s="19"/>
      <c r="K23" s="2"/>
      <c r="L23" s="2">
        <f t="shared" si="0"/>
        <v>-4066.24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--4458.53</f>
        <v>4458.53</v>
      </c>
      <c r="U23" s="2"/>
      <c r="V23" s="19"/>
      <c r="W23" s="2"/>
      <c r="X23" s="2">
        <f t="shared" si="2"/>
        <v>-4458.53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 t="shared" si="4"/>
        <v>0</v>
      </c>
      <c r="E24" s="2"/>
      <c r="F24" s="19"/>
      <c r="G24" s="2"/>
      <c r="H24" s="2">
        <f>--10841.03</f>
        <v>10841.03</v>
      </c>
      <c r="I24" s="2"/>
      <c r="J24" s="19"/>
      <c r="K24" s="2"/>
      <c r="L24" s="2">
        <f t="shared" si="0"/>
        <v>-10841.03</v>
      </c>
      <c r="M24" s="2"/>
      <c r="N24" s="19">
        <f t="shared" si="1"/>
        <v>-1</v>
      </c>
      <c r="O24" s="11"/>
      <c r="P24" s="2">
        <f>--236.56</f>
        <v>236.56</v>
      </c>
      <c r="Q24" s="2"/>
      <c r="R24" s="19"/>
      <c r="S24" s="2"/>
      <c r="T24" s="2">
        <f>--12776.54</f>
        <v>12776.54</v>
      </c>
      <c r="U24" s="2"/>
      <c r="V24" s="19"/>
      <c r="W24" s="2"/>
      <c r="X24" s="2">
        <f t="shared" si="2"/>
        <v>-12539.980000000001</v>
      </c>
      <c r="Y24" s="2"/>
      <c r="Z24" s="19">
        <f t="shared" si="3"/>
        <v>-0.98148481513774466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--20247.89</f>
        <v>20247.89</v>
      </c>
      <c r="E25" s="2"/>
      <c r="F25" s="19"/>
      <c r="G25" s="2"/>
      <c r="H25" s="2">
        <f>--65949.25</f>
        <v>65949.25</v>
      </c>
      <c r="I25" s="2"/>
      <c r="J25" s="19"/>
      <c r="K25" s="2"/>
      <c r="L25" s="2">
        <f t="shared" si="0"/>
        <v>-45701.36</v>
      </c>
      <c r="M25" s="2"/>
      <c r="N25" s="19">
        <f t="shared" si="1"/>
        <v>-0.69297770634237688</v>
      </c>
      <c r="O25" s="11"/>
      <c r="P25" s="2">
        <f>--21901.06</f>
        <v>21901.06</v>
      </c>
      <c r="Q25" s="2"/>
      <c r="R25" s="19"/>
      <c r="S25" s="2"/>
      <c r="T25" s="2">
        <f>--79099.25</f>
        <v>79099.25</v>
      </c>
      <c r="U25" s="2"/>
      <c r="V25" s="19"/>
      <c r="W25" s="2"/>
      <c r="X25" s="2">
        <f t="shared" si="2"/>
        <v>-57198.19</v>
      </c>
      <c r="Y25" s="2"/>
      <c r="Z25" s="19">
        <f t="shared" si="3"/>
        <v>-0.72311924575770314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--9671.25</f>
        <v>9671.25</v>
      </c>
      <c r="E26" s="2"/>
      <c r="F26" s="19"/>
      <c r="G26" s="2"/>
      <c r="H26" s="2">
        <f>--46631.39</f>
        <v>46631.39</v>
      </c>
      <c r="I26" s="2"/>
      <c r="J26" s="19"/>
      <c r="K26" s="2"/>
      <c r="L26" s="2">
        <f t="shared" si="0"/>
        <v>-36960.14</v>
      </c>
      <c r="M26" s="2"/>
      <c r="N26" s="19">
        <f t="shared" si="1"/>
        <v>-0.79260215061142292</v>
      </c>
      <c r="O26" s="11"/>
      <c r="P26" s="2">
        <f>--9691.1</f>
        <v>9691.1</v>
      </c>
      <c r="Q26" s="2"/>
      <c r="R26" s="19"/>
      <c r="S26" s="2"/>
      <c r="T26" s="2">
        <f>--48915.55</f>
        <v>48915.55</v>
      </c>
      <c r="U26" s="2"/>
      <c r="V26" s="19"/>
      <c r="W26" s="2"/>
      <c r="X26" s="2">
        <f t="shared" si="2"/>
        <v>-39224.450000000004</v>
      </c>
      <c r="Y26" s="2"/>
      <c r="Z26" s="19">
        <f t="shared" si="3"/>
        <v>-0.80188099694268999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--532.51</f>
        <v>532.51</v>
      </c>
      <c r="E27" s="2"/>
      <c r="F27" s="19"/>
      <c r="G27" s="2"/>
      <c r="H27" s="2">
        <f>--30.82</f>
        <v>30.82</v>
      </c>
      <c r="I27" s="2"/>
      <c r="J27" s="19"/>
      <c r="K27" s="2"/>
      <c r="L27" s="2">
        <f t="shared" si="0"/>
        <v>501.69</v>
      </c>
      <c r="M27" s="2"/>
      <c r="N27" s="19">
        <f t="shared" si="1"/>
        <v>16.278066190785204</v>
      </c>
      <c r="O27" s="11"/>
      <c r="P27" s="2">
        <f>--552.26</f>
        <v>552.26</v>
      </c>
      <c r="Q27" s="2"/>
      <c r="R27" s="19"/>
      <c r="S27" s="2"/>
      <c r="T27" s="2">
        <f>--32.34</f>
        <v>32.340000000000003</v>
      </c>
      <c r="U27" s="2"/>
      <c r="V27" s="19"/>
      <c r="W27" s="2"/>
      <c r="X27" s="2">
        <f t="shared" si="2"/>
        <v>519.91999999999996</v>
      </c>
      <c r="Y27" s="2"/>
      <c r="Z27" s="19">
        <f t="shared" si="3"/>
        <v>16.076685219542359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 t="shared" ref="D28:D32" si="6">0</f>
        <v>0</v>
      </c>
      <c r="E28" s="2"/>
      <c r="F28" s="19"/>
      <c r="G28" s="2"/>
      <c r="H28" s="2">
        <f>--2.34</f>
        <v>2.34</v>
      </c>
      <c r="I28" s="2"/>
      <c r="J28" s="19"/>
      <c r="K28" s="2"/>
      <c r="L28" s="2">
        <f t="shared" si="0"/>
        <v>-2.34</v>
      </c>
      <c r="M28" s="2"/>
      <c r="N28" s="19">
        <f t="shared" si="1"/>
        <v>-1</v>
      </c>
      <c r="O28" s="11"/>
      <c r="P28" s="2">
        <f t="shared" ref="P28:P29" si="7">0</f>
        <v>0</v>
      </c>
      <c r="Q28" s="2"/>
      <c r="R28" s="19"/>
      <c r="S28" s="2"/>
      <c r="T28" s="2">
        <f>--3.81</f>
        <v>3.81</v>
      </c>
      <c r="U28" s="2"/>
      <c r="V28" s="19"/>
      <c r="W28" s="2"/>
      <c r="X28" s="2">
        <f t="shared" si="2"/>
        <v>-3.81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 t="shared" si="6"/>
        <v>0</v>
      </c>
      <c r="E29" s="2"/>
      <c r="F29" s="19"/>
      <c r="G29" s="2"/>
      <c r="H29" s="2">
        <f>--9.83</f>
        <v>9.83</v>
      </c>
      <c r="I29" s="2"/>
      <c r="J29" s="19"/>
      <c r="K29" s="2"/>
      <c r="L29" s="2">
        <f t="shared" si="0"/>
        <v>-9.83</v>
      </c>
      <c r="M29" s="2"/>
      <c r="N29" s="19">
        <f t="shared" si="1"/>
        <v>-1</v>
      </c>
      <c r="O29" s="11"/>
      <c r="P29" s="2">
        <f t="shared" si="7"/>
        <v>0</v>
      </c>
      <c r="Q29" s="2"/>
      <c r="R29" s="19"/>
      <c r="S29" s="2"/>
      <c r="T29" s="2">
        <f>--13</f>
        <v>13</v>
      </c>
      <c r="U29" s="2"/>
      <c r="V29" s="19"/>
      <c r="W29" s="2"/>
      <c r="X29" s="2">
        <f t="shared" si="2"/>
        <v>-13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 t="shared" si="6"/>
        <v>0</v>
      </c>
      <c r="E30" s="2"/>
      <c r="F30" s="19"/>
      <c r="G30" s="2"/>
      <c r="H30" s="2">
        <f>--280.8</f>
        <v>280.8</v>
      </c>
      <c r="I30" s="2"/>
      <c r="J30" s="19"/>
      <c r="K30" s="2"/>
      <c r="L30" s="2">
        <f t="shared" si="0"/>
        <v>-280.8</v>
      </c>
      <c r="M30" s="2"/>
      <c r="N30" s="19">
        <f t="shared" si="1"/>
        <v>-1</v>
      </c>
      <c r="O30" s="11"/>
      <c r="P30" s="2">
        <f>--6.78</f>
        <v>6.78</v>
      </c>
      <c r="Q30" s="2"/>
      <c r="R30" s="19"/>
      <c r="S30" s="2"/>
      <c r="T30" s="2">
        <f>--315.54</f>
        <v>315.54000000000002</v>
      </c>
      <c r="U30" s="2"/>
      <c r="V30" s="19"/>
      <c r="W30" s="2"/>
      <c r="X30" s="2">
        <f t="shared" si="2"/>
        <v>-308.76000000000005</v>
      </c>
      <c r="Y30" s="2"/>
      <c r="Z30" s="19">
        <f t="shared" si="3"/>
        <v>-0.97851302528997919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 t="shared" si="6"/>
        <v>0</v>
      </c>
      <c r="E31" s="2"/>
      <c r="F31" s="19"/>
      <c r="G31" s="2"/>
      <c r="H31" s="2">
        <f>--92.48</f>
        <v>92.48</v>
      </c>
      <c r="I31" s="2"/>
      <c r="J31" s="19"/>
      <c r="K31" s="2"/>
      <c r="L31" s="2">
        <f t="shared" si="0"/>
        <v>-92.48</v>
      </c>
      <c r="M31" s="2"/>
      <c r="N31" s="19">
        <f t="shared" si="1"/>
        <v>-1</v>
      </c>
      <c r="O31" s="11"/>
      <c r="P31" s="2">
        <f t="shared" ref="P31:P32" si="8">0</f>
        <v>0</v>
      </c>
      <c r="Q31" s="2"/>
      <c r="R31" s="19"/>
      <c r="S31" s="2"/>
      <c r="T31" s="2">
        <f>--98.45</f>
        <v>98.45</v>
      </c>
      <c r="U31" s="2"/>
      <c r="V31" s="19"/>
      <c r="W31" s="2"/>
      <c r="X31" s="2">
        <f t="shared" si="2"/>
        <v>-98.45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 t="shared" si="6"/>
        <v>0</v>
      </c>
      <c r="E32" s="2"/>
      <c r="F32" s="19"/>
      <c r="G32" s="2"/>
      <c r="H32" s="2">
        <f>--36.88</f>
        <v>36.880000000000003</v>
      </c>
      <c r="I32" s="2"/>
      <c r="J32" s="19"/>
      <c r="K32" s="2"/>
      <c r="L32" s="2">
        <f t="shared" si="0"/>
        <v>-36.880000000000003</v>
      </c>
      <c r="M32" s="2"/>
      <c r="N32" s="19">
        <f t="shared" si="1"/>
        <v>-1</v>
      </c>
      <c r="O32" s="11"/>
      <c r="P32" s="2">
        <f t="shared" si="8"/>
        <v>0</v>
      </c>
      <c r="Q32" s="2"/>
      <c r="R32" s="19"/>
      <c r="S32" s="2"/>
      <c r="T32" s="2">
        <f>--42.17</f>
        <v>42.17</v>
      </c>
      <c r="U32" s="2"/>
      <c r="V32" s="19"/>
      <c r="W32" s="2"/>
      <c r="X32" s="2">
        <f t="shared" si="2"/>
        <v>-42.17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--177286.09</f>
        <v>177286.09</v>
      </c>
      <c r="E33" s="2"/>
      <c r="F33" s="19"/>
      <c r="G33" s="2"/>
      <c r="H33" s="2">
        <f>--219441.66</f>
        <v>219441.66</v>
      </c>
      <c r="I33" s="2"/>
      <c r="J33" s="19"/>
      <c r="K33" s="2"/>
      <c r="L33" s="2">
        <f t="shared" si="0"/>
        <v>-42155.570000000007</v>
      </c>
      <c r="M33" s="2"/>
      <c r="N33" s="19">
        <f t="shared" si="1"/>
        <v>-0.19210376917491423</v>
      </c>
      <c r="O33" s="11"/>
      <c r="P33" s="2">
        <f>--249578.35</f>
        <v>249578.35</v>
      </c>
      <c r="Q33" s="2"/>
      <c r="R33" s="19"/>
      <c r="S33" s="2"/>
      <c r="T33" s="2">
        <f>--389753.68</f>
        <v>389753.68</v>
      </c>
      <c r="U33" s="2"/>
      <c r="V33" s="19"/>
      <c r="W33" s="2"/>
      <c r="X33" s="2">
        <f t="shared" si="2"/>
        <v>-140175.32999999999</v>
      </c>
      <c r="Y33" s="2"/>
      <c r="Z33" s="19">
        <f t="shared" si="3"/>
        <v>-0.35965107500716859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--82120.65</f>
        <v>82120.649999999994</v>
      </c>
      <c r="E34" s="2"/>
      <c r="F34" s="19"/>
      <c r="G34" s="2"/>
      <c r="H34" s="2">
        <f>--120650.82</f>
        <v>120650.82</v>
      </c>
      <c r="I34" s="2"/>
      <c r="J34" s="19"/>
      <c r="K34" s="2"/>
      <c r="L34" s="2">
        <f t="shared" si="0"/>
        <v>-38530.170000000013</v>
      </c>
      <c r="M34" s="2"/>
      <c r="N34" s="19">
        <f t="shared" si="1"/>
        <v>-0.3193527404123736</v>
      </c>
      <c r="O34" s="11"/>
      <c r="P34" s="2">
        <f>--103309.56</f>
        <v>103309.56</v>
      </c>
      <c r="Q34" s="2"/>
      <c r="R34" s="19"/>
      <c r="S34" s="2"/>
      <c r="T34" s="2">
        <f>--151692.41</f>
        <v>151692.41</v>
      </c>
      <c r="U34" s="2"/>
      <c r="V34" s="19"/>
      <c r="W34" s="2"/>
      <c r="X34" s="2">
        <f t="shared" si="2"/>
        <v>-48382.850000000006</v>
      </c>
      <c r="Y34" s="2"/>
      <c r="Z34" s="19">
        <f t="shared" si="3"/>
        <v>-0.31895366419453686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--30421.14</f>
        <v>30421.14</v>
      </c>
      <c r="E35" s="2"/>
      <c r="F35" s="19"/>
      <c r="G35" s="2"/>
      <c r="H35" s="2">
        <f>--44445.92</f>
        <v>44445.919999999998</v>
      </c>
      <c r="I35" s="2"/>
      <c r="J35" s="19"/>
      <c r="K35" s="2"/>
      <c r="L35" s="2">
        <f t="shared" si="0"/>
        <v>-14024.779999999999</v>
      </c>
      <c r="M35" s="2"/>
      <c r="N35" s="19">
        <f t="shared" si="1"/>
        <v>-0.31554707383714858</v>
      </c>
      <c r="O35" s="11"/>
      <c r="P35" s="2">
        <f>--39925.04</f>
        <v>39925.040000000001</v>
      </c>
      <c r="Q35" s="2"/>
      <c r="R35" s="19"/>
      <c r="S35" s="2"/>
      <c r="T35" s="2">
        <f>--60038.97</f>
        <v>60038.97</v>
      </c>
      <c r="U35" s="2"/>
      <c r="V35" s="19"/>
      <c r="W35" s="2"/>
      <c r="X35" s="2">
        <f t="shared" si="2"/>
        <v>-20113.93</v>
      </c>
      <c r="Y35" s="2"/>
      <c r="Z35" s="19">
        <f t="shared" si="3"/>
        <v>-0.33501457470039875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--6768.27</f>
        <v>6768.27</v>
      </c>
      <c r="E36" s="2"/>
      <c r="F36" s="19"/>
      <c r="G36" s="2"/>
      <c r="H36" s="2">
        <f>--129.05</f>
        <v>129.05000000000001</v>
      </c>
      <c r="I36" s="2"/>
      <c r="J36" s="19"/>
      <c r="K36" s="2"/>
      <c r="L36" s="2">
        <f t="shared" si="0"/>
        <v>6639.22</v>
      </c>
      <c r="M36" s="2"/>
      <c r="N36" s="19">
        <f t="shared" si="1"/>
        <v>51.446881053855094</v>
      </c>
      <c r="O36" s="11"/>
      <c r="P36" s="2">
        <f>--6985.63</f>
        <v>6985.63</v>
      </c>
      <c r="Q36" s="2"/>
      <c r="R36" s="19"/>
      <c r="S36" s="2"/>
      <c r="T36" s="2">
        <f>--185.45</f>
        <v>185.45</v>
      </c>
      <c r="U36" s="2"/>
      <c r="V36" s="19"/>
      <c r="W36" s="2"/>
      <c r="X36" s="2">
        <f t="shared" si="2"/>
        <v>6800.18</v>
      </c>
      <c r="Y36" s="2"/>
      <c r="Z36" s="19">
        <f t="shared" si="3"/>
        <v>36.668535993529254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--6568.52</f>
        <v>6568.52</v>
      </c>
      <c r="E37" s="2"/>
      <c r="F37" s="19"/>
      <c r="G37" s="2"/>
      <c r="H37" s="2">
        <f>--19434.42</f>
        <v>19434.419999999998</v>
      </c>
      <c r="I37" s="2"/>
      <c r="J37" s="19"/>
      <c r="K37" s="2"/>
      <c r="L37" s="2">
        <f t="shared" si="0"/>
        <v>-12865.899999999998</v>
      </c>
      <c r="M37" s="2"/>
      <c r="N37" s="19">
        <f t="shared" si="1"/>
        <v>-0.66201615484279952</v>
      </c>
      <c r="O37" s="11"/>
      <c r="P37" s="2">
        <f>--8369.2</f>
        <v>8369.2000000000007</v>
      </c>
      <c r="Q37" s="2"/>
      <c r="R37" s="19"/>
      <c r="S37" s="2"/>
      <c r="T37" s="2">
        <f>--21777.07</f>
        <v>21777.07</v>
      </c>
      <c r="U37" s="2"/>
      <c r="V37" s="19"/>
      <c r="W37" s="2"/>
      <c r="X37" s="2">
        <f t="shared" si="2"/>
        <v>-13407.869999999999</v>
      </c>
      <c r="Y37" s="2"/>
      <c r="Z37" s="19">
        <f t="shared" si="3"/>
        <v>-0.61568750984406995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--46004.35</f>
        <v>46004.35</v>
      </c>
      <c r="E38" s="2"/>
      <c r="F38" s="19"/>
      <c r="G38" s="2"/>
      <c r="H38" s="2">
        <f>--6103.32</f>
        <v>6103.32</v>
      </c>
      <c r="I38" s="2"/>
      <c r="J38" s="19"/>
      <c r="K38" s="2"/>
      <c r="L38" s="2">
        <f t="shared" si="0"/>
        <v>39901.03</v>
      </c>
      <c r="M38" s="2"/>
      <c r="N38" s="19">
        <f t="shared" si="1"/>
        <v>6.5375942929422024</v>
      </c>
      <c r="O38" s="11"/>
      <c r="P38" s="2">
        <f>--89431.08</f>
        <v>89431.08</v>
      </c>
      <c r="Q38" s="2"/>
      <c r="R38" s="19"/>
      <c r="S38" s="2"/>
      <c r="T38" s="2">
        <f>--25524.04</f>
        <v>25524.04</v>
      </c>
      <c r="U38" s="2"/>
      <c r="V38" s="19"/>
      <c r="W38" s="2"/>
      <c r="X38" s="2">
        <f t="shared" si="2"/>
        <v>63907.040000000001</v>
      </c>
      <c r="Y38" s="2"/>
      <c r="Z38" s="19">
        <f t="shared" si="3"/>
        <v>2.5037979880927939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 t="shared" ref="D39:D45" si="9">0</f>
        <v>0</v>
      </c>
      <c r="E39" s="2"/>
      <c r="F39" s="19"/>
      <c r="G39" s="2"/>
      <c r="H39" s="2">
        <f>--442.38</f>
        <v>442.38</v>
      </c>
      <c r="I39" s="2"/>
      <c r="J39" s="19"/>
      <c r="K39" s="2"/>
      <c r="L39" s="2">
        <f t="shared" si="0"/>
        <v>-442.38</v>
      </c>
      <c r="M39" s="2"/>
      <c r="N39" s="19">
        <f t="shared" si="1"/>
        <v>-1</v>
      </c>
      <c r="O39" s="11"/>
      <c r="P39" s="2">
        <f t="shared" ref="P39:P45" si="10">0</f>
        <v>0</v>
      </c>
      <c r="Q39" s="2"/>
      <c r="R39" s="19"/>
      <c r="S39" s="2"/>
      <c r="T39" s="2">
        <f>--482.38</f>
        <v>482.38</v>
      </c>
      <c r="U39" s="2"/>
      <c r="V39" s="19"/>
      <c r="W39" s="2"/>
      <c r="X39" s="2">
        <f t="shared" si="2"/>
        <v>-482.38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"4081", " - ", "TAXABLE SALES-ELECTRONICS")</f>
        <v xml:space="preserve">          4081 - TAXABLE SALES-ELECTRONICS</v>
      </c>
      <c r="C40" s="11"/>
      <c r="D40" s="2">
        <f t="shared" si="9"/>
        <v>0</v>
      </c>
      <c r="E40" s="2"/>
      <c r="F40" s="19"/>
      <c r="G40" s="2"/>
      <c r="H40" s="2">
        <f>--260.88</f>
        <v>260.88</v>
      </c>
      <c r="I40" s="2"/>
      <c r="J40" s="19"/>
      <c r="K40" s="2"/>
      <c r="L40" s="2">
        <f t="shared" si="0"/>
        <v>-260.88</v>
      </c>
      <c r="M40" s="2"/>
      <c r="N40" s="19">
        <f t="shared" si="1"/>
        <v>-1</v>
      </c>
      <c r="O40" s="11"/>
      <c r="P40" s="2">
        <f t="shared" si="10"/>
        <v>0</v>
      </c>
      <c r="Q40" s="2"/>
      <c r="R40" s="19"/>
      <c r="S40" s="2"/>
      <c r="T40" s="2">
        <f>--268.86</f>
        <v>268.86</v>
      </c>
      <c r="U40" s="2"/>
      <c r="V40" s="19"/>
      <c r="W40" s="2"/>
      <c r="X40" s="2">
        <f t="shared" si="2"/>
        <v>-268.86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 t="shared" si="9"/>
        <v>0</v>
      </c>
      <c r="E41" s="2"/>
      <c r="F41" s="19"/>
      <c r="G41" s="2"/>
      <c r="H41" s="2">
        <f>--19</f>
        <v>19</v>
      </c>
      <c r="I41" s="2"/>
      <c r="J41" s="19"/>
      <c r="K41" s="2"/>
      <c r="L41" s="2">
        <f t="shared" si="0"/>
        <v>-19</v>
      </c>
      <c r="M41" s="2"/>
      <c r="N41" s="19">
        <f t="shared" si="1"/>
        <v>-1</v>
      </c>
      <c r="O41" s="11"/>
      <c r="P41" s="2">
        <f t="shared" si="10"/>
        <v>0</v>
      </c>
      <c r="Q41" s="2"/>
      <c r="R41" s="19"/>
      <c r="S41" s="2"/>
      <c r="T41" s="2">
        <f>--38</f>
        <v>38</v>
      </c>
      <c r="U41" s="2"/>
      <c r="V41" s="19"/>
      <c r="W41" s="2"/>
      <c r="X41" s="2">
        <f t="shared" si="2"/>
        <v>-38</v>
      </c>
      <c r="Y41" s="2"/>
      <c r="Z41" s="19">
        <f t="shared" si="3"/>
        <v>-1</v>
      </c>
    </row>
    <row r="42" spans="1:26" s="24" customFormat="1" hidden="1" outlineLevel="1" x14ac:dyDescent="0.25">
      <c r="A42" s="44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 t="shared" si="9"/>
        <v>0</v>
      </c>
      <c r="E42" s="2"/>
      <c r="F42" s="19"/>
      <c r="G42" s="2"/>
      <c r="H42" s="2">
        <f>--29.98</f>
        <v>29.98</v>
      </c>
      <c r="I42" s="2"/>
      <c r="J42" s="19"/>
      <c r="K42" s="2"/>
      <c r="L42" s="2">
        <f t="shared" si="0"/>
        <v>-29.98</v>
      </c>
      <c r="M42" s="2"/>
      <c r="N42" s="19">
        <f t="shared" si="1"/>
        <v>-1</v>
      </c>
      <c r="O42" s="11"/>
      <c r="P42" s="2">
        <f t="shared" si="10"/>
        <v>0</v>
      </c>
      <c r="Q42" s="2"/>
      <c r="R42" s="19"/>
      <c r="S42" s="2"/>
      <c r="T42" s="2">
        <f>--29.98</f>
        <v>29.98</v>
      </c>
      <c r="U42" s="2"/>
      <c r="V42" s="19"/>
      <c r="W42" s="2"/>
      <c r="X42" s="2">
        <f t="shared" si="2"/>
        <v>-29.98</v>
      </c>
      <c r="Y42" s="2"/>
      <c r="Z42" s="19">
        <f t="shared" si="3"/>
        <v>-1</v>
      </c>
    </row>
    <row r="43" spans="1:26" s="24" customFormat="1" hidden="1" outlineLevel="1" x14ac:dyDescent="0.25">
      <c r="A43" s="44"/>
      <c r="B43" s="11" t="str">
        <f>CONCATENATE("          ", "4086", " - ", "TAXABLE SALES-COMPUTER SUPPLIE")</f>
        <v xml:space="preserve">          4086 - TAXABLE SALES-COMPUTER SUPPLIE</v>
      </c>
      <c r="C43" s="11"/>
      <c r="D43" s="2">
        <f t="shared" si="9"/>
        <v>0</v>
      </c>
      <c r="E43" s="2"/>
      <c r="F43" s="19"/>
      <c r="G43" s="2"/>
      <c r="H43" s="2">
        <f>--93.96</f>
        <v>93.96</v>
      </c>
      <c r="I43" s="2"/>
      <c r="J43" s="19"/>
      <c r="K43" s="2"/>
      <c r="L43" s="2">
        <f t="shared" si="0"/>
        <v>-93.96</v>
      </c>
      <c r="M43" s="2"/>
      <c r="N43" s="19">
        <f t="shared" si="1"/>
        <v>-1</v>
      </c>
      <c r="O43" s="11"/>
      <c r="P43" s="2">
        <f t="shared" si="10"/>
        <v>0</v>
      </c>
      <c r="Q43" s="2"/>
      <c r="R43" s="19"/>
      <c r="S43" s="2"/>
      <c r="T43" s="2">
        <f>--108.95</f>
        <v>108.95</v>
      </c>
      <c r="U43" s="2"/>
      <c r="V43" s="19"/>
      <c r="W43" s="2"/>
      <c r="X43" s="2">
        <f t="shared" si="2"/>
        <v>-108.95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"4092", " - ", "TAXABLE SALES-GRAD MERCH")</f>
        <v xml:space="preserve">          4092 - TAXABLE SALES-GRAD MERCH</v>
      </c>
      <c r="C44" s="11"/>
      <c r="D44" s="2">
        <f t="shared" si="9"/>
        <v>0</v>
      </c>
      <c r="E44" s="2"/>
      <c r="F44" s="19"/>
      <c r="G44" s="2"/>
      <c r="H44" s="2">
        <f>--1694.1</f>
        <v>1694.1</v>
      </c>
      <c r="I44" s="2"/>
      <c r="J44" s="19"/>
      <c r="K44" s="2"/>
      <c r="L44" s="2">
        <f t="shared" si="0"/>
        <v>-1694.1</v>
      </c>
      <c r="M44" s="2"/>
      <c r="N44" s="19">
        <f t="shared" si="1"/>
        <v>-1</v>
      </c>
      <c r="O44" s="11"/>
      <c r="P44" s="2">
        <f t="shared" si="10"/>
        <v>0</v>
      </c>
      <c r="Q44" s="2"/>
      <c r="R44" s="19"/>
      <c r="S44" s="2"/>
      <c r="T44" s="2">
        <f>--3822.73</f>
        <v>3822.73</v>
      </c>
      <c r="U44" s="2"/>
      <c r="V44" s="19"/>
      <c r="W44" s="2"/>
      <c r="X44" s="2">
        <f t="shared" si="2"/>
        <v>-3822.73</v>
      </c>
      <c r="Y44" s="2"/>
      <c r="Z44" s="19">
        <f t="shared" si="3"/>
        <v>-1</v>
      </c>
    </row>
    <row r="45" spans="1:26" s="24" customFormat="1" hidden="1" outlineLevel="1" x14ac:dyDescent="0.25">
      <c r="A45" s="44"/>
      <c r="B45" s="11" t="str">
        <f>CONCATENATE("          ", "4095", " - ", "TAXABLE SALES-CUSTOMER SERVICE")</f>
        <v xml:space="preserve">          4095 - TAXABLE SALES-CUSTOMER SERVICE</v>
      </c>
      <c r="C45" s="11"/>
      <c r="D45" s="2">
        <f t="shared" si="9"/>
        <v>0</v>
      </c>
      <c r="E45" s="2"/>
      <c r="F45" s="19"/>
      <c r="G45" s="2"/>
      <c r="H45" s="2">
        <f>--127.49</f>
        <v>127.49</v>
      </c>
      <c r="I45" s="2"/>
      <c r="J45" s="19"/>
      <c r="K45" s="2"/>
      <c r="L45" s="2">
        <f t="shared" si="0"/>
        <v>-127.49</v>
      </c>
      <c r="M45" s="2"/>
      <c r="N45" s="19">
        <f t="shared" si="1"/>
        <v>-1</v>
      </c>
      <c r="O45" s="11"/>
      <c r="P45" s="2">
        <f t="shared" si="10"/>
        <v>0</v>
      </c>
      <c r="Q45" s="2"/>
      <c r="R45" s="19"/>
      <c r="S45" s="2"/>
      <c r="T45" s="2">
        <f>--174.02</f>
        <v>174.02</v>
      </c>
      <c r="U45" s="2"/>
      <c r="V45" s="19"/>
      <c r="W45" s="2"/>
      <c r="X45" s="2">
        <f t="shared" si="2"/>
        <v>-174.02</v>
      </c>
      <c r="Y45" s="2"/>
      <c r="Z45" s="19">
        <f t="shared" si="3"/>
        <v>-1</v>
      </c>
    </row>
    <row r="46" spans="1:26" s="24" customFormat="1" hidden="1" outlineLevel="1" x14ac:dyDescent="0.25">
      <c r="A46" s="44"/>
      <c r="B46" s="11" t="str">
        <f>CONCATENATE("          ", "4100", " - ", "NON-TAXABLE SALES")</f>
        <v xml:space="preserve">          4100 - NON-TAXABLE SALES</v>
      </c>
      <c r="C46" s="11"/>
      <c r="D46" s="2">
        <f>--150360.03</f>
        <v>150360.03</v>
      </c>
      <c r="E46" s="2"/>
      <c r="F46" s="19"/>
      <c r="G46" s="2"/>
      <c r="H46" s="2">
        <f>--261252.23</f>
        <v>261252.23</v>
      </c>
      <c r="I46" s="2"/>
      <c r="J46" s="19"/>
      <c r="K46" s="2"/>
      <c r="L46" s="2">
        <f t="shared" si="0"/>
        <v>-110892.20000000001</v>
      </c>
      <c r="M46" s="2"/>
      <c r="N46" s="19">
        <f t="shared" si="1"/>
        <v>-0.42446412801911781</v>
      </c>
      <c r="O46" s="11"/>
      <c r="P46" s="2">
        <f>--153398.33</f>
        <v>153398.32999999999</v>
      </c>
      <c r="Q46" s="2"/>
      <c r="R46" s="19"/>
      <c r="S46" s="2"/>
      <c r="T46" s="2">
        <f>--265514.43</f>
        <v>265514.43</v>
      </c>
      <c r="U46" s="2"/>
      <c r="V46" s="19"/>
      <c r="W46" s="2"/>
      <c r="X46" s="2">
        <f t="shared" si="2"/>
        <v>-112116.1</v>
      </c>
      <c r="Y46" s="2"/>
      <c r="Z46" s="19">
        <f t="shared" si="3"/>
        <v>-0.42225991257800943</v>
      </c>
    </row>
    <row r="47" spans="1:26" s="24" customFormat="1" hidden="1" outlineLevel="1" x14ac:dyDescent="0.25">
      <c r="A47" s="44"/>
      <c r="B47" s="11" t="str">
        <f>CONCATENATE("          ", "4101", " - ", "NON-TAXABLE SALES-NEW TEXT")</f>
        <v xml:space="preserve">          4101 - NON-TAXABLE SALES-NEW TEXT</v>
      </c>
      <c r="C47" s="11"/>
      <c r="D47" s="2">
        <f>--41238.82</f>
        <v>41238.82</v>
      </c>
      <c r="E47" s="2"/>
      <c r="F47" s="19"/>
      <c r="G47" s="2"/>
      <c r="H47" s="2">
        <f>--48156.44</f>
        <v>48156.44</v>
      </c>
      <c r="I47" s="2"/>
      <c r="J47" s="19"/>
      <c r="K47" s="2"/>
      <c r="L47" s="2">
        <f t="shared" si="0"/>
        <v>-6917.6200000000026</v>
      </c>
      <c r="M47" s="2"/>
      <c r="N47" s="19">
        <f t="shared" si="1"/>
        <v>-0.14364890760197394</v>
      </c>
      <c r="O47" s="11"/>
      <c r="P47" s="2">
        <f>--51580.68</f>
        <v>51580.68</v>
      </c>
      <c r="Q47" s="2"/>
      <c r="R47" s="19"/>
      <c r="S47" s="2"/>
      <c r="T47" s="2">
        <f>--55893.02</f>
        <v>55893.02</v>
      </c>
      <c r="U47" s="2"/>
      <c r="V47" s="19"/>
      <c r="W47" s="2"/>
      <c r="X47" s="2">
        <f t="shared" si="2"/>
        <v>-4312.3399999999965</v>
      </c>
      <c r="Y47" s="2"/>
      <c r="Z47" s="19">
        <f t="shared" si="3"/>
        <v>-7.7153462095982589E-2</v>
      </c>
    </row>
    <row r="48" spans="1:26" s="24" customFormat="1" hidden="1" outlineLevel="1" x14ac:dyDescent="0.25">
      <c r="A48" s="44"/>
      <c r="B48" s="11" t="str">
        <f>CONCATENATE("          ", "4102", " - ", "NON-TAXABLE SALES-USED TEXT")</f>
        <v xml:space="preserve">          4102 - NON-TAXABLE SALES-USED TEXT</v>
      </c>
      <c r="C48" s="11"/>
      <c r="D48" s="2">
        <f>--17373.3</f>
        <v>17373.3</v>
      </c>
      <c r="E48" s="2"/>
      <c r="F48" s="19"/>
      <c r="G48" s="2"/>
      <c r="H48" s="2">
        <f>--27115.09</f>
        <v>27115.09</v>
      </c>
      <c r="I48" s="2"/>
      <c r="J48" s="19"/>
      <c r="K48" s="2"/>
      <c r="L48" s="2">
        <f t="shared" si="0"/>
        <v>-9741.7900000000009</v>
      </c>
      <c r="M48" s="2"/>
      <c r="N48" s="19">
        <f t="shared" si="1"/>
        <v>-0.35927559156174665</v>
      </c>
      <c r="O48" s="11"/>
      <c r="P48" s="2">
        <f>--21563.74</f>
        <v>21563.74</v>
      </c>
      <c r="Q48" s="2"/>
      <c r="R48" s="19"/>
      <c r="S48" s="2"/>
      <c r="T48" s="2">
        <f>--32474.33</f>
        <v>32474.33</v>
      </c>
      <c r="U48" s="2"/>
      <c r="V48" s="19"/>
      <c r="W48" s="2"/>
      <c r="X48" s="2">
        <f t="shared" si="2"/>
        <v>-10910.59</v>
      </c>
      <c r="Y48" s="2"/>
      <c r="Z48" s="19">
        <f t="shared" si="3"/>
        <v>-0.33597583075616955</v>
      </c>
    </row>
    <row r="49" spans="1:26" s="24" customFormat="1" hidden="1" outlineLevel="1" x14ac:dyDescent="0.25">
      <c r="A49" s="44"/>
      <c r="B49" s="11" t="str">
        <f>CONCATENATE("          ", "4103", " - ", "NON-TAXABLE SALES-RENTAL TEXT")</f>
        <v xml:space="preserve">          4103 - NON-TAXABLE SALES-RENTAL TEXT</v>
      </c>
      <c r="C49" s="11"/>
      <c r="D49" s="2">
        <f>0</f>
        <v>0</v>
      </c>
      <c r="E49" s="2"/>
      <c r="F49" s="19"/>
      <c r="G49" s="2"/>
      <c r="H49" s="2">
        <f>--474.97</f>
        <v>474.97</v>
      </c>
      <c r="I49" s="2"/>
      <c r="J49" s="19"/>
      <c r="K49" s="2"/>
      <c r="L49" s="2">
        <f t="shared" si="0"/>
        <v>-474.97</v>
      </c>
      <c r="M49" s="2"/>
      <c r="N49" s="19">
        <f t="shared" si="1"/>
        <v>-1</v>
      </c>
      <c r="O49" s="11"/>
      <c r="P49" s="2">
        <f>0</f>
        <v>0</v>
      </c>
      <c r="Q49" s="2"/>
      <c r="R49" s="19"/>
      <c r="S49" s="2"/>
      <c r="T49" s="2">
        <f>--474.97</f>
        <v>474.97</v>
      </c>
      <c r="U49" s="2"/>
      <c r="V49" s="19"/>
      <c r="W49" s="2"/>
      <c r="X49" s="2">
        <f t="shared" si="2"/>
        <v>-474.97</v>
      </c>
      <c r="Y49" s="2"/>
      <c r="Z49" s="19">
        <f t="shared" si="3"/>
        <v>-1</v>
      </c>
    </row>
    <row r="50" spans="1:26" s="24" customFormat="1" hidden="1" outlineLevel="1" x14ac:dyDescent="0.25">
      <c r="A50" s="44"/>
      <c r="B50" s="11" t="str">
        <f>CONCATENATE("          ", "4104", " - ", "NON-TAXABLE SALES-DIGITAL TEXT")</f>
        <v xml:space="preserve">          4104 - NON-TAXABLE SALES-DIGITAL TEXT</v>
      </c>
      <c r="C50" s="11"/>
      <c r="D50" s="2">
        <f>--205404.66</f>
        <v>205404.66</v>
      </c>
      <c r="E50" s="2"/>
      <c r="F50" s="19"/>
      <c r="G50" s="2"/>
      <c r="H50" s="2">
        <f>--246443.9</f>
        <v>246443.9</v>
      </c>
      <c r="I50" s="2"/>
      <c r="J50" s="19"/>
      <c r="K50" s="2"/>
      <c r="L50" s="2">
        <f t="shared" si="0"/>
        <v>-41039.239999999991</v>
      </c>
      <c r="M50" s="2"/>
      <c r="N50" s="19">
        <f t="shared" si="1"/>
        <v>-0.16652568799633505</v>
      </c>
      <c r="O50" s="11"/>
      <c r="P50" s="2">
        <f>--212890.18</f>
        <v>212890.18</v>
      </c>
      <c r="Q50" s="2"/>
      <c r="R50" s="19"/>
      <c r="S50" s="2"/>
      <c r="T50" s="2">
        <f>--259868.07</f>
        <v>259868.07</v>
      </c>
      <c r="U50" s="2"/>
      <c r="V50" s="19"/>
      <c r="W50" s="2"/>
      <c r="X50" s="2">
        <f t="shared" si="2"/>
        <v>-46977.890000000014</v>
      </c>
      <c r="Y50" s="2"/>
      <c r="Z50" s="19">
        <f t="shared" si="3"/>
        <v>-0.18077592218235974</v>
      </c>
    </row>
    <row r="51" spans="1:26" s="24" customFormat="1" hidden="1" outlineLevel="1" x14ac:dyDescent="0.25">
      <c r="A51" s="44"/>
      <c r="B51" s="11" t="str">
        <f>CONCATENATE("          ", "4111", " - ", "NON-TAXABLE SALES-NO VALUE TEX")</f>
        <v xml:space="preserve">          4111 - NON-TAXABLE SALES-NO VALUE TEX</v>
      </c>
      <c r="C51" s="11"/>
      <c r="D51" s="2">
        <f t="shared" ref="D51:D52" si="11">0</f>
        <v>0</v>
      </c>
      <c r="E51" s="2"/>
      <c r="F51" s="19"/>
      <c r="G51" s="2"/>
      <c r="H51" s="2">
        <f>--3067.16</f>
        <v>3067.16</v>
      </c>
      <c r="I51" s="2"/>
      <c r="J51" s="19"/>
      <c r="K51" s="2"/>
      <c r="L51" s="2">
        <f t="shared" si="0"/>
        <v>-3067.16</v>
      </c>
      <c r="M51" s="2"/>
      <c r="N51" s="19">
        <f t="shared" si="1"/>
        <v>-1</v>
      </c>
      <c r="O51" s="11"/>
      <c r="P51" s="2">
        <f t="shared" ref="P51:P52" si="12">0</f>
        <v>0</v>
      </c>
      <c r="Q51" s="2"/>
      <c r="R51" s="19"/>
      <c r="S51" s="2"/>
      <c r="T51" s="2">
        <f>--5748.11</f>
        <v>5748.11</v>
      </c>
      <c r="U51" s="2"/>
      <c r="V51" s="19"/>
      <c r="W51" s="2"/>
      <c r="X51" s="2">
        <f t="shared" si="2"/>
        <v>-5748.11</v>
      </c>
      <c r="Y51" s="2"/>
      <c r="Z51" s="19">
        <f t="shared" si="3"/>
        <v>-1</v>
      </c>
    </row>
    <row r="52" spans="1:26" s="24" customFormat="1" hidden="1" outlineLevel="1" x14ac:dyDescent="0.25">
      <c r="A52" s="44"/>
      <c r="B52" s="11" t="str">
        <f>CONCATENATE("          ", "4113", " - ", "NON-TAXABLE SALES-TRADE BOOKS")</f>
        <v xml:space="preserve">          4113 - NON-TAXABLE SALES-TRADE BOOKS</v>
      </c>
      <c r="C52" s="11"/>
      <c r="D52" s="2">
        <f t="shared" si="11"/>
        <v>0</v>
      </c>
      <c r="E52" s="2"/>
      <c r="F52" s="19"/>
      <c r="G52" s="2"/>
      <c r="H52" s="2">
        <f>--12.72</f>
        <v>12.72</v>
      </c>
      <c r="I52" s="2"/>
      <c r="J52" s="19"/>
      <c r="K52" s="2"/>
      <c r="L52" s="2">
        <f t="shared" si="0"/>
        <v>-12.72</v>
      </c>
      <c r="M52" s="2"/>
      <c r="N52" s="19">
        <f t="shared" si="1"/>
        <v>-1</v>
      </c>
      <c r="O52" s="11"/>
      <c r="P52" s="2">
        <f t="shared" si="12"/>
        <v>0</v>
      </c>
      <c r="Q52" s="2"/>
      <c r="R52" s="19"/>
      <c r="S52" s="2"/>
      <c r="T52" s="2">
        <f>--1146.72</f>
        <v>1146.72</v>
      </c>
      <c r="U52" s="2"/>
      <c r="V52" s="19"/>
      <c r="W52" s="2"/>
      <c r="X52" s="2">
        <f t="shared" si="2"/>
        <v>-1146.72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"4118", " - ", "NON-TAXABLE SALES-STUDY GUIDES")</f>
        <v xml:space="preserve">          4118 - NON-TAXABLE SALES-STUDY GUIDES</v>
      </c>
      <c r="C53" s="11"/>
      <c r="D53" s="2">
        <f>--47.87</f>
        <v>47.87</v>
      </c>
      <c r="E53" s="2"/>
      <c r="F53" s="19"/>
      <c r="G53" s="2"/>
      <c r="H53" s="2">
        <f>--7.02</f>
        <v>7.02</v>
      </c>
      <c r="I53" s="2"/>
      <c r="J53" s="19"/>
      <c r="K53" s="2"/>
      <c r="L53" s="2">
        <f t="shared" si="0"/>
        <v>40.849999999999994</v>
      </c>
      <c r="M53" s="2"/>
      <c r="N53" s="19">
        <f t="shared" si="1"/>
        <v>5.8190883190883183</v>
      </c>
      <c r="O53" s="11"/>
      <c r="P53" s="2">
        <f>--101.83</f>
        <v>101.83</v>
      </c>
      <c r="Q53" s="2"/>
      <c r="R53" s="19"/>
      <c r="S53" s="2"/>
      <c r="T53" s="2">
        <f>--13.97</f>
        <v>13.97</v>
      </c>
      <c r="U53" s="2"/>
      <c r="V53" s="19"/>
      <c r="W53" s="2"/>
      <c r="X53" s="2">
        <f t="shared" si="2"/>
        <v>87.86</v>
      </c>
      <c r="Y53" s="2"/>
      <c r="Z53" s="19">
        <f t="shared" si="3"/>
        <v>6.289191123836793</v>
      </c>
    </row>
    <row r="54" spans="1:26" s="24" customFormat="1" hidden="1" outlineLevel="1" x14ac:dyDescent="0.25">
      <c r="A54" s="44"/>
      <c r="B54" s="11" t="str">
        <f>CONCATENATE("          ", "4125", " - ", "NON-TAXABLE SALES-TEST FORMS")</f>
        <v xml:space="preserve">          4125 - NON-TAXABLE SALES-TEST FORMS</v>
      </c>
      <c r="C54" s="11"/>
      <c r="D54" s="2">
        <f t="shared" ref="D54:D55" si="13">0</f>
        <v>0</v>
      </c>
      <c r="E54" s="2"/>
      <c r="F54" s="19"/>
      <c r="G54" s="2"/>
      <c r="H54" s="2">
        <f>--77.17</f>
        <v>77.17</v>
      </c>
      <c r="I54" s="2"/>
      <c r="J54" s="19"/>
      <c r="K54" s="2"/>
      <c r="L54" s="2">
        <f t="shared" si="0"/>
        <v>-77.17</v>
      </c>
      <c r="M54" s="2"/>
      <c r="N54" s="19">
        <f t="shared" si="1"/>
        <v>-1</v>
      </c>
      <c r="O54" s="11"/>
      <c r="P54" s="2">
        <f>0</f>
        <v>0</v>
      </c>
      <c r="Q54" s="2"/>
      <c r="R54" s="19"/>
      <c r="S54" s="2"/>
      <c r="T54" s="2">
        <f>--82.15</f>
        <v>82.15</v>
      </c>
      <c r="U54" s="2"/>
      <c r="V54" s="19"/>
      <c r="W54" s="2"/>
      <c r="X54" s="2">
        <f t="shared" si="2"/>
        <v>-82.15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"4126", " - ", "NON-TAXABLE SALES-WRITING INST")</f>
        <v xml:space="preserve">          4126 - NON-TAXABLE SALES-WRITING INST</v>
      </c>
      <c r="C55" s="11"/>
      <c r="D55" s="2">
        <f t="shared" si="13"/>
        <v>0</v>
      </c>
      <c r="E55" s="2"/>
      <c r="F55" s="19"/>
      <c r="G55" s="2"/>
      <c r="H55" s="2">
        <f>--844.09</f>
        <v>844.09</v>
      </c>
      <c r="I55" s="2"/>
      <c r="J55" s="19"/>
      <c r="K55" s="2"/>
      <c r="L55" s="2">
        <f t="shared" si="0"/>
        <v>-844.09</v>
      </c>
      <c r="M55" s="2"/>
      <c r="N55" s="19">
        <f t="shared" si="1"/>
        <v>-1</v>
      </c>
      <c r="O55" s="11"/>
      <c r="P55" s="2">
        <f>--52.68</f>
        <v>52.68</v>
      </c>
      <c r="Q55" s="2"/>
      <c r="R55" s="19"/>
      <c r="S55" s="2"/>
      <c r="T55" s="2">
        <f>--1011.12</f>
        <v>1011.12</v>
      </c>
      <c r="U55" s="2"/>
      <c r="V55" s="19"/>
      <c r="W55" s="2"/>
      <c r="X55" s="2">
        <f t="shared" si="2"/>
        <v>-958.44</v>
      </c>
      <c r="Y55" s="2"/>
      <c r="Z55" s="19">
        <f t="shared" si="3"/>
        <v>-0.94789935912651324</v>
      </c>
    </row>
    <row r="56" spans="1:26" s="24" customFormat="1" hidden="1" outlineLevel="1" x14ac:dyDescent="0.25">
      <c r="A56" s="44"/>
      <c r="B56" s="11" t="str">
        <f>CONCATENATE("          ", "4127", " - ", "NON-TAXABLE SALES-SCHOOL SUPPL")</f>
        <v xml:space="preserve">          4127 - NON-TAXABLE SALES-SCHOOL SUPPL</v>
      </c>
      <c r="C56" s="11"/>
      <c r="D56" s="2">
        <f>--1788.16</f>
        <v>1788.16</v>
      </c>
      <c r="E56" s="2"/>
      <c r="F56" s="19"/>
      <c r="G56" s="2"/>
      <c r="H56" s="2">
        <f>--1692.39</f>
        <v>1692.39</v>
      </c>
      <c r="I56" s="2"/>
      <c r="J56" s="19"/>
      <c r="K56" s="2"/>
      <c r="L56" s="2">
        <f t="shared" si="0"/>
        <v>95.769999999999982</v>
      </c>
      <c r="M56" s="2"/>
      <c r="N56" s="19">
        <f t="shared" si="1"/>
        <v>5.658861137208325E-2</v>
      </c>
      <c r="O56" s="11"/>
      <c r="P56" s="2">
        <f>--1860.41</f>
        <v>1860.41</v>
      </c>
      <c r="Q56" s="2"/>
      <c r="R56" s="19"/>
      <c r="S56" s="2"/>
      <c r="T56" s="2">
        <f>--1870.28</f>
        <v>1870.28</v>
      </c>
      <c r="U56" s="2"/>
      <c r="V56" s="19"/>
      <c r="W56" s="2"/>
      <c r="X56" s="2">
        <f t="shared" si="2"/>
        <v>-9.8699999999998909</v>
      </c>
      <c r="Y56" s="2"/>
      <c r="Z56" s="19">
        <f t="shared" si="3"/>
        <v>-5.2772846846460908E-3</v>
      </c>
    </row>
    <row r="57" spans="1:26" s="24" customFormat="1" hidden="1" outlineLevel="1" x14ac:dyDescent="0.25">
      <c r="A57" s="44"/>
      <c r="B57" s="11" t="str">
        <f>CONCATENATE("          ", "4128", " - ", "NON-TAXABLE SALES-ART/TECH")</f>
        <v xml:space="preserve">          4128 - NON-TAXABLE SALES-ART/TECH</v>
      </c>
      <c r="C57" s="11"/>
      <c r="D57" s="2">
        <f>0</f>
        <v>0</v>
      </c>
      <c r="E57" s="2"/>
      <c r="F57" s="19"/>
      <c r="G57" s="2"/>
      <c r="H57" s="2">
        <f>--128.61</f>
        <v>128.61000000000001</v>
      </c>
      <c r="I57" s="2"/>
      <c r="J57" s="19"/>
      <c r="K57" s="2"/>
      <c r="L57" s="2">
        <f t="shared" si="0"/>
        <v>-128.61000000000001</v>
      </c>
      <c r="M57" s="2"/>
      <c r="N57" s="19">
        <f t="shared" si="1"/>
        <v>-1</v>
      </c>
      <c r="O57" s="11"/>
      <c r="P57" s="2">
        <f>0</f>
        <v>0</v>
      </c>
      <c r="Q57" s="2"/>
      <c r="R57" s="19"/>
      <c r="S57" s="2"/>
      <c r="T57" s="2">
        <f>--130.1</f>
        <v>130.1</v>
      </c>
      <c r="U57" s="2"/>
      <c r="V57" s="19"/>
      <c r="W57" s="2"/>
      <c r="X57" s="2">
        <f t="shared" si="2"/>
        <v>-130.1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"4131", " - ", "NON-TAXABLE SALES-FOOD")</f>
        <v xml:space="preserve">          4131 - NON-TAXABLE SALES-FOOD</v>
      </c>
      <c r="C58" s="11"/>
      <c r="D58" s="2">
        <f>--1575.79</f>
        <v>1575.79</v>
      </c>
      <c r="E58" s="2"/>
      <c r="F58" s="19"/>
      <c r="G58" s="2"/>
      <c r="H58" s="2">
        <f>--2447.58</f>
        <v>2447.58</v>
      </c>
      <c r="I58" s="2"/>
      <c r="J58" s="19"/>
      <c r="K58" s="2"/>
      <c r="L58" s="2">
        <f t="shared" si="0"/>
        <v>-871.79</v>
      </c>
      <c r="M58" s="2"/>
      <c r="N58" s="19">
        <f t="shared" si="1"/>
        <v>-0.35618447609475479</v>
      </c>
      <c r="O58" s="11"/>
      <c r="P58" s="2">
        <f>--1835.22</f>
        <v>1835.22</v>
      </c>
      <c r="Q58" s="2"/>
      <c r="R58" s="19"/>
      <c r="S58" s="2"/>
      <c r="T58" s="2">
        <f>--2717.2</f>
        <v>2717.2</v>
      </c>
      <c r="U58" s="2"/>
      <c r="V58" s="19"/>
      <c r="W58" s="2"/>
      <c r="X58" s="2">
        <f t="shared" si="2"/>
        <v>-881.97999999999979</v>
      </c>
      <c r="Y58" s="2"/>
      <c r="Z58" s="19">
        <f t="shared" si="3"/>
        <v>-0.3245914912409833</v>
      </c>
    </row>
    <row r="59" spans="1:26" s="24" customFormat="1" hidden="1" outlineLevel="1" x14ac:dyDescent="0.25">
      <c r="A59" s="44"/>
      <c r="B59" s="11" t="str">
        <f>CONCATENATE("          ", "4132", " - ", "NON-TAXABLE SALES-JUICE")</f>
        <v xml:space="preserve">          4132 - NON-TAXABLE SALES-JUICE</v>
      </c>
      <c r="C59" s="11"/>
      <c r="D59" s="2">
        <f>0</f>
        <v>0</v>
      </c>
      <c r="E59" s="2"/>
      <c r="F59" s="19"/>
      <c r="G59" s="2"/>
      <c r="H59" s="2">
        <f>--713.6</f>
        <v>713.6</v>
      </c>
      <c r="I59" s="2"/>
      <c r="J59" s="19"/>
      <c r="K59" s="2"/>
      <c r="L59" s="2">
        <f t="shared" si="0"/>
        <v>-713.6</v>
      </c>
      <c r="M59" s="2"/>
      <c r="N59" s="19">
        <f t="shared" si="1"/>
        <v>-1</v>
      </c>
      <c r="O59" s="11"/>
      <c r="P59" s="2">
        <f>--22.49</f>
        <v>22.49</v>
      </c>
      <c r="Q59" s="2"/>
      <c r="R59" s="19"/>
      <c r="S59" s="2"/>
      <c r="T59" s="2">
        <f>--758.91</f>
        <v>758.91</v>
      </c>
      <c r="U59" s="2"/>
      <c r="V59" s="19"/>
      <c r="W59" s="2"/>
      <c r="X59" s="2">
        <f t="shared" si="2"/>
        <v>-736.42</v>
      </c>
      <c r="Y59" s="2"/>
      <c r="Z59" s="19">
        <f t="shared" si="3"/>
        <v>-0.97036539247078046</v>
      </c>
    </row>
    <row r="60" spans="1:26" s="24" customFormat="1" hidden="1" outlineLevel="1" x14ac:dyDescent="0.25">
      <c r="A60" s="44"/>
      <c r="B60" s="11" t="str">
        <f>CONCATENATE("          ", "4133", " - ", "NON-TAXABLE SALES-CANDY")</f>
        <v xml:space="preserve">          4133 - NON-TAXABLE SALES-CANDY</v>
      </c>
      <c r="C60" s="11"/>
      <c r="D60" s="2">
        <f>--12.43</f>
        <v>12.43</v>
      </c>
      <c r="E60" s="2"/>
      <c r="F60" s="19"/>
      <c r="G60" s="2"/>
      <c r="H60" s="2">
        <f>--900.13</f>
        <v>900.13</v>
      </c>
      <c r="I60" s="2"/>
      <c r="J60" s="19"/>
      <c r="K60" s="2"/>
      <c r="L60" s="2">
        <f t="shared" si="0"/>
        <v>-887.7</v>
      </c>
      <c r="M60" s="2"/>
      <c r="N60" s="19">
        <f t="shared" si="1"/>
        <v>-0.98619088353904438</v>
      </c>
      <c r="O60" s="11"/>
      <c r="P60" s="2">
        <f>--80.71</f>
        <v>80.709999999999994</v>
      </c>
      <c r="Q60" s="2"/>
      <c r="R60" s="19"/>
      <c r="S60" s="2"/>
      <c r="T60" s="2">
        <f>--1372.35</f>
        <v>1372.35</v>
      </c>
      <c r="U60" s="2"/>
      <c r="V60" s="19"/>
      <c r="W60" s="2"/>
      <c r="X60" s="2">
        <f t="shared" si="2"/>
        <v>-1291.6399999999999</v>
      </c>
      <c r="Y60" s="2"/>
      <c r="Z60" s="19">
        <f t="shared" si="3"/>
        <v>-0.94118847232848757</v>
      </c>
    </row>
    <row r="61" spans="1:26" s="24" customFormat="1" hidden="1" outlineLevel="1" x14ac:dyDescent="0.25">
      <c r="A61" s="44"/>
      <c r="B61" s="11" t="str">
        <f>CONCATENATE("          ", "4134", " - ", "NON-TAXABLE SALES-SODA")</f>
        <v xml:space="preserve">          4134 - NON-TAXABLE SALES-SODA</v>
      </c>
      <c r="C61" s="11"/>
      <c r="D61" s="2">
        <f t="shared" ref="D61:D63" si="14">0</f>
        <v>0</v>
      </c>
      <c r="E61" s="2"/>
      <c r="F61" s="19"/>
      <c r="G61" s="2"/>
      <c r="H61" s="2">
        <f>0</f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>--45.53</f>
        <v>45.53</v>
      </c>
      <c r="Q61" s="2"/>
      <c r="R61" s="19"/>
      <c r="S61" s="2"/>
      <c r="T61" s="2">
        <f>0</f>
        <v>0</v>
      </c>
      <c r="U61" s="2"/>
      <c r="V61" s="19"/>
      <c r="W61" s="2"/>
      <c r="X61" s="2">
        <f t="shared" si="2"/>
        <v>45.53</v>
      </c>
      <c r="Y61" s="2"/>
      <c r="Z61" s="19">
        <f t="shared" si="3"/>
        <v>0</v>
      </c>
    </row>
    <row r="62" spans="1:26" s="24" customFormat="1" hidden="1" outlineLevel="1" x14ac:dyDescent="0.25">
      <c r="A62" s="44"/>
      <c r="B62" s="11" t="str">
        <f>CONCATENATE("          ", "4135", " - ", "NON-TAXABLE SALES")</f>
        <v xml:space="preserve">          4135 - NON-TAXABLE SALES</v>
      </c>
      <c r="C62" s="11"/>
      <c r="D62" s="2">
        <f t="shared" si="14"/>
        <v>0</v>
      </c>
      <c r="E62" s="2"/>
      <c r="F62" s="19"/>
      <c r="G62" s="2"/>
      <c r="H62" s="2">
        <f>--32.21</f>
        <v>32.21</v>
      </c>
      <c r="I62" s="2"/>
      <c r="J62" s="19"/>
      <c r="K62" s="2"/>
      <c r="L62" s="2">
        <f t="shared" si="0"/>
        <v>-32.21</v>
      </c>
      <c r="M62" s="2"/>
      <c r="N62" s="19">
        <f t="shared" si="1"/>
        <v>-1</v>
      </c>
      <c r="O62" s="11"/>
      <c r="P62" s="2">
        <f>0</f>
        <v>0</v>
      </c>
      <c r="Q62" s="2"/>
      <c r="R62" s="19"/>
      <c r="S62" s="2"/>
      <c r="T62" s="2">
        <f>--53.75</f>
        <v>53.75</v>
      </c>
      <c r="U62" s="2"/>
      <c r="V62" s="19"/>
      <c r="W62" s="2"/>
      <c r="X62" s="2">
        <f t="shared" si="2"/>
        <v>-53.75</v>
      </c>
      <c r="Y62" s="2"/>
      <c r="Z62" s="19">
        <f t="shared" si="3"/>
        <v>-1</v>
      </c>
    </row>
    <row r="63" spans="1:26" s="24" customFormat="1" hidden="1" outlineLevel="1" x14ac:dyDescent="0.25">
      <c r="A63" s="44"/>
      <c r="B63" s="11" t="str">
        <f>CONCATENATE("          ", "4137", " - ", "NON-TAXABLE SALES-WATER")</f>
        <v xml:space="preserve">          4137 - NON-TAXABLE SALES-WATER</v>
      </c>
      <c r="C63" s="11"/>
      <c r="D63" s="2">
        <f t="shared" si="14"/>
        <v>0</v>
      </c>
      <c r="E63" s="2"/>
      <c r="F63" s="19"/>
      <c r="G63" s="2"/>
      <c r="H63" s="2">
        <f>--553.7</f>
        <v>553.70000000000005</v>
      </c>
      <c r="I63" s="2"/>
      <c r="J63" s="19"/>
      <c r="K63" s="2"/>
      <c r="L63" s="2">
        <f t="shared" si="0"/>
        <v>-553.70000000000005</v>
      </c>
      <c r="M63" s="2"/>
      <c r="N63" s="19">
        <f t="shared" si="1"/>
        <v>-1</v>
      </c>
      <c r="O63" s="11"/>
      <c r="P63" s="2">
        <f>--68.25</f>
        <v>68.25</v>
      </c>
      <c r="Q63" s="2"/>
      <c r="R63" s="19"/>
      <c r="S63" s="2"/>
      <c r="T63" s="2">
        <f>--606.72</f>
        <v>606.72</v>
      </c>
      <c r="U63" s="2"/>
      <c r="V63" s="19"/>
      <c r="W63" s="2"/>
      <c r="X63" s="2">
        <f t="shared" si="2"/>
        <v>-538.47</v>
      </c>
      <c r="Y63" s="2"/>
      <c r="Z63" s="19">
        <f t="shared" si="3"/>
        <v>-0.88750988924050633</v>
      </c>
    </row>
    <row r="64" spans="1:26" s="24" customFormat="1" hidden="1" outlineLevel="1" x14ac:dyDescent="0.25">
      <c r="A64" s="44"/>
      <c r="B64" s="11" t="str">
        <f>CONCATENATE("          ", "4140", " - ", "NON-TAXABLE SALES-LOGO CLOTHIN")</f>
        <v xml:space="preserve">          4140 - NON-TAXABLE SALES-LOGO CLOTHIN</v>
      </c>
      <c r="C64" s="11"/>
      <c r="D64" s="2">
        <f>--7266.5</f>
        <v>7266.5</v>
      </c>
      <c r="E64" s="2"/>
      <c r="F64" s="19"/>
      <c r="G64" s="2"/>
      <c r="H64" s="2">
        <f>--1979.29</f>
        <v>1979.29</v>
      </c>
      <c r="I64" s="2"/>
      <c r="J64" s="19"/>
      <c r="K64" s="2"/>
      <c r="L64" s="2">
        <f t="shared" si="0"/>
        <v>5287.21</v>
      </c>
      <c r="M64" s="2"/>
      <c r="N64" s="19">
        <f t="shared" si="1"/>
        <v>2.6712659590055021</v>
      </c>
      <c r="O64" s="11"/>
      <c r="P64" s="2">
        <f>--14112.74</f>
        <v>14112.74</v>
      </c>
      <c r="Q64" s="2"/>
      <c r="R64" s="19"/>
      <c r="S64" s="2"/>
      <c r="T64" s="2">
        <f>--5142.96</f>
        <v>5142.96</v>
      </c>
      <c r="U64" s="2"/>
      <c r="V64" s="19"/>
      <c r="W64" s="2"/>
      <c r="X64" s="2">
        <f t="shared" si="2"/>
        <v>8969.7799999999988</v>
      </c>
      <c r="Y64" s="2"/>
      <c r="Z64" s="19">
        <f t="shared" si="3"/>
        <v>1.7440890071087465</v>
      </c>
    </row>
    <row r="65" spans="1:26" s="24" customFormat="1" hidden="1" outlineLevel="1" x14ac:dyDescent="0.25">
      <c r="A65" s="44"/>
      <c r="B65" s="11" t="str">
        <f>CONCATENATE("          ", "4141", " - ", "NON-TAXABLE SALES-LOGO GIFTS")</f>
        <v xml:space="preserve">          4141 - NON-TAXABLE SALES-LOGO GIFTS</v>
      </c>
      <c r="C65" s="11"/>
      <c r="D65" s="2">
        <f>--1189.06</f>
        <v>1189.06</v>
      </c>
      <c r="E65" s="2"/>
      <c r="F65" s="19"/>
      <c r="G65" s="2"/>
      <c r="H65" s="2">
        <f>--432.15</f>
        <v>432.15</v>
      </c>
      <c r="I65" s="2"/>
      <c r="J65" s="19"/>
      <c r="K65" s="2"/>
      <c r="L65" s="2">
        <f t="shared" si="0"/>
        <v>756.91</v>
      </c>
      <c r="M65" s="2"/>
      <c r="N65" s="19">
        <f t="shared" si="1"/>
        <v>1.7514983223417795</v>
      </c>
      <c r="O65" s="11"/>
      <c r="P65" s="2">
        <f>--2389.25</f>
        <v>2389.25</v>
      </c>
      <c r="Q65" s="2"/>
      <c r="R65" s="19"/>
      <c r="S65" s="2"/>
      <c r="T65" s="2">
        <f>--694.3</f>
        <v>694.3</v>
      </c>
      <c r="U65" s="2"/>
      <c r="V65" s="19"/>
      <c r="W65" s="2"/>
      <c r="X65" s="2">
        <f t="shared" si="2"/>
        <v>1694.95</v>
      </c>
      <c r="Y65" s="2"/>
      <c r="Z65" s="19">
        <f t="shared" si="3"/>
        <v>2.4412357770416251</v>
      </c>
    </row>
    <row r="66" spans="1:26" s="24" customFormat="1" hidden="1" outlineLevel="1" x14ac:dyDescent="0.25">
      <c r="A66" s="44"/>
      <c r="B66" s="11" t="str">
        <f>CONCATENATE("          ", "4142", " - ", "NON-TAXABLE SALES-EVERYDAY GIF")</f>
        <v xml:space="preserve">          4142 - NON-TAXABLE SALES-EVERYDAY GIF</v>
      </c>
      <c r="C66" s="11"/>
      <c r="D66" s="2">
        <f>--339.4</f>
        <v>339.4</v>
      </c>
      <c r="E66" s="2"/>
      <c r="F66" s="19"/>
      <c r="G66" s="2"/>
      <c r="H66" s="2">
        <f>--577.66</f>
        <v>577.66</v>
      </c>
      <c r="I66" s="2"/>
      <c r="J66" s="19"/>
      <c r="K66" s="2"/>
      <c r="L66" s="2">
        <f t="shared" si="0"/>
        <v>-238.26</v>
      </c>
      <c r="M66" s="2"/>
      <c r="N66" s="19">
        <f t="shared" si="1"/>
        <v>-0.41245715472769451</v>
      </c>
      <c r="O66" s="11"/>
      <c r="P66" s="2">
        <f>--979.57</f>
        <v>979.57</v>
      </c>
      <c r="Q66" s="2"/>
      <c r="R66" s="19"/>
      <c r="S66" s="2"/>
      <c r="T66" s="2">
        <f>--920.1</f>
        <v>920.1</v>
      </c>
      <c r="U66" s="2"/>
      <c r="V66" s="19"/>
      <c r="W66" s="2"/>
      <c r="X66" s="2">
        <f t="shared" si="2"/>
        <v>59.470000000000027</v>
      </c>
      <c r="Y66" s="2"/>
      <c r="Z66" s="19">
        <f t="shared" si="3"/>
        <v>6.463427888273017E-2</v>
      </c>
    </row>
    <row r="67" spans="1:26" s="24" customFormat="1" hidden="1" outlineLevel="1" x14ac:dyDescent="0.25">
      <c r="A67" s="44"/>
      <c r="B67" s="11" t="str">
        <f>CONCATENATE("          ", "4143", " - ", "NON-TAXABLE SALES-CARDS")</f>
        <v xml:space="preserve">          4143 - NON-TAXABLE SALES-CARDS</v>
      </c>
      <c r="C67" s="11"/>
      <c r="D67" s="2">
        <f>--19.98</f>
        <v>19.98</v>
      </c>
      <c r="E67" s="2"/>
      <c r="F67" s="19"/>
      <c r="G67" s="2"/>
      <c r="H67" s="2">
        <f>0</f>
        <v>0</v>
      </c>
      <c r="I67" s="2"/>
      <c r="J67" s="19"/>
      <c r="K67" s="2"/>
      <c r="L67" s="2">
        <f t="shared" si="0"/>
        <v>19.98</v>
      </c>
      <c r="M67" s="2"/>
      <c r="N67" s="19">
        <f t="shared" si="1"/>
        <v>0</v>
      </c>
      <c r="O67" s="11"/>
      <c r="P67" s="2">
        <f>--19.98</f>
        <v>19.98</v>
      </c>
      <c r="Q67" s="2"/>
      <c r="R67" s="19"/>
      <c r="S67" s="2"/>
      <c r="T67" s="2">
        <f>0</f>
        <v>0</v>
      </c>
      <c r="U67" s="2"/>
      <c r="V67" s="19"/>
      <c r="W67" s="2"/>
      <c r="X67" s="2">
        <f t="shared" si="2"/>
        <v>19.98</v>
      </c>
      <c r="Y67" s="2"/>
      <c r="Z67" s="19">
        <f t="shared" si="3"/>
        <v>0</v>
      </c>
    </row>
    <row r="68" spans="1:26" s="24" customFormat="1" hidden="1" outlineLevel="1" x14ac:dyDescent="0.25">
      <c r="A68" s="44"/>
      <c r="B68" s="11" t="str">
        <f>CONCATENATE("          ", "4144", " - ", "NON-TAXABLE SALES-ACCESSORIES")</f>
        <v xml:space="preserve">          4144 - NON-TAXABLE SALES-ACCESSORIES</v>
      </c>
      <c r="C68" s="11"/>
      <c r="D68" s="2">
        <f>--107.95</f>
        <v>107.95</v>
      </c>
      <c r="E68" s="2"/>
      <c r="F68" s="19"/>
      <c r="G68" s="2"/>
      <c r="H68" s="2">
        <f>--117.86</f>
        <v>117.86</v>
      </c>
      <c r="I68" s="2"/>
      <c r="J68" s="19"/>
      <c r="K68" s="2"/>
      <c r="L68" s="2">
        <f t="shared" si="0"/>
        <v>-9.9099999999999966</v>
      </c>
      <c r="M68" s="2"/>
      <c r="N68" s="19">
        <f t="shared" si="1"/>
        <v>-8.4082810113694187E-2</v>
      </c>
      <c r="O68" s="11"/>
      <c r="P68" s="2">
        <f>--155.8</f>
        <v>155.80000000000001</v>
      </c>
      <c r="Q68" s="2"/>
      <c r="R68" s="19"/>
      <c r="S68" s="2"/>
      <c r="T68" s="2">
        <f>--139.76</f>
        <v>139.76</v>
      </c>
      <c r="U68" s="2"/>
      <c r="V68" s="19"/>
      <c r="W68" s="2"/>
      <c r="X68" s="2">
        <f t="shared" si="2"/>
        <v>16.04000000000002</v>
      </c>
      <c r="Y68" s="2"/>
      <c r="Z68" s="19">
        <f t="shared" si="3"/>
        <v>0.11476817401259318</v>
      </c>
    </row>
    <row r="69" spans="1:26" s="24" customFormat="1" hidden="1" outlineLevel="1" x14ac:dyDescent="0.25">
      <c r="A69" s="44"/>
      <c r="B69" s="11" t="str">
        <f>CONCATENATE("          ", "4145", " - ", "NON-TAXABLE SALES-SPECIAL ORDE")</f>
        <v xml:space="preserve">          4145 - NON-TAXABLE SALES-SPECIAL ORDE</v>
      </c>
      <c r="C69" s="11"/>
      <c r="D69" s="2">
        <f>--350</f>
        <v>350</v>
      </c>
      <c r="E69" s="2"/>
      <c r="F69" s="19"/>
      <c r="G69" s="2"/>
      <c r="H69" s="2">
        <f>--90</f>
        <v>90</v>
      </c>
      <c r="I69" s="2"/>
      <c r="J69" s="19"/>
      <c r="K69" s="2"/>
      <c r="L69" s="2">
        <f t="shared" si="0"/>
        <v>260</v>
      </c>
      <c r="M69" s="2"/>
      <c r="N69" s="19">
        <f t="shared" si="1"/>
        <v>2.8888888888888888</v>
      </c>
      <c r="O69" s="11"/>
      <c r="P69" s="2">
        <f>--35846</f>
        <v>35846</v>
      </c>
      <c r="Q69" s="2"/>
      <c r="R69" s="19"/>
      <c r="S69" s="2"/>
      <c r="T69" s="2">
        <f>--90</f>
        <v>90</v>
      </c>
      <c r="U69" s="2"/>
      <c r="V69" s="19"/>
      <c r="W69" s="2"/>
      <c r="X69" s="2">
        <f t="shared" si="2"/>
        <v>35756</v>
      </c>
      <c r="Y69" s="2"/>
      <c r="Z69" s="19">
        <f t="shared" si="3"/>
        <v>397.28888888888889</v>
      </c>
    </row>
    <row r="70" spans="1:26" s="24" customFormat="1" hidden="1" outlineLevel="1" x14ac:dyDescent="0.25">
      <c r="A70" s="44"/>
      <c r="B70" s="11" t="str">
        <f>CONCATENATE("          ", "4146", " - ", "NON-TAXABLE SALES-COIN OP MACH")</f>
        <v xml:space="preserve">          4146 - NON-TAXABLE SALES-COIN OP MACH</v>
      </c>
      <c r="C70" s="11"/>
      <c r="D70" s="2">
        <f>--15.5</f>
        <v>15.5</v>
      </c>
      <c r="E70" s="2"/>
      <c r="F70" s="19"/>
      <c r="G70" s="2"/>
      <c r="H70" s="2">
        <f>--13281.65</f>
        <v>13281.65</v>
      </c>
      <c r="I70" s="2"/>
      <c r="J70" s="19"/>
      <c r="K70" s="2"/>
      <c r="L70" s="2">
        <f t="shared" si="0"/>
        <v>-13266.15</v>
      </c>
      <c r="M70" s="2"/>
      <c r="N70" s="19">
        <f t="shared" si="1"/>
        <v>-0.99883297632447776</v>
      </c>
      <c r="O70" s="11"/>
      <c r="P70" s="2">
        <f>--15.5</f>
        <v>15.5</v>
      </c>
      <c r="Q70" s="2"/>
      <c r="R70" s="19"/>
      <c r="S70" s="2"/>
      <c r="T70" s="2">
        <f>--15348.75</f>
        <v>15348.75</v>
      </c>
      <c r="U70" s="2"/>
      <c r="V70" s="19"/>
      <c r="W70" s="2"/>
      <c r="X70" s="2">
        <f t="shared" si="2"/>
        <v>-15333.25</v>
      </c>
      <c r="Y70" s="2"/>
      <c r="Z70" s="19">
        <f t="shared" si="3"/>
        <v>-0.99899014577734346</v>
      </c>
    </row>
    <row r="71" spans="1:26" s="24" customFormat="1" hidden="1" outlineLevel="1" x14ac:dyDescent="0.25">
      <c r="A71" s="44"/>
      <c r="B71" s="11" t="str">
        <f>CONCATENATE("          ", "4147", " - ", "NON-TAXABLE SALES-MISC")</f>
        <v xml:space="preserve">          4147 - NON-TAXABLE SALES-MISC</v>
      </c>
      <c r="C71" s="11"/>
      <c r="D71" s="2">
        <f>--23</f>
        <v>23</v>
      </c>
      <c r="E71" s="2"/>
      <c r="F71" s="19"/>
      <c r="G71" s="2"/>
      <c r="H71" s="2">
        <f>--53.9</f>
        <v>53.9</v>
      </c>
      <c r="I71" s="2"/>
      <c r="J71" s="19"/>
      <c r="K71" s="2"/>
      <c r="L71" s="2">
        <f t="shared" si="0"/>
        <v>-30.9</v>
      </c>
      <c r="M71" s="2"/>
      <c r="N71" s="19">
        <f t="shared" si="1"/>
        <v>-0.57328385899814471</v>
      </c>
      <c r="O71" s="11"/>
      <c r="P71" s="2">
        <f>--24</f>
        <v>24</v>
      </c>
      <c r="Q71" s="2"/>
      <c r="R71" s="19"/>
      <c r="S71" s="2"/>
      <c r="T71" s="2">
        <f>--70.4</f>
        <v>70.400000000000006</v>
      </c>
      <c r="U71" s="2"/>
      <c r="V71" s="19"/>
      <c r="W71" s="2"/>
      <c r="X71" s="2">
        <f t="shared" si="2"/>
        <v>-46.400000000000006</v>
      </c>
      <c r="Y71" s="2"/>
      <c r="Z71" s="19">
        <f t="shared" si="3"/>
        <v>-0.65909090909090917</v>
      </c>
    </row>
    <row r="72" spans="1:26" s="24" customFormat="1" hidden="1" outlineLevel="1" x14ac:dyDescent="0.25">
      <c r="A72" s="44"/>
      <c r="B72" s="11" t="str">
        <f>CONCATENATE("          ", "4201", " - ", "SALES RETURN TAXABLE-NEW TEXT")</f>
        <v xml:space="preserve">          4201 - SALES RETURN TAXABLE-NEW TEXT</v>
      </c>
      <c r="C72" s="11"/>
      <c r="D72" s="2">
        <f>-18222.39</f>
        <v>-18222.39</v>
      </c>
      <c r="E72" s="2"/>
      <c r="F72" s="19"/>
      <c r="G72" s="2"/>
      <c r="H72" s="2">
        <f>-58563.26</f>
        <v>-58563.26</v>
      </c>
      <c r="I72" s="2"/>
      <c r="J72" s="19"/>
      <c r="K72" s="2"/>
      <c r="L72" s="2">
        <f t="shared" si="0"/>
        <v>40340.870000000003</v>
      </c>
      <c r="M72" s="2"/>
      <c r="N72" s="19">
        <f t="shared" si="1"/>
        <v>-0.68884262932084039</v>
      </c>
      <c r="O72" s="11"/>
      <c r="P72" s="2">
        <f>-18855.79</f>
        <v>-18855.79</v>
      </c>
      <c r="Q72" s="2"/>
      <c r="R72" s="19"/>
      <c r="S72" s="2"/>
      <c r="T72" s="2">
        <f>-59170.41</f>
        <v>-59170.41</v>
      </c>
      <c r="U72" s="2"/>
      <c r="V72" s="19"/>
      <c r="W72" s="2"/>
      <c r="X72" s="2">
        <f t="shared" si="2"/>
        <v>40314.620000000003</v>
      </c>
      <c r="Y72" s="2"/>
      <c r="Z72" s="19">
        <f t="shared" si="3"/>
        <v>-0.68133075298954326</v>
      </c>
    </row>
    <row r="73" spans="1:26" s="24" customFormat="1" hidden="1" outlineLevel="1" x14ac:dyDescent="0.25">
      <c r="A73" s="44"/>
      <c r="B73" s="11" t="str">
        <f>CONCATENATE("          ", "4202", " - ", "SALES RETURN TAXABLE-USED TEXT")</f>
        <v xml:space="preserve">          4202 - SALES RETURN TAXABLE-USED TEXT</v>
      </c>
      <c r="C73" s="11"/>
      <c r="D73" s="2">
        <f>-8869.4</f>
        <v>-8869.4</v>
      </c>
      <c r="E73" s="2"/>
      <c r="F73" s="19"/>
      <c r="G73" s="2"/>
      <c r="H73" s="2">
        <f>-20533</f>
        <v>-20533</v>
      </c>
      <c r="I73" s="2"/>
      <c r="J73" s="19"/>
      <c r="K73" s="2"/>
      <c r="L73" s="2">
        <f t="shared" si="0"/>
        <v>11663.6</v>
      </c>
      <c r="M73" s="2"/>
      <c r="N73" s="19">
        <f t="shared" si="1"/>
        <v>-0.56804168898845764</v>
      </c>
      <c r="O73" s="11"/>
      <c r="P73" s="2">
        <f>-9047.75</f>
        <v>-9047.75</v>
      </c>
      <c r="Q73" s="2"/>
      <c r="R73" s="19"/>
      <c r="S73" s="2"/>
      <c r="T73" s="2">
        <f>-21254.45</f>
        <v>-21254.45</v>
      </c>
      <c r="U73" s="2"/>
      <c r="V73" s="19"/>
      <c r="W73" s="2"/>
      <c r="X73" s="2">
        <f t="shared" si="2"/>
        <v>12206.7</v>
      </c>
      <c r="Y73" s="2"/>
      <c r="Z73" s="19">
        <f t="shared" si="3"/>
        <v>-0.57431267334605229</v>
      </c>
    </row>
    <row r="74" spans="1:26" s="24" customFormat="1" hidden="1" outlineLevel="1" x14ac:dyDescent="0.25">
      <c r="A74" s="44"/>
      <c r="B74" s="11" t="str">
        <f>CONCATENATE("          ", "4204", " - ", "SALES RETURN TAXABLE-DIGITAL T")</f>
        <v xml:space="preserve">          4204 - SALES RETURN TAXABLE-DIGITAL T</v>
      </c>
      <c r="C74" s="11"/>
      <c r="D74" s="2">
        <f>-1141.08</f>
        <v>-1141.08</v>
      </c>
      <c r="E74" s="2"/>
      <c r="F74" s="19"/>
      <c r="G74" s="2"/>
      <c r="H74" s="2">
        <f>-6848.37</f>
        <v>-6848.37</v>
      </c>
      <c r="I74" s="2"/>
      <c r="J74" s="19"/>
      <c r="K74" s="2"/>
      <c r="L74" s="2">
        <f t="shared" si="0"/>
        <v>5707.29</v>
      </c>
      <c r="M74" s="2"/>
      <c r="N74" s="19">
        <f t="shared" si="1"/>
        <v>-0.83337932967990924</v>
      </c>
      <c r="O74" s="11"/>
      <c r="P74" s="2">
        <f>-1141.08</f>
        <v>-1141.08</v>
      </c>
      <c r="Q74" s="2"/>
      <c r="R74" s="19"/>
      <c r="S74" s="2"/>
      <c r="T74" s="2">
        <f>-6848.37</f>
        <v>-6848.37</v>
      </c>
      <c r="U74" s="2"/>
      <c r="V74" s="19"/>
      <c r="W74" s="2"/>
      <c r="X74" s="2">
        <f t="shared" si="2"/>
        <v>5707.29</v>
      </c>
      <c r="Y74" s="2"/>
      <c r="Z74" s="19">
        <f t="shared" si="3"/>
        <v>-0.83337932967990924</v>
      </c>
    </row>
    <row r="75" spans="1:26" s="24" customFormat="1" hidden="1" outlineLevel="1" x14ac:dyDescent="0.25">
      <c r="A75" s="44"/>
      <c r="B75" s="11" t="str">
        <f>CONCATENATE("          ", "4218", " - ", "SALES RETURN TAXABLE-STUDY GUI")</f>
        <v xml:space="preserve">          4218 - SALES RETURN TAXABLE-STUDY GUI</v>
      </c>
      <c r="C75" s="11"/>
      <c r="D75" s="2">
        <f t="shared" ref="D75:D77" si="15">0</f>
        <v>0</v>
      </c>
      <c r="E75" s="2"/>
      <c r="F75" s="19"/>
      <c r="G75" s="2"/>
      <c r="H75" s="2">
        <f>-26.8</f>
        <v>-26.8</v>
      </c>
      <c r="I75" s="2"/>
      <c r="J75" s="19"/>
      <c r="K75" s="2"/>
      <c r="L75" s="2">
        <f t="shared" si="0"/>
        <v>26.8</v>
      </c>
      <c r="M75" s="2"/>
      <c r="N75" s="19">
        <f t="shared" si="1"/>
        <v>-1</v>
      </c>
      <c r="O75" s="11"/>
      <c r="P75" s="2">
        <f t="shared" ref="P75:P76" si="16">0</f>
        <v>0</v>
      </c>
      <c r="Q75" s="2"/>
      <c r="R75" s="19"/>
      <c r="S75" s="2"/>
      <c r="T75" s="2">
        <f>-26.8</f>
        <v>-26.8</v>
      </c>
      <c r="U75" s="2"/>
      <c r="V75" s="19"/>
      <c r="W75" s="2"/>
      <c r="X75" s="2">
        <f t="shared" si="2"/>
        <v>26.8</v>
      </c>
      <c r="Y75" s="2"/>
      <c r="Z75" s="19">
        <f t="shared" si="3"/>
        <v>-1</v>
      </c>
    </row>
    <row r="76" spans="1:26" s="24" customFormat="1" hidden="1" outlineLevel="1" x14ac:dyDescent="0.25">
      <c r="A76" s="44"/>
      <c r="B76" s="11" t="str">
        <f>CONCATENATE("          ", "4225", " - ", "SALES RETURN TAXABLE-TEST FORM")</f>
        <v xml:space="preserve">          4225 - SALES RETURN TAXABLE-TEST FORM</v>
      </c>
      <c r="C76" s="11"/>
      <c r="D76" s="2">
        <f t="shared" si="15"/>
        <v>0</v>
      </c>
      <c r="E76" s="2"/>
      <c r="F76" s="19"/>
      <c r="G76" s="2"/>
      <c r="H76" s="2">
        <f>-8.61</f>
        <v>-8.61</v>
      </c>
      <c r="I76" s="2"/>
      <c r="J76" s="19"/>
      <c r="K76" s="2"/>
      <c r="L76" s="2">
        <f t="shared" si="0"/>
        <v>8.61</v>
      </c>
      <c r="M76" s="2"/>
      <c r="N76" s="19">
        <f t="shared" si="1"/>
        <v>-1</v>
      </c>
      <c r="O76" s="11"/>
      <c r="P76" s="2">
        <f t="shared" si="16"/>
        <v>0</v>
      </c>
      <c r="Q76" s="2"/>
      <c r="R76" s="19"/>
      <c r="S76" s="2"/>
      <c r="T76" s="2">
        <f>-12.69</f>
        <v>-12.69</v>
      </c>
      <c r="U76" s="2"/>
      <c r="V76" s="19"/>
      <c r="W76" s="2"/>
      <c r="X76" s="2">
        <f t="shared" si="2"/>
        <v>12.69</v>
      </c>
      <c r="Y76" s="2"/>
      <c r="Z76" s="19">
        <f t="shared" si="3"/>
        <v>-1</v>
      </c>
    </row>
    <row r="77" spans="1:26" s="24" customFormat="1" hidden="1" outlineLevel="1" x14ac:dyDescent="0.25">
      <c r="A77" s="44"/>
      <c r="B77" s="11" t="str">
        <f>CONCATENATE("          ", "4226", " - ", "SALES RETURN TAXABLE-WRITING I")</f>
        <v xml:space="preserve">          4226 - SALES RETURN TAXABLE-WRITING I</v>
      </c>
      <c r="C77" s="11"/>
      <c r="D77" s="2">
        <f t="shared" si="15"/>
        <v>0</v>
      </c>
      <c r="E77" s="2"/>
      <c r="F77" s="19"/>
      <c r="G77" s="2"/>
      <c r="H77" s="2">
        <f>-60.28</f>
        <v>-60.28</v>
      </c>
      <c r="I77" s="2"/>
      <c r="J77" s="19"/>
      <c r="K77" s="2"/>
      <c r="L77" s="2">
        <f t="shared" si="0"/>
        <v>60.28</v>
      </c>
      <c r="M77" s="2"/>
      <c r="N77" s="19">
        <f t="shared" si="1"/>
        <v>-1</v>
      </c>
      <c r="O77" s="11"/>
      <c r="P77" s="2">
        <f>-6.38</f>
        <v>-6.38</v>
      </c>
      <c r="Q77" s="2"/>
      <c r="R77" s="19"/>
      <c r="S77" s="2"/>
      <c r="T77" s="2">
        <f>-124.21</f>
        <v>-124.21</v>
      </c>
      <c r="U77" s="2"/>
      <c r="V77" s="19"/>
      <c r="W77" s="2"/>
      <c r="X77" s="2">
        <f t="shared" si="2"/>
        <v>117.83</v>
      </c>
      <c r="Y77" s="2"/>
      <c r="Z77" s="19">
        <f t="shared" si="3"/>
        <v>-0.94863537557362532</v>
      </c>
    </row>
    <row r="78" spans="1:26" s="24" customFormat="1" hidden="1" outlineLevel="1" x14ac:dyDescent="0.25">
      <c r="A78" s="44"/>
      <c r="B78" s="11" t="str">
        <f>CONCATENATE("          ", "4227", " - ", "SALES RETURN TAXABLE-SCHOOL SU")</f>
        <v xml:space="preserve">          4227 - SALES RETURN TAXABLE-SCHOOL SU</v>
      </c>
      <c r="C78" s="11"/>
      <c r="D78" s="2">
        <f>-359.61</f>
        <v>-359.61</v>
      </c>
      <c r="E78" s="2"/>
      <c r="F78" s="19"/>
      <c r="G78" s="2"/>
      <c r="H78" s="2">
        <f>-1531.15</f>
        <v>-1531.15</v>
      </c>
      <c r="I78" s="2"/>
      <c r="J78" s="19"/>
      <c r="K78" s="2"/>
      <c r="L78" s="2">
        <f t="shared" si="0"/>
        <v>1171.54</v>
      </c>
      <c r="M78" s="2"/>
      <c r="N78" s="19">
        <f t="shared" si="1"/>
        <v>-0.76513731508996496</v>
      </c>
      <c r="O78" s="11"/>
      <c r="P78" s="2">
        <f>-416.38</f>
        <v>-416.38</v>
      </c>
      <c r="Q78" s="2"/>
      <c r="R78" s="19"/>
      <c r="S78" s="2"/>
      <c r="T78" s="2">
        <f>-1696.59</f>
        <v>-1696.59</v>
      </c>
      <c r="U78" s="2"/>
      <c r="V78" s="19"/>
      <c r="W78" s="2"/>
      <c r="X78" s="2">
        <f t="shared" si="2"/>
        <v>1280.21</v>
      </c>
      <c r="Y78" s="2"/>
      <c r="Z78" s="19">
        <f t="shared" si="3"/>
        <v>-0.75457830118060354</v>
      </c>
    </row>
    <row r="79" spans="1:26" s="24" customFormat="1" hidden="1" outlineLevel="1" x14ac:dyDescent="0.25">
      <c r="A79" s="44"/>
      <c r="B79" s="11" t="str">
        <f>CONCATENATE("          ", "4228", " - ", "SALES RETURN TAXABLE-ART/TECH")</f>
        <v xml:space="preserve">          4228 - SALES RETURN TAXABLE-ART/TECH</v>
      </c>
      <c r="C79" s="11"/>
      <c r="D79" s="2">
        <f>-164.44</f>
        <v>-164.44</v>
      </c>
      <c r="E79" s="2"/>
      <c r="F79" s="19"/>
      <c r="G79" s="2"/>
      <c r="H79" s="2">
        <f>-858.36</f>
        <v>-858.36</v>
      </c>
      <c r="I79" s="2"/>
      <c r="J79" s="19"/>
      <c r="K79" s="2"/>
      <c r="L79" s="2">
        <f t="shared" si="0"/>
        <v>693.92000000000007</v>
      </c>
      <c r="M79" s="2"/>
      <c r="N79" s="19">
        <f t="shared" si="1"/>
        <v>-0.80842536930891473</v>
      </c>
      <c r="O79" s="11"/>
      <c r="P79" s="2">
        <f>-164.44</f>
        <v>-164.44</v>
      </c>
      <c r="Q79" s="2"/>
      <c r="R79" s="19"/>
      <c r="S79" s="2"/>
      <c r="T79" s="2">
        <f>-868.73</f>
        <v>-868.73</v>
      </c>
      <c r="U79" s="2"/>
      <c r="V79" s="19"/>
      <c r="W79" s="2"/>
      <c r="X79" s="2">
        <f t="shared" si="2"/>
        <v>704.29</v>
      </c>
      <c r="Y79" s="2"/>
      <c r="Z79" s="19">
        <f t="shared" si="3"/>
        <v>-0.81071218905758979</v>
      </c>
    </row>
    <row r="80" spans="1:26" s="24" customFormat="1" hidden="1" outlineLevel="1" x14ac:dyDescent="0.25">
      <c r="A80" s="44"/>
      <c r="B80" s="11" t="str">
        <f>CONCATENATE("          ", "4240", " - ", "SALES RETURN TAXABLE-LOGO CLOT")</f>
        <v xml:space="preserve">          4240 - SALES RETURN TAXABLE-LOGO CLOT</v>
      </c>
      <c r="C80" s="11"/>
      <c r="D80" s="2">
        <f>-4788.72</f>
        <v>-4788.72</v>
      </c>
      <c r="E80" s="2"/>
      <c r="F80" s="19"/>
      <c r="G80" s="2"/>
      <c r="H80" s="2">
        <f>-6807.65</f>
        <v>-6807.65</v>
      </c>
      <c r="I80" s="2"/>
      <c r="J80" s="19"/>
      <c r="K80" s="2"/>
      <c r="L80" s="2">
        <f t="shared" si="0"/>
        <v>2018.9299999999994</v>
      </c>
      <c r="M80" s="2"/>
      <c r="N80" s="19">
        <f t="shared" si="1"/>
        <v>-0.29656783177748552</v>
      </c>
      <c r="O80" s="11"/>
      <c r="P80" s="2">
        <f>-8156.82</f>
        <v>-8156.82</v>
      </c>
      <c r="Q80" s="2"/>
      <c r="R80" s="19"/>
      <c r="S80" s="2"/>
      <c r="T80" s="2">
        <f>-11254.49</f>
        <v>-11254.49</v>
      </c>
      <c r="U80" s="2"/>
      <c r="V80" s="19"/>
      <c r="W80" s="2"/>
      <c r="X80" s="2">
        <f t="shared" si="2"/>
        <v>3097.67</v>
      </c>
      <c r="Y80" s="2"/>
      <c r="Z80" s="19">
        <f t="shared" si="3"/>
        <v>-0.27523859366350678</v>
      </c>
    </row>
    <row r="81" spans="1:26" s="24" customFormat="1" hidden="1" outlineLevel="1" x14ac:dyDescent="0.25">
      <c r="A81" s="44"/>
      <c r="B81" s="11" t="str">
        <f>CONCATENATE("          ", "4241", " - ", "SALES RETURN TAXABLE-LOGO GIFT")</f>
        <v xml:space="preserve">          4241 - SALES RETURN TAXABLE-LOGO GIFT</v>
      </c>
      <c r="C81" s="11"/>
      <c r="D81" s="2">
        <f>-986.21</f>
        <v>-986.21</v>
      </c>
      <c r="E81" s="2"/>
      <c r="F81" s="19"/>
      <c r="G81" s="2"/>
      <c r="H81" s="2">
        <f>-971.11</f>
        <v>-971.11</v>
      </c>
      <c r="I81" s="2"/>
      <c r="J81" s="19"/>
      <c r="K81" s="2"/>
      <c r="L81" s="2">
        <f t="shared" si="0"/>
        <v>-15.100000000000023</v>
      </c>
      <c r="M81" s="2"/>
      <c r="N81" s="19">
        <f t="shared" si="1"/>
        <v>1.5549216875534205E-2</v>
      </c>
      <c r="O81" s="11"/>
      <c r="P81" s="2">
        <f>-1328.19</f>
        <v>-1328.19</v>
      </c>
      <c r="Q81" s="2"/>
      <c r="R81" s="19"/>
      <c r="S81" s="2"/>
      <c r="T81" s="2">
        <f>-1690.01</f>
        <v>-1690.01</v>
      </c>
      <c r="U81" s="2"/>
      <c r="V81" s="19"/>
      <c r="W81" s="2"/>
      <c r="X81" s="2">
        <f t="shared" si="2"/>
        <v>361.81999999999994</v>
      </c>
      <c r="Y81" s="2"/>
      <c r="Z81" s="19">
        <f t="shared" si="3"/>
        <v>-0.21409340773131516</v>
      </c>
    </row>
    <row r="82" spans="1:26" s="24" customFormat="1" hidden="1" outlineLevel="1" x14ac:dyDescent="0.25">
      <c r="A82" s="44"/>
      <c r="B82" s="11" t="str">
        <f>CONCATENATE("          ", "4242", " - ", "SALES RETURN TAXABLE-EVERYDAY")</f>
        <v xml:space="preserve">          4242 - SALES RETURN TAXABLE-EVERYDAY</v>
      </c>
      <c r="C82" s="11"/>
      <c r="D82" s="2">
        <f>-470.53</f>
        <v>-470.53</v>
      </c>
      <c r="E82" s="2"/>
      <c r="F82" s="19"/>
      <c r="G82" s="2"/>
      <c r="H82" s="2">
        <f>-450.83</f>
        <v>-450.83</v>
      </c>
      <c r="I82" s="2"/>
      <c r="J82" s="19"/>
      <c r="K82" s="2"/>
      <c r="L82" s="2">
        <f t="shared" si="0"/>
        <v>-19.699999999999989</v>
      </c>
      <c r="M82" s="2"/>
      <c r="N82" s="19">
        <f t="shared" si="1"/>
        <v>4.3697180755495398E-2</v>
      </c>
      <c r="O82" s="11"/>
      <c r="P82" s="2">
        <f>-649.49</f>
        <v>-649.49</v>
      </c>
      <c r="Q82" s="2"/>
      <c r="R82" s="19"/>
      <c r="S82" s="2"/>
      <c r="T82" s="2">
        <f>-824.81</f>
        <v>-824.81</v>
      </c>
      <c r="U82" s="2"/>
      <c r="V82" s="19"/>
      <c r="W82" s="2"/>
      <c r="X82" s="2">
        <f t="shared" si="2"/>
        <v>175.31999999999994</v>
      </c>
      <c r="Y82" s="2"/>
      <c r="Z82" s="19">
        <f t="shared" si="3"/>
        <v>-0.21255804367066347</v>
      </c>
    </row>
    <row r="83" spans="1:26" s="24" customFormat="1" hidden="1" outlineLevel="1" x14ac:dyDescent="0.25">
      <c r="A83" s="44"/>
      <c r="B83" s="11" t="str">
        <f>CONCATENATE("          ", "4243", " - ", "SALES RETURN TAXABLE-CARDS")</f>
        <v xml:space="preserve">          4243 - SALES RETURN TAXABLE-CARDS</v>
      </c>
      <c r="C83" s="11"/>
      <c r="D83" s="2">
        <f>-93.43</f>
        <v>-93.43</v>
      </c>
      <c r="E83" s="2"/>
      <c r="F83" s="19"/>
      <c r="G83" s="2"/>
      <c r="H83" s="2">
        <f>0</f>
        <v>0</v>
      </c>
      <c r="I83" s="2"/>
      <c r="J83" s="19"/>
      <c r="K83" s="2"/>
      <c r="L83" s="2">
        <f t="shared" si="0"/>
        <v>-93.43</v>
      </c>
      <c r="M83" s="2"/>
      <c r="N83" s="19">
        <f t="shared" si="1"/>
        <v>0</v>
      </c>
      <c r="O83" s="11"/>
      <c r="P83" s="2">
        <f>-93.43</f>
        <v>-93.43</v>
      </c>
      <c r="Q83" s="2"/>
      <c r="R83" s="19"/>
      <c r="S83" s="2"/>
      <c r="T83" s="2">
        <f>0</f>
        <v>0</v>
      </c>
      <c r="U83" s="2"/>
      <c r="V83" s="19"/>
      <c r="W83" s="2"/>
      <c r="X83" s="2">
        <f t="shared" si="2"/>
        <v>-93.43</v>
      </c>
      <c r="Y83" s="2"/>
      <c r="Z83" s="19">
        <f t="shared" si="3"/>
        <v>0</v>
      </c>
    </row>
    <row r="84" spans="1:26" s="24" customFormat="1" hidden="1" outlineLevel="1" x14ac:dyDescent="0.25">
      <c r="A84" s="44"/>
      <c r="B84" s="11" t="str">
        <f>CONCATENATE("          ", "4244", " - ", "SALES RETURN TAXABLE-ACCESSORI")</f>
        <v xml:space="preserve">          4244 - SALES RETURN TAXABLE-ACCESSORI</v>
      </c>
      <c r="C84" s="11"/>
      <c r="D84" s="2">
        <f>-350.99</f>
        <v>-350.99</v>
      </c>
      <c r="E84" s="2"/>
      <c r="F84" s="19"/>
      <c r="G84" s="2"/>
      <c r="H84" s="2">
        <f>-443.68</f>
        <v>-443.68</v>
      </c>
      <c r="I84" s="2"/>
      <c r="J84" s="19"/>
      <c r="K84" s="2"/>
      <c r="L84" s="2">
        <f t="shared" si="0"/>
        <v>92.69</v>
      </c>
      <c r="M84" s="2"/>
      <c r="N84" s="19">
        <f t="shared" si="1"/>
        <v>-0.20891182834475297</v>
      </c>
      <c r="O84" s="11"/>
      <c r="P84" s="2">
        <f>-350.99</f>
        <v>-350.99</v>
      </c>
      <c r="Q84" s="2"/>
      <c r="R84" s="19"/>
      <c r="S84" s="2"/>
      <c r="T84" s="2">
        <f>-550.47</f>
        <v>-550.47</v>
      </c>
      <c r="U84" s="2"/>
      <c r="V84" s="19"/>
      <c r="W84" s="2"/>
      <c r="X84" s="2">
        <f t="shared" si="2"/>
        <v>199.48000000000002</v>
      </c>
      <c r="Y84" s="2"/>
      <c r="Z84" s="19">
        <f t="shared" si="3"/>
        <v>-0.36238123785129073</v>
      </c>
    </row>
    <row r="85" spans="1:26" s="24" customFormat="1" hidden="1" outlineLevel="1" x14ac:dyDescent="0.25">
      <c r="A85" s="44"/>
      <c r="B85" s="11" t="str">
        <f>CONCATENATE("          ", "4245", " - ", "SALES RETURN TAXABLE-SPECIAL O")</f>
        <v xml:space="preserve">          4245 - SALES RETURN TAXABLE-SPECIAL O</v>
      </c>
      <c r="C85" s="11"/>
      <c r="D85" s="2">
        <f>-57.96</f>
        <v>-57.96</v>
      </c>
      <c r="E85" s="2"/>
      <c r="F85" s="19"/>
      <c r="G85" s="2"/>
      <c r="H85" s="2">
        <f>-19.98</f>
        <v>-19.98</v>
      </c>
      <c r="I85" s="2"/>
      <c r="J85" s="19"/>
      <c r="K85" s="2"/>
      <c r="L85" s="2">
        <f t="shared" si="0"/>
        <v>-37.980000000000004</v>
      </c>
      <c r="M85" s="2"/>
      <c r="N85" s="19">
        <f t="shared" si="1"/>
        <v>1.900900900900901</v>
      </c>
      <c r="O85" s="11"/>
      <c r="P85" s="2">
        <f>-1178.96</f>
        <v>-1178.96</v>
      </c>
      <c r="Q85" s="2"/>
      <c r="R85" s="19"/>
      <c r="S85" s="2"/>
      <c r="T85" s="2">
        <f>-19.98</f>
        <v>-19.98</v>
      </c>
      <c r="U85" s="2"/>
      <c r="V85" s="19"/>
      <c r="W85" s="2"/>
      <c r="X85" s="2">
        <f t="shared" si="2"/>
        <v>-1158.98</v>
      </c>
      <c r="Y85" s="2"/>
      <c r="Z85" s="19">
        <f t="shared" si="3"/>
        <v>58.007007007007005</v>
      </c>
    </row>
    <row r="86" spans="1:26" s="24" customFormat="1" hidden="1" outlineLevel="1" x14ac:dyDescent="0.25">
      <c r="A86" s="44"/>
      <c r="B86" s="11" t="str">
        <f>CONCATENATE("          ", "4292", " - ", "SALES RETURN TAXABLE-GRAD MERC")</f>
        <v xml:space="preserve">          4292 - SALES RETURN TAXABLE-GRAD MERC</v>
      </c>
      <c r="C86" s="11"/>
      <c r="D86" s="2">
        <f t="shared" ref="D86:D87" si="17">0</f>
        <v>0</v>
      </c>
      <c r="E86" s="2"/>
      <c r="F86" s="19"/>
      <c r="G86" s="2"/>
      <c r="H86" s="2">
        <f>-359.2</f>
        <v>-359.2</v>
      </c>
      <c r="I86" s="2"/>
      <c r="J86" s="19"/>
      <c r="K86" s="2"/>
      <c r="L86" s="2">
        <f t="shared" si="0"/>
        <v>359.2</v>
      </c>
      <c r="M86" s="2"/>
      <c r="N86" s="19">
        <f t="shared" si="1"/>
        <v>-1</v>
      </c>
      <c r="O86" s="11"/>
      <c r="P86" s="2">
        <f t="shared" ref="P86:P87" si="18">0</f>
        <v>0</v>
      </c>
      <c r="Q86" s="2"/>
      <c r="R86" s="19"/>
      <c r="S86" s="2"/>
      <c r="T86" s="2">
        <f>-369.15</f>
        <v>-369.15</v>
      </c>
      <c r="U86" s="2"/>
      <c r="V86" s="19"/>
      <c r="W86" s="2"/>
      <c r="X86" s="2">
        <f t="shared" si="2"/>
        <v>369.15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"4295", " - ", "SALES RETURN TAXABLE-CUSTOMER")</f>
        <v xml:space="preserve">          4295 - SALES RETURN TAXABLE-CUSTOMER</v>
      </c>
      <c r="C87" s="11"/>
      <c r="D87" s="2">
        <f t="shared" si="17"/>
        <v>0</v>
      </c>
      <c r="E87" s="2"/>
      <c r="F87" s="19"/>
      <c r="G87" s="2"/>
      <c r="H87" s="2">
        <f>--0.99</f>
        <v>0.99</v>
      </c>
      <c r="I87" s="2"/>
      <c r="J87" s="19"/>
      <c r="K87" s="2"/>
      <c r="L87" s="2">
        <f t="shared" si="0"/>
        <v>-0.99</v>
      </c>
      <c r="M87" s="2"/>
      <c r="N87" s="19">
        <f t="shared" si="1"/>
        <v>-1</v>
      </c>
      <c r="O87" s="11"/>
      <c r="P87" s="2">
        <f t="shared" si="18"/>
        <v>0</v>
      </c>
      <c r="Q87" s="2"/>
      <c r="R87" s="19"/>
      <c r="S87" s="2"/>
      <c r="T87" s="2">
        <f>--0.99</f>
        <v>0.99</v>
      </c>
      <c r="U87" s="2"/>
      <c r="V87" s="19"/>
      <c r="W87" s="2"/>
      <c r="X87" s="2">
        <f t="shared" si="2"/>
        <v>-0.99</v>
      </c>
      <c r="Y87" s="2"/>
      <c r="Z87" s="19">
        <f t="shared" si="3"/>
        <v>-1</v>
      </c>
    </row>
    <row r="88" spans="1:26" s="24" customFormat="1" hidden="1" outlineLevel="1" x14ac:dyDescent="0.25">
      <c r="A88" s="44"/>
      <c r="B88" s="11" t="str">
        <f>CONCATENATE("          ", "4301", " - ", "SALES RETURN NON TAXABLE-NEW T")</f>
        <v xml:space="preserve">          4301 - SALES RETURN NON TAXABLE-NEW T</v>
      </c>
      <c r="C88" s="11"/>
      <c r="D88" s="2">
        <f>-20.25</f>
        <v>-20.25</v>
      </c>
      <c r="E88" s="2"/>
      <c r="F88" s="19"/>
      <c r="G88" s="2"/>
      <c r="H88" s="2">
        <f>-2665.19</f>
        <v>-2665.19</v>
      </c>
      <c r="I88" s="2"/>
      <c r="J88" s="19"/>
      <c r="K88" s="2"/>
      <c r="L88" s="2">
        <f t="shared" si="0"/>
        <v>2644.94</v>
      </c>
      <c r="M88" s="2"/>
      <c r="N88" s="19">
        <f t="shared" si="1"/>
        <v>-0.99240204263110698</v>
      </c>
      <c r="O88" s="11"/>
      <c r="P88" s="2">
        <f>-20.25</f>
        <v>-20.25</v>
      </c>
      <c r="Q88" s="2"/>
      <c r="R88" s="19"/>
      <c r="S88" s="2"/>
      <c r="T88" s="2">
        <f>-2919.78</f>
        <v>-2919.78</v>
      </c>
      <c r="U88" s="2"/>
      <c r="V88" s="19"/>
      <c r="W88" s="2"/>
      <c r="X88" s="2">
        <f t="shared" si="2"/>
        <v>2899.53</v>
      </c>
      <c r="Y88" s="2"/>
      <c r="Z88" s="19">
        <f t="shared" si="3"/>
        <v>-0.99306454595894211</v>
      </c>
    </row>
    <row r="89" spans="1:26" s="24" customFormat="1" hidden="1" outlineLevel="1" x14ac:dyDescent="0.25">
      <c r="A89" s="44"/>
      <c r="B89" s="11" t="str">
        <f>CONCATENATE("          ", "4302", " - ", "SALES RETURN NON TAXABLE-TEXT")</f>
        <v xml:space="preserve">          4302 - SALES RETURN NON TAXABLE-TEXT</v>
      </c>
      <c r="C89" s="11"/>
      <c r="D89" s="2">
        <f>-346.17</f>
        <v>-346.17</v>
      </c>
      <c r="E89" s="2"/>
      <c r="F89" s="19"/>
      <c r="G89" s="2"/>
      <c r="H89" s="2">
        <f>-250.25</f>
        <v>-250.25</v>
      </c>
      <c r="I89" s="2"/>
      <c r="J89" s="19"/>
      <c r="K89" s="2"/>
      <c r="L89" s="2">
        <f t="shared" si="0"/>
        <v>-95.920000000000016</v>
      </c>
      <c r="M89" s="2"/>
      <c r="N89" s="19">
        <f t="shared" si="1"/>
        <v>0.38329670329670334</v>
      </c>
      <c r="O89" s="11"/>
      <c r="P89" s="2">
        <f>-409.84</f>
        <v>-409.84</v>
      </c>
      <c r="Q89" s="2"/>
      <c r="R89" s="19"/>
      <c r="S89" s="2"/>
      <c r="T89" s="2">
        <f>-250.25</f>
        <v>-250.25</v>
      </c>
      <c r="U89" s="2"/>
      <c r="V89" s="19"/>
      <c r="W89" s="2"/>
      <c r="X89" s="2">
        <f t="shared" si="2"/>
        <v>-159.58999999999997</v>
      </c>
      <c r="Y89" s="2"/>
      <c r="Z89" s="19">
        <f t="shared" si="3"/>
        <v>0.63772227772227763</v>
      </c>
    </row>
    <row r="90" spans="1:26" s="24" customFormat="1" hidden="1" outlineLevel="1" x14ac:dyDescent="0.25">
      <c r="A90" s="44"/>
      <c r="B90" s="11" t="str">
        <f>CONCATENATE("          ", "4304", " - ", "SALES RETURN NON TAXABLE-DIGIT")</f>
        <v xml:space="preserve">          4304 - SALES RETURN NON TAXABLE-DIGIT</v>
      </c>
      <c r="C90" s="11"/>
      <c r="D90" s="2">
        <f>-5500.68</f>
        <v>-5500.68</v>
      </c>
      <c r="E90" s="2"/>
      <c r="F90" s="19"/>
      <c r="G90" s="2"/>
      <c r="H90" s="2">
        <f>-8466.55</f>
        <v>-8466.5499999999993</v>
      </c>
      <c r="I90" s="2"/>
      <c r="J90" s="19"/>
      <c r="K90" s="2"/>
      <c r="L90" s="2">
        <f t="shared" si="0"/>
        <v>2965.869999999999</v>
      </c>
      <c r="M90" s="2"/>
      <c r="N90" s="19">
        <f t="shared" si="1"/>
        <v>-0.35030443332880562</v>
      </c>
      <c r="O90" s="11"/>
      <c r="P90" s="2">
        <f>-5952.73</f>
        <v>-5952.73</v>
      </c>
      <c r="Q90" s="2"/>
      <c r="R90" s="19"/>
      <c r="S90" s="2"/>
      <c r="T90" s="2">
        <f>-8466.55</f>
        <v>-8466.5499999999993</v>
      </c>
      <c r="U90" s="2"/>
      <c r="V90" s="19"/>
      <c r="W90" s="2"/>
      <c r="X90" s="2">
        <f t="shared" si="2"/>
        <v>2513.8199999999997</v>
      </c>
      <c r="Y90" s="2"/>
      <c r="Z90" s="19">
        <f t="shared" si="3"/>
        <v>-0.29691196532235681</v>
      </c>
    </row>
    <row r="91" spans="1:26" s="24" customFormat="1" hidden="1" outlineLevel="1" x14ac:dyDescent="0.25">
      <c r="A91" s="44"/>
      <c r="B91" s="11" t="str">
        <f>CONCATENATE("          ", "4311", " - ", "SALES RETURN NON TAXABLE-NO VA")</f>
        <v xml:space="preserve">          4311 - SALES RETURN NON TAXABLE-NO VA</v>
      </c>
      <c r="C91" s="11"/>
      <c r="D91" s="2">
        <f t="shared" ref="D91:D92" si="19">0</f>
        <v>0</v>
      </c>
      <c r="E91" s="2"/>
      <c r="F91" s="19"/>
      <c r="G91" s="2"/>
      <c r="H91" s="2">
        <f>-79.06</f>
        <v>-79.06</v>
      </c>
      <c r="I91" s="2"/>
      <c r="J91" s="19"/>
      <c r="K91" s="2"/>
      <c r="L91" s="2">
        <f t="shared" si="0"/>
        <v>79.06</v>
      </c>
      <c r="M91" s="2"/>
      <c r="N91" s="19">
        <f t="shared" si="1"/>
        <v>-1</v>
      </c>
      <c r="O91" s="11"/>
      <c r="P91" s="2">
        <f t="shared" ref="P91:P92" si="20">0</f>
        <v>0</v>
      </c>
      <c r="Q91" s="2"/>
      <c r="R91" s="19"/>
      <c r="S91" s="2"/>
      <c r="T91" s="2">
        <f>-111.04</f>
        <v>-111.04</v>
      </c>
      <c r="U91" s="2"/>
      <c r="V91" s="19"/>
      <c r="W91" s="2"/>
      <c r="X91" s="2">
        <f t="shared" si="2"/>
        <v>111.04</v>
      </c>
      <c r="Y91" s="2"/>
      <c r="Z91" s="19">
        <f t="shared" si="3"/>
        <v>-1</v>
      </c>
    </row>
    <row r="92" spans="1:26" s="24" customFormat="1" hidden="1" outlineLevel="1" x14ac:dyDescent="0.25">
      <c r="A92" s="44"/>
      <c r="B92" s="11" t="str">
        <f>CONCATENATE("          ", "4327", " - ", "SALES RETURN NON TAXABLE-SCHOO")</f>
        <v xml:space="preserve">          4327 - SALES RETURN NON TAXABLE-SCHOO</v>
      </c>
      <c r="C92" s="11"/>
      <c r="D92" s="2">
        <f t="shared" si="19"/>
        <v>0</v>
      </c>
      <c r="E92" s="2"/>
      <c r="F92" s="19"/>
      <c r="G92" s="2"/>
      <c r="H92" s="2">
        <f>-13.58</f>
        <v>-13.58</v>
      </c>
      <c r="I92" s="2"/>
      <c r="J92" s="19"/>
      <c r="K92" s="2"/>
      <c r="L92" s="2">
        <f t="shared" si="0"/>
        <v>13.58</v>
      </c>
      <c r="M92" s="2"/>
      <c r="N92" s="19">
        <f t="shared" si="1"/>
        <v>-1</v>
      </c>
      <c r="O92" s="11"/>
      <c r="P92" s="2">
        <f t="shared" si="20"/>
        <v>0</v>
      </c>
      <c r="Q92" s="2"/>
      <c r="R92" s="19"/>
      <c r="S92" s="2"/>
      <c r="T92" s="2">
        <f>-13.58</f>
        <v>-13.58</v>
      </c>
      <c r="U92" s="2"/>
      <c r="V92" s="19"/>
      <c r="W92" s="2"/>
      <c r="X92" s="2">
        <f t="shared" si="2"/>
        <v>13.58</v>
      </c>
      <c r="Y92" s="2"/>
      <c r="Z92" s="19">
        <f t="shared" si="3"/>
        <v>-1</v>
      </c>
    </row>
    <row r="93" spans="1:26" s="24" customFormat="1" hidden="1" outlineLevel="1" x14ac:dyDescent="0.25">
      <c r="A93" s="44"/>
      <c r="B93" s="11" t="str">
        <f>CONCATENATE("          ", "4340", " - ", "SALES RETURN NON TAXABLE-LOGO")</f>
        <v xml:space="preserve">          4340 - SALES RETURN NON TAXABLE-LOGO</v>
      </c>
      <c r="C93" s="11"/>
      <c r="D93" s="2">
        <f>-69.9</f>
        <v>-69.900000000000006</v>
      </c>
      <c r="E93" s="2"/>
      <c r="F93" s="19"/>
      <c r="G93" s="2"/>
      <c r="H93" s="2">
        <f>-44.95</f>
        <v>-44.95</v>
      </c>
      <c r="I93" s="2"/>
      <c r="J93" s="19"/>
      <c r="K93" s="2"/>
      <c r="L93" s="2">
        <f t="shared" si="0"/>
        <v>-24.950000000000003</v>
      </c>
      <c r="M93" s="2"/>
      <c r="N93" s="19">
        <f t="shared" si="1"/>
        <v>0.55506117908787544</v>
      </c>
      <c r="O93" s="11"/>
      <c r="P93" s="2">
        <f>-504.14</f>
        <v>-504.14</v>
      </c>
      <c r="Q93" s="2"/>
      <c r="R93" s="19"/>
      <c r="S93" s="2"/>
      <c r="T93" s="2">
        <f>-268.5</f>
        <v>-268.5</v>
      </c>
      <c r="U93" s="2"/>
      <c r="V93" s="19"/>
      <c r="W93" s="2"/>
      <c r="X93" s="2">
        <f t="shared" si="2"/>
        <v>-235.64</v>
      </c>
      <c r="Y93" s="2"/>
      <c r="Z93" s="19">
        <f t="shared" si="3"/>
        <v>0.87761638733705771</v>
      </c>
    </row>
    <row r="94" spans="1:26" s="24" customFormat="1" hidden="1" outlineLevel="1" x14ac:dyDescent="0.25">
      <c r="A94" s="44"/>
      <c r="B94" s="11" t="str">
        <f>CONCATENATE("          ", "4341", " - ", "SALES RETURN NON TAXABLE-LOGO")</f>
        <v xml:space="preserve">          4341 - SALES RETURN NON TAXABLE-LOGO</v>
      </c>
      <c r="C94" s="11"/>
      <c r="D94" s="2">
        <f>0</f>
        <v>0</v>
      </c>
      <c r="E94" s="2"/>
      <c r="F94" s="19"/>
      <c r="G94" s="2"/>
      <c r="H94" s="2">
        <f>-3.95</f>
        <v>-3.95</v>
      </c>
      <c r="I94" s="2"/>
      <c r="J94" s="19"/>
      <c r="K94" s="2"/>
      <c r="L94" s="2">
        <f t="shared" si="0"/>
        <v>3.95</v>
      </c>
      <c r="M94" s="2"/>
      <c r="N94" s="19">
        <f t="shared" si="1"/>
        <v>-1</v>
      </c>
      <c r="O94" s="11"/>
      <c r="P94" s="2">
        <f>-16.95</f>
        <v>-16.95</v>
      </c>
      <c r="Q94" s="2"/>
      <c r="R94" s="19"/>
      <c r="S94" s="2"/>
      <c r="T94" s="2">
        <f>-3.95</f>
        <v>-3.95</v>
      </c>
      <c r="U94" s="2"/>
      <c r="V94" s="19"/>
      <c r="W94" s="2"/>
      <c r="X94" s="2">
        <f t="shared" si="2"/>
        <v>-13</v>
      </c>
      <c r="Y94" s="2"/>
      <c r="Z94" s="19">
        <f t="shared" si="3"/>
        <v>3.2911392405063289</v>
      </c>
    </row>
    <row r="95" spans="1:26" s="24" customFormat="1" hidden="1" outlineLevel="1" x14ac:dyDescent="0.25">
      <c r="A95" s="44"/>
      <c r="B95" s="11" t="str">
        <f>CONCATENATE("          ", "4342", " - ", "SALES RETURN NON TAXABLE-EVERY")</f>
        <v xml:space="preserve">          4342 - SALES RETURN NON TAXABLE-EVERY</v>
      </c>
      <c r="C95" s="11"/>
      <c r="D95" s="2">
        <f>-13.9</f>
        <v>-13.9</v>
      </c>
      <c r="E95" s="2"/>
      <c r="F95" s="19"/>
      <c r="G95" s="2"/>
      <c r="H95" s="2">
        <f>0</f>
        <v>0</v>
      </c>
      <c r="I95" s="2"/>
      <c r="J95" s="19"/>
      <c r="K95" s="2"/>
      <c r="L95" s="2">
        <f t="shared" si="0"/>
        <v>-13.9</v>
      </c>
      <c r="M95" s="2"/>
      <c r="N95" s="19">
        <f t="shared" si="1"/>
        <v>0</v>
      </c>
      <c r="O95" s="11"/>
      <c r="P95" s="2">
        <f>-93.75</f>
        <v>-93.75</v>
      </c>
      <c r="Q95" s="2"/>
      <c r="R95" s="19"/>
      <c r="S95" s="2"/>
      <c r="T95" s="2">
        <f>0</f>
        <v>0</v>
      </c>
      <c r="U95" s="2"/>
      <c r="V95" s="19"/>
      <c r="W95" s="2"/>
      <c r="X95" s="2">
        <f t="shared" si="2"/>
        <v>-93.75</v>
      </c>
      <c r="Y95" s="2"/>
      <c r="Z95" s="19">
        <f t="shared" si="3"/>
        <v>0</v>
      </c>
    </row>
    <row r="96" spans="1:26" s="24" customFormat="1" hidden="1" outlineLevel="1" x14ac:dyDescent="0.25">
      <c r="A96" s="44"/>
      <c r="B96" s="11" t="str">
        <f>CONCATENATE("          ", "4346", " - ", "SALES RETURN NON TAXABLE-COIN-")</f>
        <v xml:space="preserve">          4346 - SALES RETURN NON TAXABLE-COIN-</v>
      </c>
      <c r="C96" s="11"/>
      <c r="D96" s="2">
        <f>0</f>
        <v>0</v>
      </c>
      <c r="E96" s="2"/>
      <c r="F96" s="19"/>
      <c r="G96" s="2"/>
      <c r="H96" s="2">
        <f>-8.15</f>
        <v>-8.15</v>
      </c>
      <c r="I96" s="2"/>
      <c r="J96" s="19"/>
      <c r="K96" s="2"/>
      <c r="L96" s="2">
        <f t="shared" si="0"/>
        <v>8.15</v>
      </c>
      <c r="M96" s="2"/>
      <c r="N96" s="19">
        <f t="shared" si="1"/>
        <v>-1</v>
      </c>
      <c r="O96" s="11"/>
      <c r="P96" s="2">
        <f>0</f>
        <v>0</v>
      </c>
      <c r="Q96" s="2"/>
      <c r="R96" s="19"/>
      <c r="S96" s="2"/>
      <c r="T96" s="2">
        <f>-8.15</f>
        <v>-8.15</v>
      </c>
      <c r="U96" s="2"/>
      <c r="V96" s="19"/>
      <c r="W96" s="2"/>
      <c r="X96" s="2">
        <f t="shared" si="2"/>
        <v>8.15</v>
      </c>
      <c r="Y96" s="2"/>
      <c r="Z96" s="19">
        <f t="shared" si="3"/>
        <v>-1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collapsed="1" x14ac:dyDescent="0.25">
      <c r="A98" s="10"/>
      <c r="B98" s="25" t="s">
        <v>8</v>
      </c>
      <c r="C98" s="10"/>
      <c r="D98" s="4">
        <f>SUM(OSRRefD16x_0)</f>
        <v>1081423.06</v>
      </c>
      <c r="E98" s="4"/>
      <c r="F98" s="12">
        <f t="shared" ref="F98:F145" si="21">IF(D$12=0,0,D98/D$12)</f>
        <v>0.67712130351950106</v>
      </c>
      <c r="G98" s="4"/>
      <c r="H98" s="4">
        <f>SUM(OSRRefH16x_0)</f>
        <v>1770277.83</v>
      </c>
      <c r="I98" s="4"/>
      <c r="J98" s="12">
        <f t="shared" ref="J98:J145" si="22">IF(H$12=0,0,H98/H$12)</f>
        <v>0.65492937604581947</v>
      </c>
      <c r="K98" s="4"/>
      <c r="L98" s="4">
        <f t="shared" ref="L98:L145" si="23">+D98-H98</f>
        <v>-688854.77</v>
      </c>
      <c r="M98" s="4"/>
      <c r="N98" s="12">
        <f t="shared" ref="N98:N145" si="24">IF(H98=0,0,L98/H98)</f>
        <v>-0.38912240684842109</v>
      </c>
      <c r="O98" s="10"/>
      <c r="P98" s="4">
        <f>SUM(OSRRefP16x_0)</f>
        <v>1222818.3300000003</v>
      </c>
      <c r="Q98" s="4"/>
      <c r="R98" s="12">
        <f t="shared" ref="R98:R145" si="25">IF(P$12=0,0,P98/P$12)</f>
        <v>0.67012690395555063</v>
      </c>
      <c r="S98" s="4"/>
      <c r="T98" s="4">
        <f>SUM(OSRRefT16x_0)</f>
        <v>1964200.2600000012</v>
      </c>
      <c r="U98" s="4"/>
      <c r="V98" s="12">
        <f t="shared" ref="V98:V145" si="26">IF(T$12=0,0,T98/T$12)</f>
        <v>0.64295784636083375</v>
      </c>
      <c r="W98" s="4"/>
      <c r="X98" s="4">
        <f t="shared" ref="X98:X145" si="27">+P98-T98</f>
        <v>-741381.93000000087</v>
      </c>
      <c r="Y98" s="4"/>
      <c r="Z98" s="12">
        <f t="shared" ref="Z98:Z145" si="28">IF(T98=0,0,X98/T98)</f>
        <v>-0.37744722119118362</v>
      </c>
    </row>
    <row r="99" spans="1:26" s="24" customFormat="1" hidden="1" outlineLevel="1" x14ac:dyDescent="0.25">
      <c r="A99" s="44"/>
      <c r="B99" s="11" t="str">
        <f>CONCATENATE("          ", "5001", " - ", "PURCHASES @ COST-NEW TEXT")</f>
        <v xml:space="preserve">          5001 - PURCHASES @ COST-NEW TEXT</v>
      </c>
      <c r="C99" s="11"/>
      <c r="D99" s="2">
        <v>538222.14</v>
      </c>
      <c r="E99" s="2"/>
      <c r="F99" s="19">
        <f t="shared" si="21"/>
        <v>0.33700194724889204</v>
      </c>
      <c r="G99" s="2"/>
      <c r="H99" s="2">
        <v>1483764.14</v>
      </c>
      <c r="I99" s="2"/>
      <c r="J99" s="19">
        <f t="shared" si="22"/>
        <v>0.54893119370385035</v>
      </c>
      <c r="K99" s="2"/>
      <c r="L99" s="2">
        <f t="shared" si="23"/>
        <v>-945541.99999999988</v>
      </c>
      <c r="M99" s="2"/>
      <c r="N99" s="19">
        <f t="shared" si="24"/>
        <v>-0.63725896489181899</v>
      </c>
      <c r="O99" s="11"/>
      <c r="P99" s="2">
        <v>691332.77</v>
      </c>
      <c r="Q99" s="2"/>
      <c r="R99" s="19">
        <f t="shared" si="25"/>
        <v>0.37886305544922166</v>
      </c>
      <c r="S99" s="2"/>
      <c r="T99" s="2">
        <v>1827758.7</v>
      </c>
      <c r="U99" s="2"/>
      <c r="V99" s="19">
        <f t="shared" si="26"/>
        <v>0.5982953069252096</v>
      </c>
      <c r="W99" s="2"/>
      <c r="X99" s="2">
        <f t="shared" si="27"/>
        <v>-1136425.93</v>
      </c>
      <c r="Y99" s="2"/>
      <c r="Z99" s="19">
        <f t="shared" si="28"/>
        <v>-0.62175927818042942</v>
      </c>
    </row>
    <row r="100" spans="1:26" s="24" customFormat="1" hidden="1" outlineLevel="1" x14ac:dyDescent="0.25">
      <c r="A100" s="44"/>
      <c r="B100" s="11" t="str">
        <f>CONCATENATE("          ", "5002", " - ", "PURCHASES @ COST-USED TEXT")</f>
        <v xml:space="preserve">          5002 - PURCHASES @ COST-USED TEXT</v>
      </c>
      <c r="C100" s="11"/>
      <c r="D100" s="2">
        <v>128042.67</v>
      </c>
      <c r="E100" s="2"/>
      <c r="F100" s="19">
        <f t="shared" si="21"/>
        <v>8.0172527129685311E-2</v>
      </c>
      <c r="G100" s="2"/>
      <c r="H100" s="2">
        <v>224687.41999999998</v>
      </c>
      <c r="I100" s="2"/>
      <c r="J100" s="19">
        <f t="shared" si="22"/>
        <v>8.312502664395055E-2</v>
      </c>
      <c r="K100" s="2"/>
      <c r="L100" s="2">
        <f t="shared" si="23"/>
        <v>-96644.749999999985</v>
      </c>
      <c r="M100" s="2"/>
      <c r="N100" s="19">
        <f t="shared" si="24"/>
        <v>-0.43012977762617949</v>
      </c>
      <c r="O100" s="11"/>
      <c r="P100" s="2">
        <v>188367.52</v>
      </c>
      <c r="Q100" s="2"/>
      <c r="R100" s="19">
        <f t="shared" si="25"/>
        <v>0.10322886064636046</v>
      </c>
      <c r="S100" s="2"/>
      <c r="T100" s="2">
        <v>334980.67</v>
      </c>
      <c r="U100" s="2"/>
      <c r="V100" s="19">
        <f t="shared" si="26"/>
        <v>0.10965198128815491</v>
      </c>
      <c r="W100" s="2"/>
      <c r="X100" s="2">
        <f t="shared" si="27"/>
        <v>-146613.15</v>
      </c>
      <c r="Y100" s="2"/>
      <c r="Z100" s="19">
        <f t="shared" si="28"/>
        <v>-0.4376764486141842</v>
      </c>
    </row>
    <row r="101" spans="1:26" s="24" customFormat="1" hidden="1" outlineLevel="1" x14ac:dyDescent="0.25">
      <c r="A101" s="44"/>
      <c r="B101" s="11" t="str">
        <f>CONCATENATE("          ", "5003", " - ", "PURCHASES @ COST-RENTAL TEXT")</f>
        <v xml:space="preserve">          5003 - PURCHASES @ COST-RENTAL TEXT</v>
      </c>
      <c r="C101" s="11"/>
      <c r="D101" s="2">
        <v>58.8</v>
      </c>
      <c r="E101" s="2"/>
      <c r="F101" s="19">
        <f t="shared" si="21"/>
        <v>3.6816981364302201E-5</v>
      </c>
      <c r="G101" s="2"/>
      <c r="H101" s="2">
        <v>-38374.199999999997</v>
      </c>
      <c r="I101" s="2"/>
      <c r="J101" s="19">
        <f t="shared" si="22"/>
        <v>-1.4196862456475254E-2</v>
      </c>
      <c r="K101" s="2"/>
      <c r="L101" s="2">
        <f t="shared" si="23"/>
        <v>38433</v>
      </c>
      <c r="M101" s="2"/>
      <c r="N101" s="19">
        <f t="shared" si="24"/>
        <v>-1.0015322795002892</v>
      </c>
      <c r="O101" s="11"/>
      <c r="P101" s="2">
        <v>-11867.84</v>
      </c>
      <c r="Q101" s="2"/>
      <c r="R101" s="19">
        <f t="shared" si="25"/>
        <v>-6.5037942928446611E-3</v>
      </c>
      <c r="S101" s="2"/>
      <c r="T101" s="2">
        <v>-78.400000000000006</v>
      </c>
      <c r="U101" s="2"/>
      <c r="V101" s="19">
        <f t="shared" si="26"/>
        <v>-2.5663317626630057E-5</v>
      </c>
      <c r="W101" s="2"/>
      <c r="X101" s="2">
        <f t="shared" si="27"/>
        <v>-11789.44</v>
      </c>
      <c r="Y101" s="2"/>
      <c r="Z101" s="19">
        <f t="shared" si="28"/>
        <v>150.37551020408162</v>
      </c>
    </row>
    <row r="102" spans="1:26" s="24" customFormat="1" hidden="1" outlineLevel="1" x14ac:dyDescent="0.25">
      <c r="A102" s="44"/>
      <c r="B102" s="11" t="str">
        <f>CONCATENATE("          ", "5004", " - ", "PURCHASES @ COST-DIGITAL TEXT")</f>
        <v xml:space="preserve">          5004 - PURCHASES @ COST-DIGITAL TEXT</v>
      </c>
      <c r="C102" s="11"/>
      <c r="D102" s="2">
        <v>117504.49</v>
      </c>
      <c r="E102" s="2"/>
      <c r="F102" s="19">
        <f t="shared" si="21"/>
        <v>7.3574160179452966E-2</v>
      </c>
      <c r="G102" s="2"/>
      <c r="H102" s="2">
        <v>169007.92</v>
      </c>
      <c r="I102" s="2"/>
      <c r="J102" s="19">
        <f t="shared" si="22"/>
        <v>6.2525920912878286E-2</v>
      </c>
      <c r="K102" s="2"/>
      <c r="L102" s="2">
        <f t="shared" si="23"/>
        <v>-51503.430000000008</v>
      </c>
      <c r="M102" s="2"/>
      <c r="N102" s="19">
        <f t="shared" si="24"/>
        <v>-0.30473974237420354</v>
      </c>
      <c r="O102" s="11"/>
      <c r="P102" s="2">
        <v>122429.97</v>
      </c>
      <c r="Q102" s="2"/>
      <c r="R102" s="19">
        <f t="shared" si="25"/>
        <v>6.7093872192340226E-2</v>
      </c>
      <c r="S102" s="2"/>
      <c r="T102" s="2">
        <v>302966.49000000005</v>
      </c>
      <c r="U102" s="2"/>
      <c r="V102" s="19">
        <f t="shared" si="26"/>
        <v>9.9172516110908659E-2</v>
      </c>
      <c r="W102" s="2"/>
      <c r="X102" s="2">
        <f t="shared" si="27"/>
        <v>-180536.52000000005</v>
      </c>
      <c r="Y102" s="2"/>
      <c r="Z102" s="19">
        <f t="shared" si="28"/>
        <v>-0.59589600156769817</v>
      </c>
    </row>
    <row r="103" spans="1:26" s="24" customFormat="1" hidden="1" outlineLevel="1" x14ac:dyDescent="0.25">
      <c r="A103" s="44"/>
      <c r="B103" s="11" t="str">
        <f>CONCATENATE("          ", "5011", " - ", "PURCHASES @ COST-NO VALUE TEXT")</f>
        <v xml:space="preserve">          5011 - PURCHASES @ COST-NO VALUE TEXT</v>
      </c>
      <c r="C103" s="11"/>
      <c r="D103" s="2"/>
      <c r="E103" s="2"/>
      <c r="F103" s="19">
        <f t="shared" si="21"/>
        <v>0</v>
      </c>
      <c r="G103" s="2"/>
      <c r="H103" s="2">
        <v>369</v>
      </c>
      <c r="I103" s="2"/>
      <c r="J103" s="19">
        <f t="shared" si="22"/>
        <v>1.3651469597905283E-4</v>
      </c>
      <c r="K103" s="2"/>
      <c r="L103" s="2">
        <f t="shared" si="23"/>
        <v>-369</v>
      </c>
      <c r="M103" s="2"/>
      <c r="N103" s="19">
        <f t="shared" si="24"/>
        <v>-1</v>
      </c>
      <c r="O103" s="11"/>
      <c r="P103" s="2"/>
      <c r="Q103" s="2"/>
      <c r="R103" s="19">
        <f t="shared" si="25"/>
        <v>0</v>
      </c>
      <c r="S103" s="2"/>
      <c r="T103" s="2">
        <v>657</v>
      </c>
      <c r="U103" s="2"/>
      <c r="V103" s="19">
        <f t="shared" si="26"/>
        <v>2.1506122041704012E-4</v>
      </c>
      <c r="W103" s="2"/>
      <c r="X103" s="2">
        <f t="shared" si="27"/>
        <v>-657</v>
      </c>
      <c r="Y103" s="2"/>
      <c r="Z103" s="19">
        <f t="shared" si="28"/>
        <v>-1</v>
      </c>
    </row>
    <row r="104" spans="1:26" s="24" customFormat="1" hidden="1" outlineLevel="1" x14ac:dyDescent="0.25">
      <c r="A104" s="44"/>
      <c r="B104" s="11" t="str">
        <f>CONCATENATE("          ", "5013", " - ", "PURCHASES @ COST-TRADE BOOKS")</f>
        <v xml:space="preserve">          5013 - PURCHASES @ COST-TRADE BOOKS</v>
      </c>
      <c r="C104" s="11"/>
      <c r="D104" s="2"/>
      <c r="E104" s="2"/>
      <c r="F104" s="19">
        <f t="shared" si="21"/>
        <v>0</v>
      </c>
      <c r="G104" s="2"/>
      <c r="H104" s="2"/>
      <c r="I104" s="2"/>
      <c r="J104" s="19">
        <f t="shared" si="22"/>
        <v>0</v>
      </c>
      <c r="K104" s="2"/>
      <c r="L104" s="2">
        <f t="shared" si="23"/>
        <v>0</v>
      </c>
      <c r="M104" s="2"/>
      <c r="N104" s="19">
        <f t="shared" si="24"/>
        <v>0</v>
      </c>
      <c r="O104" s="11"/>
      <c r="P104" s="2">
        <v>108.54</v>
      </c>
      <c r="Q104" s="2"/>
      <c r="R104" s="19">
        <f t="shared" si="25"/>
        <v>5.9481913519676668E-5</v>
      </c>
      <c r="S104" s="2"/>
      <c r="T104" s="2">
        <v>204.9</v>
      </c>
      <c r="U104" s="2"/>
      <c r="V104" s="19">
        <f t="shared" si="26"/>
        <v>6.7071604358373698E-5</v>
      </c>
      <c r="W104" s="2"/>
      <c r="X104" s="2">
        <f t="shared" si="27"/>
        <v>-96.36</v>
      </c>
      <c r="Y104" s="2"/>
      <c r="Z104" s="19">
        <f t="shared" si="28"/>
        <v>-0.47027818448023423</v>
      </c>
    </row>
    <row r="105" spans="1:26" s="24" customFormat="1" hidden="1" outlineLevel="1" x14ac:dyDescent="0.25">
      <c r="A105" s="44"/>
      <c r="B105" s="11" t="str">
        <f>CONCATENATE("          ", "5014", " - ", "PURCHASES @ COST-REMAINDERS")</f>
        <v xml:space="preserve">          5014 - PURCHASES @ COST-REMAINDERS</v>
      </c>
      <c r="C105" s="11"/>
      <c r="D105" s="2"/>
      <c r="E105" s="2"/>
      <c r="F105" s="19">
        <f t="shared" si="21"/>
        <v>0</v>
      </c>
      <c r="G105" s="2"/>
      <c r="H105" s="2">
        <v>133.84</v>
      </c>
      <c r="I105" s="2"/>
      <c r="J105" s="19">
        <f t="shared" si="22"/>
        <v>4.9515249078147514E-5</v>
      </c>
      <c r="K105" s="2"/>
      <c r="L105" s="2">
        <f t="shared" si="23"/>
        <v>-133.84</v>
      </c>
      <c r="M105" s="2"/>
      <c r="N105" s="19">
        <f t="shared" si="24"/>
        <v>-1</v>
      </c>
      <c r="O105" s="11"/>
      <c r="P105" s="2">
        <v>-12.51</v>
      </c>
      <c r="Q105" s="2"/>
      <c r="R105" s="19">
        <f t="shared" si="25"/>
        <v>-6.855709767193247E-6</v>
      </c>
      <c r="S105" s="2"/>
      <c r="T105" s="2">
        <v>234.32</v>
      </c>
      <c r="U105" s="2"/>
      <c r="V105" s="19">
        <f t="shared" si="26"/>
        <v>7.6701895233060639E-5</v>
      </c>
      <c r="W105" s="2"/>
      <c r="X105" s="2">
        <f t="shared" si="27"/>
        <v>-246.82999999999998</v>
      </c>
      <c r="Y105" s="2"/>
      <c r="Z105" s="19">
        <f t="shared" si="28"/>
        <v>-1.0533885285080231</v>
      </c>
    </row>
    <row r="106" spans="1:26" s="24" customFormat="1" hidden="1" outlineLevel="1" x14ac:dyDescent="0.25">
      <c r="A106" s="44"/>
      <c r="B106" s="11" t="str">
        <f>CONCATENATE("          ", "5017", " - ", "PURCHASES @ COST-DORM/HOUSEWAR")</f>
        <v xml:space="preserve">          5017 - PURCHASES @ COST-DORM/HOUSEWAR</v>
      </c>
      <c r="C106" s="11"/>
      <c r="D106" s="2"/>
      <c r="E106" s="2"/>
      <c r="F106" s="19">
        <f t="shared" si="21"/>
        <v>0</v>
      </c>
      <c r="G106" s="2"/>
      <c r="H106" s="2">
        <v>139.86000000000001</v>
      </c>
      <c r="I106" s="2"/>
      <c r="J106" s="19">
        <f t="shared" si="22"/>
        <v>5.1742399402792225E-5</v>
      </c>
      <c r="K106" s="2"/>
      <c r="L106" s="2">
        <f t="shared" si="23"/>
        <v>-139.86000000000001</v>
      </c>
      <c r="M106" s="2"/>
      <c r="N106" s="19">
        <f t="shared" si="24"/>
        <v>-1</v>
      </c>
      <c r="O106" s="11"/>
      <c r="P106" s="2"/>
      <c r="Q106" s="2"/>
      <c r="R106" s="19">
        <f t="shared" si="25"/>
        <v>0</v>
      </c>
      <c r="S106" s="2"/>
      <c r="T106" s="2">
        <v>139.86000000000001</v>
      </c>
      <c r="U106" s="2"/>
      <c r="V106" s="19">
        <f t="shared" si="26"/>
        <v>4.5781525551791831E-5</v>
      </c>
      <c r="W106" s="2"/>
      <c r="X106" s="2">
        <f t="shared" si="27"/>
        <v>-139.86000000000001</v>
      </c>
      <c r="Y106" s="2"/>
      <c r="Z106" s="19">
        <f t="shared" si="28"/>
        <v>-1</v>
      </c>
    </row>
    <row r="107" spans="1:26" s="24" customFormat="1" hidden="1" outlineLevel="1" x14ac:dyDescent="0.25">
      <c r="A107" s="44"/>
      <c r="B107" s="11" t="str">
        <f>CONCATENATE("          ", "5018", " - ", "PURCHASES @ COST-STUDY GUIDES")</f>
        <v xml:space="preserve">          5018 - PURCHASES @ COST-STUDY GUIDES</v>
      </c>
      <c r="C107" s="11"/>
      <c r="D107" s="2"/>
      <c r="E107" s="2"/>
      <c r="F107" s="19">
        <f t="shared" si="21"/>
        <v>0</v>
      </c>
      <c r="G107" s="2"/>
      <c r="H107" s="2"/>
      <c r="I107" s="2"/>
      <c r="J107" s="19">
        <f t="shared" si="22"/>
        <v>0</v>
      </c>
      <c r="K107" s="2"/>
      <c r="L107" s="2">
        <f t="shared" si="23"/>
        <v>0</v>
      </c>
      <c r="M107" s="2"/>
      <c r="N107" s="19">
        <f t="shared" si="24"/>
        <v>0</v>
      </c>
      <c r="O107" s="11"/>
      <c r="P107" s="2"/>
      <c r="Q107" s="2"/>
      <c r="R107" s="19">
        <f t="shared" si="25"/>
        <v>0</v>
      </c>
      <c r="S107" s="2"/>
      <c r="T107" s="2">
        <v>503.93</v>
      </c>
      <c r="U107" s="2"/>
      <c r="V107" s="19">
        <f t="shared" si="26"/>
        <v>1.6495555678045515E-4</v>
      </c>
      <c r="W107" s="2"/>
      <c r="X107" s="2">
        <f t="shared" si="27"/>
        <v>-503.93</v>
      </c>
      <c r="Y107" s="2"/>
      <c r="Z107" s="19">
        <f t="shared" si="28"/>
        <v>-1</v>
      </c>
    </row>
    <row r="108" spans="1:26" s="24" customFormat="1" hidden="1" outlineLevel="1" x14ac:dyDescent="0.25">
      <c r="A108" s="44"/>
      <c r="B108" s="11" t="str">
        <f>CONCATENATE("          ", "5025", " - ", "PURCHASES @ COST-TEST FORMS")</f>
        <v xml:space="preserve">          5025 - PURCHASES @ COST-TEST FORMS</v>
      </c>
      <c r="C108" s="11"/>
      <c r="D108" s="2"/>
      <c r="E108" s="2"/>
      <c r="F108" s="19">
        <f t="shared" si="21"/>
        <v>0</v>
      </c>
      <c r="G108" s="2"/>
      <c r="H108" s="2">
        <v>878.02</v>
      </c>
      <c r="I108" s="2"/>
      <c r="J108" s="19">
        <f t="shared" si="22"/>
        <v>3.2483098472500804E-4</v>
      </c>
      <c r="K108" s="2"/>
      <c r="L108" s="2">
        <f t="shared" si="23"/>
        <v>-878.02</v>
      </c>
      <c r="M108" s="2"/>
      <c r="N108" s="19">
        <f t="shared" si="24"/>
        <v>-1</v>
      </c>
      <c r="O108" s="11"/>
      <c r="P108" s="2"/>
      <c r="Q108" s="2"/>
      <c r="R108" s="19">
        <f t="shared" si="25"/>
        <v>0</v>
      </c>
      <c r="S108" s="2"/>
      <c r="T108" s="2">
        <v>1757.14</v>
      </c>
      <c r="U108" s="2"/>
      <c r="V108" s="19">
        <f t="shared" si="26"/>
        <v>5.7517910630684613E-4</v>
      </c>
      <c r="W108" s="2"/>
      <c r="X108" s="2">
        <f t="shared" si="27"/>
        <v>-1757.14</v>
      </c>
      <c r="Y108" s="2"/>
      <c r="Z108" s="19">
        <f t="shared" si="28"/>
        <v>-1</v>
      </c>
    </row>
    <row r="109" spans="1:26" s="24" customFormat="1" hidden="1" outlineLevel="1" x14ac:dyDescent="0.25">
      <c r="A109" s="44"/>
      <c r="B109" s="11" t="str">
        <f>CONCATENATE("          ", "5026", " - ", "PURCHASES @ COST-WRITING INSTR")</f>
        <v xml:space="preserve">          5026 - PURCHASES @ COST-WRITING INSTR</v>
      </c>
      <c r="C109" s="11"/>
      <c r="D109" s="2"/>
      <c r="E109" s="2"/>
      <c r="F109" s="19">
        <f t="shared" si="21"/>
        <v>0</v>
      </c>
      <c r="G109" s="2"/>
      <c r="H109" s="2">
        <v>2205.4899999999998</v>
      </c>
      <c r="I109" s="2"/>
      <c r="J109" s="19">
        <f t="shared" si="22"/>
        <v>8.1593982882070793E-4</v>
      </c>
      <c r="K109" s="2"/>
      <c r="L109" s="2">
        <f t="shared" si="23"/>
        <v>-2205.4899999999998</v>
      </c>
      <c r="M109" s="2"/>
      <c r="N109" s="19">
        <f t="shared" si="24"/>
        <v>-1</v>
      </c>
      <c r="O109" s="11"/>
      <c r="P109" s="2"/>
      <c r="Q109" s="2"/>
      <c r="R109" s="19">
        <f t="shared" si="25"/>
        <v>0</v>
      </c>
      <c r="S109" s="2"/>
      <c r="T109" s="2">
        <v>12536.53</v>
      </c>
      <c r="U109" s="2"/>
      <c r="V109" s="19">
        <f t="shared" si="26"/>
        <v>4.103685603645108E-3</v>
      </c>
      <c r="W109" s="2"/>
      <c r="X109" s="2">
        <f t="shared" si="27"/>
        <v>-12536.53</v>
      </c>
      <c r="Y109" s="2"/>
      <c r="Z109" s="19">
        <f t="shared" si="28"/>
        <v>-1</v>
      </c>
    </row>
    <row r="110" spans="1:26" s="24" customFormat="1" hidden="1" outlineLevel="1" x14ac:dyDescent="0.25">
      <c r="A110" s="44"/>
      <c r="B110" s="11" t="str">
        <f>CONCATENATE("          ", "5027", " - ", "PURCHASES @ COST-SCHOOL SUPPLI")</f>
        <v xml:space="preserve">          5027 - PURCHASES @ COST-SCHOOL SUPPLI</v>
      </c>
      <c r="C110" s="11"/>
      <c r="D110" s="2"/>
      <c r="E110" s="2"/>
      <c r="F110" s="19">
        <f t="shared" si="21"/>
        <v>0</v>
      </c>
      <c r="G110" s="2"/>
      <c r="H110" s="2">
        <v>-588.74</v>
      </c>
      <c r="I110" s="2"/>
      <c r="J110" s="19">
        <f t="shared" si="22"/>
        <v>-2.1780938241384166E-4</v>
      </c>
      <c r="K110" s="2"/>
      <c r="L110" s="2">
        <f t="shared" si="23"/>
        <v>588.74</v>
      </c>
      <c r="M110" s="2"/>
      <c r="N110" s="19">
        <f t="shared" si="24"/>
        <v>-1</v>
      </c>
      <c r="O110" s="11"/>
      <c r="P110" s="2">
        <v>8503.4</v>
      </c>
      <c r="Q110" s="2"/>
      <c r="R110" s="19">
        <f t="shared" si="25"/>
        <v>4.6600193792446891E-3</v>
      </c>
      <c r="S110" s="2"/>
      <c r="T110" s="2">
        <v>49526.729999999996</v>
      </c>
      <c r="U110" s="2"/>
      <c r="V110" s="19">
        <f t="shared" si="26"/>
        <v>1.6211992385183002E-2</v>
      </c>
      <c r="W110" s="2"/>
      <c r="X110" s="2">
        <f t="shared" si="27"/>
        <v>-41023.329999999994</v>
      </c>
      <c r="Y110" s="2"/>
      <c r="Z110" s="19">
        <f t="shared" si="28"/>
        <v>-0.82830685571205687</v>
      </c>
    </row>
    <row r="111" spans="1:26" s="24" customFormat="1" hidden="1" outlineLevel="1" x14ac:dyDescent="0.25">
      <c r="A111" s="44"/>
      <c r="B111" s="11" t="str">
        <f>CONCATENATE("          ", "5028", " - ", "PURCHASES @ COST-ART/TECH")</f>
        <v xml:space="preserve">          5028 - PURCHASES @ COST-ART/TECH</v>
      </c>
      <c r="C111" s="11"/>
      <c r="D111" s="2"/>
      <c r="E111" s="2"/>
      <c r="F111" s="19">
        <f t="shared" si="21"/>
        <v>0</v>
      </c>
      <c r="G111" s="2"/>
      <c r="H111" s="2">
        <v>27987.119999999999</v>
      </c>
      <c r="I111" s="2"/>
      <c r="J111" s="19">
        <f t="shared" si="22"/>
        <v>1.0354073653466854E-2</v>
      </c>
      <c r="K111" s="2"/>
      <c r="L111" s="2">
        <f t="shared" si="23"/>
        <v>-27987.119999999999</v>
      </c>
      <c r="M111" s="2"/>
      <c r="N111" s="19">
        <f t="shared" si="24"/>
        <v>-1</v>
      </c>
      <c r="O111" s="11"/>
      <c r="P111" s="2"/>
      <c r="Q111" s="2"/>
      <c r="R111" s="19">
        <f t="shared" si="25"/>
        <v>0</v>
      </c>
      <c r="S111" s="2"/>
      <c r="T111" s="2">
        <v>56014.77</v>
      </c>
      <c r="U111" s="2"/>
      <c r="V111" s="19">
        <f t="shared" si="26"/>
        <v>1.8335775947610055E-2</v>
      </c>
      <c r="W111" s="2"/>
      <c r="X111" s="2">
        <f t="shared" si="27"/>
        <v>-56014.77</v>
      </c>
      <c r="Y111" s="2"/>
      <c r="Z111" s="19">
        <f t="shared" si="28"/>
        <v>-1</v>
      </c>
    </row>
    <row r="112" spans="1:26" s="24" customFormat="1" hidden="1" outlineLevel="1" x14ac:dyDescent="0.25">
      <c r="A112" s="44"/>
      <c r="B112" s="11" t="str">
        <f>CONCATENATE("          ", "5031", " - ", "PURCHASES @ COST-FOOD")</f>
        <v xml:space="preserve">          5031 - PURCHASES @ COST-FOOD</v>
      </c>
      <c r="C112" s="11"/>
      <c r="D112" s="2"/>
      <c r="E112" s="2"/>
      <c r="F112" s="19">
        <f t="shared" si="21"/>
        <v>0</v>
      </c>
      <c r="G112" s="2"/>
      <c r="H112" s="2">
        <v>2679.04</v>
      </c>
      <c r="I112" s="2"/>
      <c r="J112" s="19">
        <f t="shared" si="22"/>
        <v>9.9113368866049251E-4</v>
      </c>
      <c r="K112" s="2"/>
      <c r="L112" s="2">
        <f t="shared" si="23"/>
        <v>-2679.04</v>
      </c>
      <c r="M112" s="2"/>
      <c r="N112" s="19">
        <f t="shared" si="24"/>
        <v>-1</v>
      </c>
      <c r="O112" s="11"/>
      <c r="P112" s="2"/>
      <c r="Q112" s="2"/>
      <c r="R112" s="19">
        <f t="shared" si="25"/>
        <v>0</v>
      </c>
      <c r="S112" s="2"/>
      <c r="T112" s="2">
        <v>2679.04</v>
      </c>
      <c r="U112" s="2"/>
      <c r="V112" s="19">
        <f t="shared" si="26"/>
        <v>8.7695222518427267E-4</v>
      </c>
      <c r="W112" s="2"/>
      <c r="X112" s="2">
        <f t="shared" si="27"/>
        <v>-2679.04</v>
      </c>
      <c r="Y112" s="2"/>
      <c r="Z112" s="19">
        <f t="shared" si="28"/>
        <v>-1</v>
      </c>
    </row>
    <row r="113" spans="1:26" s="24" customFormat="1" hidden="1" outlineLevel="1" x14ac:dyDescent="0.25">
      <c r="A113" s="44"/>
      <c r="B113" s="11" t="str">
        <f>CONCATENATE("          ", "5032", " - ", "PURCHASES @ COST-JUICE")</f>
        <v xml:space="preserve">          5032 - PURCHASES @ COST-JUICE</v>
      </c>
      <c r="C113" s="11"/>
      <c r="D113" s="2"/>
      <c r="E113" s="2"/>
      <c r="F113" s="19">
        <f t="shared" si="21"/>
        <v>0</v>
      </c>
      <c r="G113" s="2"/>
      <c r="H113" s="2">
        <v>227.18</v>
      </c>
      <c r="I113" s="2"/>
      <c r="J113" s="19">
        <f t="shared" si="22"/>
        <v>8.4047177865911185E-5</v>
      </c>
      <c r="K113" s="2"/>
      <c r="L113" s="2">
        <f t="shared" si="23"/>
        <v>-227.18</v>
      </c>
      <c r="M113" s="2"/>
      <c r="N113" s="19">
        <f t="shared" si="24"/>
        <v>-1</v>
      </c>
      <c r="O113" s="11"/>
      <c r="P113" s="2"/>
      <c r="Q113" s="2"/>
      <c r="R113" s="19">
        <f t="shared" si="25"/>
        <v>0</v>
      </c>
      <c r="S113" s="2"/>
      <c r="T113" s="2">
        <v>341.6</v>
      </c>
      <c r="U113" s="2"/>
      <c r="V113" s="19">
        <f t="shared" si="26"/>
        <v>1.1181874108745953E-4</v>
      </c>
      <c r="W113" s="2"/>
      <c r="X113" s="2">
        <f t="shared" si="27"/>
        <v>-341.6</v>
      </c>
      <c r="Y113" s="2"/>
      <c r="Z113" s="19">
        <f t="shared" si="28"/>
        <v>-1</v>
      </c>
    </row>
    <row r="114" spans="1:26" s="24" customFormat="1" hidden="1" outlineLevel="1" x14ac:dyDescent="0.25">
      <c r="A114" s="44"/>
      <c r="B114" s="11" t="str">
        <f>CONCATENATE("          ", "5033", " - ", "PURCHASES @ COST-CANDY")</f>
        <v xml:space="preserve">          5033 - PURCHASES @ COST-CANDY</v>
      </c>
      <c r="C114" s="11"/>
      <c r="D114" s="2"/>
      <c r="E114" s="2"/>
      <c r="F114" s="19">
        <f t="shared" si="21"/>
        <v>0</v>
      </c>
      <c r="G114" s="2"/>
      <c r="H114" s="2">
        <v>986.46</v>
      </c>
      <c r="I114" s="2"/>
      <c r="J114" s="19">
        <f t="shared" si="22"/>
        <v>3.6494928725066796E-4</v>
      </c>
      <c r="K114" s="2"/>
      <c r="L114" s="2">
        <f t="shared" si="23"/>
        <v>-986.46</v>
      </c>
      <c r="M114" s="2"/>
      <c r="N114" s="19">
        <f t="shared" si="24"/>
        <v>-1</v>
      </c>
      <c r="O114" s="11"/>
      <c r="P114" s="2"/>
      <c r="Q114" s="2"/>
      <c r="R114" s="19">
        <f t="shared" si="25"/>
        <v>0</v>
      </c>
      <c r="S114" s="2"/>
      <c r="T114" s="2">
        <v>986.46</v>
      </c>
      <c r="U114" s="2"/>
      <c r="V114" s="19">
        <f t="shared" si="26"/>
        <v>3.2290607533119238E-4</v>
      </c>
      <c r="W114" s="2"/>
      <c r="X114" s="2">
        <f t="shared" si="27"/>
        <v>-986.46</v>
      </c>
      <c r="Y114" s="2"/>
      <c r="Z114" s="19">
        <f t="shared" si="28"/>
        <v>-1</v>
      </c>
    </row>
    <row r="115" spans="1:26" s="24" customFormat="1" hidden="1" outlineLevel="1" x14ac:dyDescent="0.25">
      <c r="A115" s="44"/>
      <c r="B115" s="11" t="str">
        <f>CONCATENATE("          ", "5034", " - ", "PURCHASES @ COST-SODA")</f>
        <v xml:space="preserve">          5034 - PURCHASES @ COST-SODA</v>
      </c>
      <c r="C115" s="11"/>
      <c r="D115" s="2"/>
      <c r="E115" s="2"/>
      <c r="F115" s="19">
        <f t="shared" si="21"/>
        <v>0</v>
      </c>
      <c r="G115" s="2"/>
      <c r="H115" s="2">
        <v>350.04</v>
      </c>
      <c r="I115" s="2"/>
      <c r="J115" s="19">
        <f t="shared" si="22"/>
        <v>1.2950028233199906E-4</v>
      </c>
      <c r="K115" s="2"/>
      <c r="L115" s="2">
        <f t="shared" si="23"/>
        <v>-350.04</v>
      </c>
      <c r="M115" s="2"/>
      <c r="N115" s="19">
        <f t="shared" si="24"/>
        <v>-1</v>
      </c>
      <c r="O115" s="11"/>
      <c r="P115" s="2"/>
      <c r="Q115" s="2"/>
      <c r="R115" s="19">
        <f t="shared" si="25"/>
        <v>0</v>
      </c>
      <c r="S115" s="2"/>
      <c r="T115" s="2">
        <v>288.5</v>
      </c>
      <c r="U115" s="2"/>
      <c r="V115" s="19">
        <f t="shared" si="26"/>
        <v>9.44370808071782E-5</v>
      </c>
      <c r="W115" s="2"/>
      <c r="X115" s="2">
        <f t="shared" si="27"/>
        <v>-288.5</v>
      </c>
      <c r="Y115" s="2"/>
      <c r="Z115" s="19">
        <f t="shared" si="28"/>
        <v>-1</v>
      </c>
    </row>
    <row r="116" spans="1:26" s="24" customFormat="1" hidden="1" outlineLevel="1" x14ac:dyDescent="0.25">
      <c r="A116" s="44"/>
      <c r="B116" s="11" t="str">
        <f>CONCATENATE("          ", "5035", " - ", "PURCHASES @ COST-HEALTH &amp; BEAU")</f>
        <v xml:space="preserve">          5035 - PURCHASES @ COST-HEALTH &amp; BEAU</v>
      </c>
      <c r="C116" s="11"/>
      <c r="D116" s="2"/>
      <c r="E116" s="2"/>
      <c r="F116" s="19">
        <f t="shared" si="21"/>
        <v>0</v>
      </c>
      <c r="G116" s="2"/>
      <c r="H116" s="2">
        <v>76.73</v>
      </c>
      <c r="I116" s="2"/>
      <c r="J116" s="19">
        <f t="shared" si="22"/>
        <v>2.8386917676077847E-5</v>
      </c>
      <c r="K116" s="2"/>
      <c r="L116" s="2">
        <f t="shared" si="23"/>
        <v>-76.73</v>
      </c>
      <c r="M116" s="2"/>
      <c r="N116" s="19">
        <f t="shared" si="24"/>
        <v>-1</v>
      </c>
      <c r="O116" s="11"/>
      <c r="P116" s="2"/>
      <c r="Q116" s="2"/>
      <c r="R116" s="19">
        <f t="shared" si="25"/>
        <v>0</v>
      </c>
      <c r="S116" s="2"/>
      <c r="T116" s="2">
        <v>76.73</v>
      </c>
      <c r="U116" s="2"/>
      <c r="V116" s="19">
        <f t="shared" si="26"/>
        <v>2.5116662774124033E-5</v>
      </c>
      <c r="W116" s="2"/>
      <c r="X116" s="2">
        <f t="shared" si="27"/>
        <v>-76.73</v>
      </c>
      <c r="Y116" s="2"/>
      <c r="Z116" s="19">
        <f t="shared" si="28"/>
        <v>-1</v>
      </c>
    </row>
    <row r="117" spans="1:26" s="24" customFormat="1" hidden="1" outlineLevel="1" x14ac:dyDescent="0.25">
      <c r="A117" s="44"/>
      <c r="B117" s="11" t="str">
        <f>CONCATENATE("          ", "5037", " - ", "PURCHASES @ COST-WATER")</f>
        <v xml:space="preserve">          5037 - PURCHASES @ COST-WATER</v>
      </c>
      <c r="C117" s="11"/>
      <c r="D117" s="2"/>
      <c r="E117" s="2"/>
      <c r="F117" s="19">
        <f t="shared" si="21"/>
        <v>0</v>
      </c>
      <c r="G117" s="2"/>
      <c r="H117" s="2">
        <v>462.36</v>
      </c>
      <c r="I117" s="2"/>
      <c r="J117" s="19">
        <f t="shared" si="22"/>
        <v>1.7105402393733027E-4</v>
      </c>
      <c r="K117" s="2"/>
      <c r="L117" s="2">
        <f t="shared" si="23"/>
        <v>-462.36</v>
      </c>
      <c r="M117" s="2"/>
      <c r="N117" s="19">
        <f t="shared" si="24"/>
        <v>-1</v>
      </c>
      <c r="O117" s="11"/>
      <c r="P117" s="2"/>
      <c r="Q117" s="2"/>
      <c r="R117" s="19">
        <f t="shared" si="25"/>
        <v>0</v>
      </c>
      <c r="S117" s="2"/>
      <c r="T117" s="2">
        <v>495.94</v>
      </c>
      <c r="U117" s="2"/>
      <c r="V117" s="19">
        <f t="shared" si="26"/>
        <v>1.6234012428253711E-4</v>
      </c>
      <c r="W117" s="2"/>
      <c r="X117" s="2">
        <f t="shared" si="27"/>
        <v>-495.94</v>
      </c>
      <c r="Y117" s="2"/>
      <c r="Z117" s="19">
        <f t="shared" si="28"/>
        <v>-1</v>
      </c>
    </row>
    <row r="118" spans="1:26" s="24" customFormat="1" hidden="1" outlineLevel="1" x14ac:dyDescent="0.25">
      <c r="A118" s="44"/>
      <c r="B118" s="11" t="str">
        <f>CONCATENATE("          ", "5040", " - ", "PURCHASES @ COST-LOGO CLOTHING")</f>
        <v xml:space="preserve">          5040 - PURCHASES @ COST-LOGO CLOTHING</v>
      </c>
      <c r="C118" s="11"/>
      <c r="D118" s="2">
        <v>7628.83</v>
      </c>
      <c r="E118" s="2"/>
      <c r="F118" s="19">
        <f t="shared" si="21"/>
        <v>4.7767090466229517E-3</v>
      </c>
      <c r="G118" s="2"/>
      <c r="H118" s="2">
        <v>106647.4</v>
      </c>
      <c r="I118" s="2"/>
      <c r="J118" s="19">
        <f t="shared" si="22"/>
        <v>3.9455114872510674E-2</v>
      </c>
      <c r="K118" s="2"/>
      <c r="L118" s="2">
        <f t="shared" si="23"/>
        <v>-99018.569999999992</v>
      </c>
      <c r="M118" s="2"/>
      <c r="N118" s="19">
        <f t="shared" si="24"/>
        <v>-0.92846679806540056</v>
      </c>
      <c r="O118" s="11"/>
      <c r="P118" s="2">
        <v>9351.9</v>
      </c>
      <c r="Q118" s="2"/>
      <c r="R118" s="19">
        <f t="shared" si="25"/>
        <v>5.1250129633744626E-3</v>
      </c>
      <c r="S118" s="2"/>
      <c r="T118" s="2">
        <v>185568.97</v>
      </c>
      <c r="U118" s="2"/>
      <c r="V118" s="19">
        <f t="shared" si="26"/>
        <v>6.0743819116793156E-2</v>
      </c>
      <c r="W118" s="2"/>
      <c r="X118" s="2">
        <f t="shared" si="27"/>
        <v>-176217.07</v>
      </c>
      <c r="Y118" s="2"/>
      <c r="Z118" s="19">
        <f t="shared" si="28"/>
        <v>-0.9496041822078336</v>
      </c>
    </row>
    <row r="119" spans="1:26" s="24" customFormat="1" hidden="1" outlineLevel="1" x14ac:dyDescent="0.25">
      <c r="A119" s="44"/>
      <c r="B119" s="11" t="str">
        <f>CONCATENATE("          ", "5041", " - ", "PURCHASES @ COST-LOGO GIFTS")</f>
        <v xml:space="preserve">          5041 - PURCHASES @ COST-LOGO GIFTS</v>
      </c>
      <c r="C119" s="11"/>
      <c r="D119" s="2">
        <v>1843.29</v>
      </c>
      <c r="E119" s="2"/>
      <c r="F119" s="19">
        <f t="shared" si="21"/>
        <v>1.1541560132483776E-3</v>
      </c>
      <c r="G119" s="2"/>
      <c r="H119" s="2">
        <v>16578.89</v>
      </c>
      <c r="I119" s="2"/>
      <c r="J119" s="19">
        <f t="shared" si="22"/>
        <v>6.1335017019516509E-3</v>
      </c>
      <c r="K119" s="2"/>
      <c r="L119" s="2">
        <f t="shared" si="23"/>
        <v>-14735.599999999999</v>
      </c>
      <c r="M119" s="2"/>
      <c r="N119" s="19">
        <f t="shared" si="24"/>
        <v>-0.888817043843104</v>
      </c>
      <c r="O119" s="11"/>
      <c r="P119" s="2">
        <v>1129.54</v>
      </c>
      <c r="Q119" s="2"/>
      <c r="R119" s="19">
        <f t="shared" si="25"/>
        <v>6.1900866590211513E-4</v>
      </c>
      <c r="S119" s="2"/>
      <c r="T119" s="2">
        <v>28529.16</v>
      </c>
      <c r="U119" s="2"/>
      <c r="V119" s="19">
        <f t="shared" si="26"/>
        <v>9.3386848813896556E-3</v>
      </c>
      <c r="W119" s="2"/>
      <c r="X119" s="2">
        <f t="shared" si="27"/>
        <v>-27399.62</v>
      </c>
      <c r="Y119" s="2"/>
      <c r="Z119" s="19">
        <f t="shared" si="28"/>
        <v>-0.96040752689528885</v>
      </c>
    </row>
    <row r="120" spans="1:26" s="24" customFormat="1" hidden="1" outlineLevel="1" x14ac:dyDescent="0.25">
      <c r="A120" s="44"/>
      <c r="B120" s="11" t="str">
        <f>CONCATENATE("          ", "5042", " - ", "PURCHASES @ COST-EVERYDAY GIFT")</f>
        <v xml:space="preserve">          5042 - PURCHASES @ COST-EVERYDAY GIFT</v>
      </c>
      <c r="C120" s="11"/>
      <c r="D120" s="2">
        <v>732.99</v>
      </c>
      <c r="E120" s="2"/>
      <c r="F120" s="19">
        <f t="shared" si="21"/>
        <v>4.5895372738469166E-4</v>
      </c>
      <c r="G120" s="2"/>
      <c r="H120" s="2">
        <v>15979.86</v>
      </c>
      <c r="I120" s="2"/>
      <c r="J120" s="19">
        <f t="shared" si="22"/>
        <v>5.911885446308475E-3</v>
      </c>
      <c r="K120" s="2"/>
      <c r="L120" s="2">
        <f t="shared" si="23"/>
        <v>-15246.87</v>
      </c>
      <c r="M120" s="2"/>
      <c r="N120" s="19">
        <f t="shared" si="24"/>
        <v>-0.95413038662416316</v>
      </c>
      <c r="O120" s="11"/>
      <c r="P120" s="2">
        <v>969.15</v>
      </c>
      <c r="Q120" s="2"/>
      <c r="R120" s="19">
        <f t="shared" si="25"/>
        <v>5.3111200006997086E-4</v>
      </c>
      <c r="S120" s="2"/>
      <c r="T120" s="2">
        <v>23732.22</v>
      </c>
      <c r="U120" s="2"/>
      <c r="V120" s="19">
        <f t="shared" si="26"/>
        <v>7.7684630082278357E-3</v>
      </c>
      <c r="W120" s="2"/>
      <c r="X120" s="2">
        <f t="shared" si="27"/>
        <v>-22763.07</v>
      </c>
      <c r="Y120" s="2"/>
      <c r="Z120" s="19">
        <f t="shared" si="28"/>
        <v>-0.95916311242690311</v>
      </c>
    </row>
    <row r="121" spans="1:26" s="24" customFormat="1" hidden="1" outlineLevel="1" x14ac:dyDescent="0.25">
      <c r="A121" s="44"/>
      <c r="B121" s="11" t="str">
        <f>CONCATENATE("          ", "5043", " - ", "PURCHASES @ COST-CARDS")</f>
        <v xml:space="preserve">          5043 - PURCHASES @ COST-CARDS</v>
      </c>
      <c r="C121" s="11"/>
      <c r="D121" s="2">
        <v>1406.55</v>
      </c>
      <c r="E121" s="2"/>
      <c r="F121" s="19">
        <f t="shared" si="21"/>
        <v>8.8069600574760642E-4</v>
      </c>
      <c r="G121" s="2"/>
      <c r="H121" s="2">
        <v>15.24</v>
      </c>
      <c r="I121" s="2"/>
      <c r="J121" s="19">
        <f t="shared" si="22"/>
        <v>5.6381679314925889E-6</v>
      </c>
      <c r="K121" s="2"/>
      <c r="L121" s="2">
        <f t="shared" si="23"/>
        <v>1391.31</v>
      </c>
      <c r="M121" s="2"/>
      <c r="N121" s="19">
        <f t="shared" si="24"/>
        <v>91.293307086614163</v>
      </c>
      <c r="O121" s="11"/>
      <c r="P121" s="2">
        <v>1715.25</v>
      </c>
      <c r="Q121" s="2"/>
      <c r="R121" s="19">
        <f t="shared" si="25"/>
        <v>9.399885034514962E-4</v>
      </c>
      <c r="S121" s="2"/>
      <c r="T121" s="2">
        <v>513.5</v>
      </c>
      <c r="U121" s="2"/>
      <c r="V121" s="19">
        <f t="shared" si="26"/>
        <v>1.6808818368972618E-4</v>
      </c>
      <c r="W121" s="2"/>
      <c r="X121" s="2">
        <f t="shared" si="27"/>
        <v>1201.75</v>
      </c>
      <c r="Y121" s="2"/>
      <c r="Z121" s="19">
        <f t="shared" si="28"/>
        <v>2.3403115871470304</v>
      </c>
    </row>
    <row r="122" spans="1:26" s="24" customFormat="1" hidden="1" outlineLevel="1" x14ac:dyDescent="0.25">
      <c r="A122" s="44"/>
      <c r="B122" s="11" t="str">
        <f>CONCATENATE("          ", "5044", " - ", "PURCHASES @ COST-ACCESSORIES")</f>
        <v xml:space="preserve">          5044 - PURCHASES @ COST-ACCESSORIES</v>
      </c>
      <c r="C122" s="11"/>
      <c r="D122" s="2"/>
      <c r="E122" s="2"/>
      <c r="F122" s="19">
        <f t="shared" si="21"/>
        <v>0</v>
      </c>
      <c r="G122" s="2"/>
      <c r="H122" s="2">
        <v>13249.12</v>
      </c>
      <c r="I122" s="2"/>
      <c r="J122" s="19">
        <f t="shared" si="22"/>
        <v>4.9016249018698881E-3</v>
      </c>
      <c r="K122" s="2"/>
      <c r="L122" s="2">
        <f t="shared" si="23"/>
        <v>-13249.12</v>
      </c>
      <c r="M122" s="2"/>
      <c r="N122" s="19">
        <f t="shared" si="24"/>
        <v>-1</v>
      </c>
      <c r="O122" s="11"/>
      <c r="P122" s="2"/>
      <c r="Q122" s="2"/>
      <c r="R122" s="19">
        <f t="shared" si="25"/>
        <v>0</v>
      </c>
      <c r="S122" s="2"/>
      <c r="T122" s="2">
        <v>18088.12</v>
      </c>
      <c r="U122" s="2"/>
      <c r="V122" s="19">
        <f t="shared" si="26"/>
        <v>5.9209332758749945E-3</v>
      </c>
      <c r="W122" s="2"/>
      <c r="X122" s="2">
        <f t="shared" si="27"/>
        <v>-18088.12</v>
      </c>
      <c r="Y122" s="2"/>
      <c r="Z122" s="19">
        <f t="shared" si="28"/>
        <v>-1</v>
      </c>
    </row>
    <row r="123" spans="1:26" s="24" customFormat="1" hidden="1" outlineLevel="1" x14ac:dyDescent="0.25">
      <c r="A123" s="44"/>
      <c r="B123" s="11" t="str">
        <f>CONCATENATE("          ", "5045", " - ", "PURCHASES @ COST-SPECIAL ORDER")</f>
        <v xml:space="preserve">          5045 - PURCHASES @ COST-SPECIAL ORDER</v>
      </c>
      <c r="C123" s="11"/>
      <c r="D123" s="2">
        <v>5633.96</v>
      </c>
      <c r="E123" s="2"/>
      <c r="F123" s="19">
        <f t="shared" si="21"/>
        <v>3.5276428627078918E-3</v>
      </c>
      <c r="G123" s="2"/>
      <c r="H123" s="2">
        <v>4152.78</v>
      </c>
      <c r="I123" s="2"/>
      <c r="J123" s="19">
        <f t="shared" si="22"/>
        <v>1.5363563663086477E-3</v>
      </c>
      <c r="K123" s="2"/>
      <c r="L123" s="2">
        <f t="shared" si="23"/>
        <v>1481.1800000000003</v>
      </c>
      <c r="M123" s="2"/>
      <c r="N123" s="19">
        <f t="shared" si="24"/>
        <v>0.35667191616218541</v>
      </c>
      <c r="O123" s="11"/>
      <c r="P123" s="2">
        <v>8390.17</v>
      </c>
      <c r="Q123" s="2"/>
      <c r="R123" s="19">
        <f t="shared" si="25"/>
        <v>4.5979672595852731E-3</v>
      </c>
      <c r="S123" s="2"/>
      <c r="T123" s="2">
        <v>20145.63</v>
      </c>
      <c r="U123" s="2"/>
      <c r="V123" s="19">
        <f t="shared" si="26"/>
        <v>6.5944349678388678E-3</v>
      </c>
      <c r="W123" s="2"/>
      <c r="X123" s="2">
        <f t="shared" si="27"/>
        <v>-11755.460000000001</v>
      </c>
      <c r="Y123" s="2"/>
      <c r="Z123" s="19">
        <f t="shared" si="28"/>
        <v>-0.58352406948802293</v>
      </c>
    </row>
    <row r="124" spans="1:26" s="24" customFormat="1" hidden="1" outlineLevel="1" x14ac:dyDescent="0.25">
      <c r="A124" s="44"/>
      <c r="B124" s="11" t="str">
        <f>CONCATENATE("          ", "5081", " - ", "PURCHASES @ COST-ELECTRONICS")</f>
        <v xml:space="preserve">          5081 - PURCHASES @ COST-ELECTRONICS</v>
      </c>
      <c r="C124" s="11"/>
      <c r="D124" s="2"/>
      <c r="E124" s="2"/>
      <c r="F124" s="19">
        <f t="shared" si="21"/>
        <v>0</v>
      </c>
      <c r="G124" s="2"/>
      <c r="H124" s="2">
        <v>304.16000000000003</v>
      </c>
      <c r="I124" s="2"/>
      <c r="J124" s="19">
        <f t="shared" si="22"/>
        <v>1.1252658517341115E-4</v>
      </c>
      <c r="K124" s="2"/>
      <c r="L124" s="2">
        <f t="shared" si="23"/>
        <v>-304.16000000000003</v>
      </c>
      <c r="M124" s="2"/>
      <c r="N124" s="19">
        <f t="shared" si="24"/>
        <v>-1</v>
      </c>
      <c r="O124" s="11"/>
      <c r="P124" s="2"/>
      <c r="Q124" s="2"/>
      <c r="R124" s="19">
        <f t="shared" si="25"/>
        <v>0</v>
      </c>
      <c r="S124" s="2"/>
      <c r="T124" s="2">
        <v>304.16000000000003</v>
      </c>
      <c r="U124" s="2"/>
      <c r="V124" s="19">
        <f t="shared" si="26"/>
        <v>9.9563197567803543E-5</v>
      </c>
      <c r="W124" s="2"/>
      <c r="X124" s="2">
        <f t="shared" si="27"/>
        <v>-304.16000000000003</v>
      </c>
      <c r="Y124" s="2"/>
      <c r="Z124" s="19">
        <f t="shared" si="28"/>
        <v>-1</v>
      </c>
    </row>
    <row r="125" spans="1:26" s="24" customFormat="1" hidden="1" outlineLevel="1" x14ac:dyDescent="0.25">
      <c r="A125" s="44"/>
      <c r="B125" s="11" t="str">
        <f>CONCATENATE("          ", "5082", " - ", "PURCHASES @ COST-COMPUTER HARD")</f>
        <v xml:space="preserve">          5082 - PURCHASES @ COST-COMPUTER HARD</v>
      </c>
      <c r="C125" s="11"/>
      <c r="D125" s="2"/>
      <c r="E125" s="2"/>
      <c r="F125" s="19">
        <f t="shared" si="21"/>
        <v>0</v>
      </c>
      <c r="G125" s="2"/>
      <c r="H125" s="2">
        <v>130.6</v>
      </c>
      <c r="I125" s="2"/>
      <c r="J125" s="19">
        <f t="shared" si="22"/>
        <v>4.8316583454916803E-5</v>
      </c>
      <c r="K125" s="2"/>
      <c r="L125" s="2">
        <f t="shared" si="23"/>
        <v>-130.6</v>
      </c>
      <c r="M125" s="2"/>
      <c r="N125" s="19">
        <f t="shared" si="24"/>
        <v>-1</v>
      </c>
      <c r="O125" s="11"/>
      <c r="P125" s="2"/>
      <c r="Q125" s="2"/>
      <c r="R125" s="19">
        <f t="shared" si="25"/>
        <v>0</v>
      </c>
      <c r="S125" s="2"/>
      <c r="T125" s="2">
        <v>130.6</v>
      </c>
      <c r="U125" s="2"/>
      <c r="V125" s="19">
        <f t="shared" si="26"/>
        <v>4.2750373495381184E-5</v>
      </c>
      <c r="W125" s="2"/>
      <c r="X125" s="2">
        <f t="shared" si="27"/>
        <v>-130.6</v>
      </c>
      <c r="Y125" s="2"/>
      <c r="Z125" s="19">
        <f t="shared" si="28"/>
        <v>-1</v>
      </c>
    </row>
    <row r="126" spans="1:26" s="24" customFormat="1" hidden="1" outlineLevel="1" x14ac:dyDescent="0.25">
      <c r="A126" s="44"/>
      <c r="B126" s="11" t="str">
        <f>CONCATENATE("          ", "5083", " - ", "PURCHASES @ COST-COMPUTER EQUI")</f>
        <v xml:space="preserve">          5083 - PURCHASES @ COST-COMPUTER EQUI</v>
      </c>
      <c r="C126" s="11"/>
      <c r="D126" s="2"/>
      <c r="E126" s="2"/>
      <c r="F126" s="19">
        <f t="shared" si="21"/>
        <v>0</v>
      </c>
      <c r="G126" s="2"/>
      <c r="H126" s="2">
        <v>81.45</v>
      </c>
      <c r="I126" s="2"/>
      <c r="J126" s="19">
        <f t="shared" si="22"/>
        <v>3.0133121917327519E-5</v>
      </c>
      <c r="K126" s="2"/>
      <c r="L126" s="2">
        <f t="shared" si="23"/>
        <v>-81.45</v>
      </c>
      <c r="M126" s="2"/>
      <c r="N126" s="19">
        <f t="shared" si="24"/>
        <v>-1</v>
      </c>
      <c r="O126" s="11"/>
      <c r="P126" s="2"/>
      <c r="Q126" s="2"/>
      <c r="R126" s="19">
        <f t="shared" si="25"/>
        <v>0</v>
      </c>
      <c r="S126" s="2"/>
      <c r="T126" s="2">
        <v>81.45</v>
      </c>
      <c r="U126" s="2"/>
      <c r="V126" s="19">
        <f t="shared" si="26"/>
        <v>2.6661699243482372E-5</v>
      </c>
      <c r="W126" s="2"/>
      <c r="X126" s="2">
        <f t="shared" si="27"/>
        <v>-81.45</v>
      </c>
      <c r="Y126" s="2"/>
      <c r="Z126" s="19">
        <f t="shared" si="28"/>
        <v>-1</v>
      </c>
    </row>
    <row r="127" spans="1:26" s="24" customFormat="1" hidden="1" outlineLevel="1" x14ac:dyDescent="0.25">
      <c r="A127" s="44"/>
      <c r="B127" s="11" t="str">
        <f>CONCATENATE("          ", "5086", " - ", "PURCHASES @ COST-COMPUTER SUPP")</f>
        <v xml:space="preserve">          5086 - PURCHASES @ COST-COMPUTER SUPP</v>
      </c>
      <c r="C127" s="11"/>
      <c r="D127" s="2"/>
      <c r="E127" s="2"/>
      <c r="F127" s="19">
        <f t="shared" si="21"/>
        <v>0</v>
      </c>
      <c r="G127" s="2"/>
      <c r="H127" s="2">
        <v>58</v>
      </c>
      <c r="I127" s="2"/>
      <c r="J127" s="19">
        <f t="shared" si="22"/>
        <v>2.1457594489932425E-5</v>
      </c>
      <c r="K127" s="2"/>
      <c r="L127" s="2">
        <f t="shared" si="23"/>
        <v>-58</v>
      </c>
      <c r="M127" s="2"/>
      <c r="N127" s="19">
        <f t="shared" si="24"/>
        <v>-1</v>
      </c>
      <c r="O127" s="11"/>
      <c r="P127" s="2"/>
      <c r="Q127" s="2"/>
      <c r="R127" s="19">
        <f t="shared" si="25"/>
        <v>0</v>
      </c>
      <c r="S127" s="2"/>
      <c r="T127" s="2">
        <v>58</v>
      </c>
      <c r="U127" s="2"/>
      <c r="V127" s="19">
        <f t="shared" si="26"/>
        <v>1.8985617631945701E-5</v>
      </c>
      <c r="W127" s="2"/>
      <c r="X127" s="2">
        <f t="shared" si="27"/>
        <v>-58</v>
      </c>
      <c r="Y127" s="2"/>
      <c r="Z127" s="19">
        <f t="shared" si="28"/>
        <v>-1</v>
      </c>
    </row>
    <row r="128" spans="1:26" s="24" customFormat="1" hidden="1" outlineLevel="1" x14ac:dyDescent="0.25">
      <c r="A128" s="44"/>
      <c r="B128" s="11" t="str">
        <f>CONCATENATE("          ", "5092", " - ", "PURCHASES @ COST-GRAD MERCH")</f>
        <v xml:space="preserve">          5092 - PURCHASES @ COST-GRAD MERCH</v>
      </c>
      <c r="C128" s="11"/>
      <c r="D128" s="2"/>
      <c r="E128" s="2"/>
      <c r="F128" s="19">
        <f t="shared" si="21"/>
        <v>0</v>
      </c>
      <c r="G128" s="2"/>
      <c r="H128" s="2">
        <v>-600.6</v>
      </c>
      <c r="I128" s="2"/>
      <c r="J128" s="19">
        <f t="shared" si="22"/>
        <v>-2.2219709052850715E-4</v>
      </c>
      <c r="K128" s="2"/>
      <c r="L128" s="2">
        <f t="shared" si="23"/>
        <v>600.6</v>
      </c>
      <c r="M128" s="2"/>
      <c r="N128" s="19">
        <f t="shared" si="24"/>
        <v>-1</v>
      </c>
      <c r="O128" s="11"/>
      <c r="P128" s="2"/>
      <c r="Q128" s="2"/>
      <c r="R128" s="19">
        <f t="shared" si="25"/>
        <v>0</v>
      </c>
      <c r="S128" s="2"/>
      <c r="T128" s="2">
        <v>628</v>
      </c>
      <c r="U128" s="2"/>
      <c r="V128" s="19">
        <f t="shared" si="26"/>
        <v>2.0556841160106727E-4</v>
      </c>
      <c r="W128" s="2"/>
      <c r="X128" s="2">
        <f t="shared" si="27"/>
        <v>-628</v>
      </c>
      <c r="Y128" s="2"/>
      <c r="Z128" s="19">
        <f t="shared" si="28"/>
        <v>-1</v>
      </c>
    </row>
    <row r="129" spans="1:26" s="24" customFormat="1" hidden="1" outlineLevel="1" x14ac:dyDescent="0.25">
      <c r="A129" s="44"/>
      <c r="B129" s="11" t="str">
        <f>CONCATENATE("          ", "5095", " - ", "PURCHASES @ COST-CUSTOMER SERV")</f>
        <v xml:space="preserve">          5095 - PURCHASES @ COST-CUSTOMER SERV</v>
      </c>
      <c r="C129" s="11"/>
      <c r="D129" s="2"/>
      <c r="E129" s="2"/>
      <c r="F129" s="19">
        <f t="shared" si="21"/>
        <v>0</v>
      </c>
      <c r="G129" s="2"/>
      <c r="H129" s="2"/>
      <c r="I129" s="2"/>
      <c r="J129" s="19">
        <f t="shared" si="22"/>
        <v>0</v>
      </c>
      <c r="K129" s="2"/>
      <c r="L129" s="2">
        <f t="shared" si="23"/>
        <v>0</v>
      </c>
      <c r="M129" s="2"/>
      <c r="N129" s="19">
        <f t="shared" si="24"/>
        <v>0</v>
      </c>
      <c r="O129" s="11"/>
      <c r="P129" s="2"/>
      <c r="Q129" s="2"/>
      <c r="R129" s="19">
        <f t="shared" si="25"/>
        <v>0</v>
      </c>
      <c r="S129" s="2"/>
      <c r="T129" s="2">
        <v>0</v>
      </c>
      <c r="U129" s="2"/>
      <c r="V129" s="19">
        <f t="shared" si="26"/>
        <v>0</v>
      </c>
      <c r="W129" s="2"/>
      <c r="X129" s="2">
        <f t="shared" si="27"/>
        <v>0</v>
      </c>
      <c r="Y129" s="2"/>
      <c r="Z129" s="19">
        <f t="shared" si="28"/>
        <v>0</v>
      </c>
    </row>
    <row r="130" spans="1:26" s="24" customFormat="1" hidden="1" outlineLevel="1" x14ac:dyDescent="0.25">
      <c r="A130" s="44"/>
      <c r="B130" s="11" t="str">
        <f>CONCATENATE("          ", "5200", " - ", "PURCHASES OFFSET")</f>
        <v xml:space="preserve">          5200 - PURCHASES OFFSET</v>
      </c>
      <c r="C130" s="11"/>
      <c r="D130" s="2">
        <v>-497237.30000000005</v>
      </c>
      <c r="E130" s="2"/>
      <c r="F130" s="19">
        <f t="shared" si="21"/>
        <v>-0.31133973482544125</v>
      </c>
      <c r="G130" s="2"/>
      <c r="H130" s="2">
        <v>-1527442</v>
      </c>
      <c r="I130" s="2"/>
      <c r="J130" s="19">
        <f t="shared" si="22"/>
        <v>-0.56509019039467867</v>
      </c>
      <c r="K130" s="2"/>
      <c r="L130" s="2">
        <f t="shared" si="23"/>
        <v>1030204.7</v>
      </c>
      <c r="M130" s="2"/>
      <c r="N130" s="19">
        <f t="shared" si="24"/>
        <v>-0.67446403856905857</v>
      </c>
      <c r="O130" s="11"/>
      <c r="P130" s="2">
        <v>-713002.58000000007</v>
      </c>
      <c r="Q130" s="2"/>
      <c r="R130" s="19">
        <f t="shared" si="25"/>
        <v>-0.39073850933173343</v>
      </c>
      <c r="S130" s="2"/>
      <c r="T130" s="2">
        <v>-2356311</v>
      </c>
      <c r="U130" s="2"/>
      <c r="V130" s="19">
        <f t="shared" si="26"/>
        <v>-0.77131068393013125</v>
      </c>
      <c r="W130" s="2"/>
      <c r="X130" s="2">
        <f t="shared" si="27"/>
        <v>1643308.42</v>
      </c>
      <c r="Y130" s="2"/>
      <c r="Z130" s="19">
        <f t="shared" si="28"/>
        <v>-0.69740726924417018</v>
      </c>
    </row>
    <row r="131" spans="1:26" s="24" customFormat="1" hidden="1" outlineLevel="1" x14ac:dyDescent="0.25">
      <c r="A131" s="44"/>
      <c r="B131" s="11" t="str">
        <f>CONCATENATE("          ", "5300", " - ", "COG$ OFFSET")</f>
        <v xml:space="preserve">          5300 - COG$ OFFSET</v>
      </c>
      <c r="C131" s="11"/>
      <c r="D131" s="2">
        <v>770429</v>
      </c>
      <c r="E131" s="2"/>
      <c r="F131" s="19">
        <f t="shared" si="21"/>
        <v>0.48239575060404727</v>
      </c>
      <c r="G131" s="2"/>
      <c r="H131" s="2">
        <v>1248264</v>
      </c>
      <c r="I131" s="2"/>
      <c r="J131" s="19">
        <f t="shared" si="22"/>
        <v>0.4618059091100174</v>
      </c>
      <c r="K131" s="2"/>
      <c r="L131" s="2">
        <f t="shared" si="23"/>
        <v>-477835</v>
      </c>
      <c r="M131" s="2"/>
      <c r="N131" s="19">
        <f t="shared" si="24"/>
        <v>-0.3827996321291009</v>
      </c>
      <c r="O131" s="11"/>
      <c r="P131" s="2">
        <v>906057</v>
      </c>
      <c r="Q131" s="2"/>
      <c r="R131" s="19">
        <f t="shared" si="25"/>
        <v>0.49653587726089626</v>
      </c>
      <c r="S131" s="2"/>
      <c r="T131" s="2">
        <v>1429434</v>
      </c>
      <c r="U131" s="2"/>
      <c r="V131" s="19">
        <f t="shared" si="26"/>
        <v>0.46790840265694267</v>
      </c>
      <c r="W131" s="2"/>
      <c r="X131" s="2">
        <f t="shared" si="27"/>
        <v>-523377</v>
      </c>
      <c r="Y131" s="2"/>
      <c r="Z131" s="19">
        <f t="shared" si="28"/>
        <v>-0.36614282296349465</v>
      </c>
    </row>
    <row r="132" spans="1:26" s="24" customFormat="1" hidden="1" outlineLevel="1" x14ac:dyDescent="0.25">
      <c r="A132" s="44"/>
      <c r="B132" s="11" t="str">
        <f>CONCATENATE("          ", "5500", " - ", "FREIGHT-IN")</f>
        <v xml:space="preserve">          5500 - FREIGHT-IN</v>
      </c>
      <c r="C132" s="11"/>
      <c r="D132" s="2"/>
      <c r="E132" s="2"/>
      <c r="F132" s="19">
        <f t="shared" si="21"/>
        <v>0</v>
      </c>
      <c r="G132" s="2"/>
      <c r="H132" s="2"/>
      <c r="I132" s="2"/>
      <c r="J132" s="19">
        <f t="shared" si="22"/>
        <v>0</v>
      </c>
      <c r="K132" s="2"/>
      <c r="L132" s="2">
        <f t="shared" si="23"/>
        <v>0</v>
      </c>
      <c r="M132" s="2"/>
      <c r="N132" s="19">
        <f t="shared" si="24"/>
        <v>0</v>
      </c>
      <c r="O132" s="11"/>
      <c r="P132" s="2"/>
      <c r="Q132" s="2"/>
      <c r="R132" s="19">
        <f t="shared" si="25"/>
        <v>0</v>
      </c>
      <c r="S132" s="2"/>
      <c r="T132" s="2">
        <v>49</v>
      </c>
      <c r="U132" s="2"/>
      <c r="V132" s="19">
        <f t="shared" si="26"/>
        <v>1.6039573516643783E-5</v>
      </c>
      <c r="W132" s="2"/>
      <c r="X132" s="2">
        <f t="shared" si="27"/>
        <v>-49</v>
      </c>
      <c r="Y132" s="2"/>
      <c r="Z132" s="19">
        <f t="shared" si="28"/>
        <v>-1</v>
      </c>
    </row>
    <row r="133" spans="1:26" s="24" customFormat="1" hidden="1" outlineLevel="1" x14ac:dyDescent="0.25">
      <c r="A133" s="44"/>
      <c r="B133" s="11" t="str">
        <f>CONCATENATE("          ", "5501", " - ", "FREIGHT-IN-NEW TEXT")</f>
        <v xml:space="preserve">          5501 - FREIGHT-IN-NEW TEXT</v>
      </c>
      <c r="C133" s="11"/>
      <c r="D133" s="2">
        <v>4680.5600000000004</v>
      </c>
      <c r="E133" s="2"/>
      <c r="F133" s="19">
        <f t="shared" si="21"/>
        <v>2.9306818077295634E-3</v>
      </c>
      <c r="G133" s="2"/>
      <c r="H133" s="2">
        <v>11008.16</v>
      </c>
      <c r="I133" s="2"/>
      <c r="J133" s="19">
        <f t="shared" si="22"/>
        <v>4.072562644143009E-3</v>
      </c>
      <c r="K133" s="2"/>
      <c r="L133" s="2">
        <f t="shared" si="23"/>
        <v>-6327.5999999999995</v>
      </c>
      <c r="M133" s="2"/>
      <c r="N133" s="19">
        <f t="shared" si="24"/>
        <v>-0.57480995915757038</v>
      </c>
      <c r="O133" s="11"/>
      <c r="P133" s="2">
        <v>5483.28</v>
      </c>
      <c r="Q133" s="2"/>
      <c r="R133" s="19">
        <f t="shared" si="25"/>
        <v>3.0049381496607026E-3</v>
      </c>
      <c r="S133" s="2"/>
      <c r="T133" s="2">
        <v>12724.24</v>
      </c>
      <c r="U133" s="2"/>
      <c r="V133" s="19">
        <f t="shared" si="26"/>
        <v>4.1651302637432551E-3</v>
      </c>
      <c r="W133" s="2"/>
      <c r="X133" s="2">
        <f t="shared" si="27"/>
        <v>-7240.96</v>
      </c>
      <c r="Y133" s="2"/>
      <c r="Z133" s="19">
        <f t="shared" si="28"/>
        <v>-0.56906817224447193</v>
      </c>
    </row>
    <row r="134" spans="1:26" s="24" customFormat="1" hidden="1" outlineLevel="1" x14ac:dyDescent="0.25">
      <c r="A134" s="44"/>
      <c r="B134" s="11" t="str">
        <f>CONCATENATE("          ", "5502", " - ", "FREIGHT-IN-USED TEXT")</f>
        <v xml:space="preserve">          5502 - FREIGHT-IN-USED TEXT</v>
      </c>
      <c r="C134" s="11"/>
      <c r="D134" s="2">
        <v>1186.6600000000001</v>
      </c>
      <c r="E134" s="2"/>
      <c r="F134" s="19">
        <f t="shared" si="21"/>
        <v>7.4301427050617091E-4</v>
      </c>
      <c r="G134" s="2"/>
      <c r="H134" s="2">
        <v>3985.02</v>
      </c>
      <c r="I134" s="2"/>
      <c r="J134" s="19">
        <f t="shared" si="22"/>
        <v>1.4742921240391467E-3</v>
      </c>
      <c r="K134" s="2"/>
      <c r="L134" s="2">
        <f t="shared" si="23"/>
        <v>-2798.3599999999997</v>
      </c>
      <c r="M134" s="2"/>
      <c r="N134" s="19">
        <f t="shared" si="24"/>
        <v>-0.70221981320043558</v>
      </c>
      <c r="O134" s="11"/>
      <c r="P134" s="2">
        <v>1234.55</v>
      </c>
      <c r="Q134" s="2"/>
      <c r="R134" s="19">
        <f t="shared" si="25"/>
        <v>6.7655607458740399E-4</v>
      </c>
      <c r="S134" s="2"/>
      <c r="T134" s="2">
        <v>4262.51</v>
      </c>
      <c r="U134" s="2"/>
      <c r="V134" s="19">
        <f t="shared" si="26"/>
        <v>1.3952825002128428E-3</v>
      </c>
      <c r="W134" s="2"/>
      <c r="X134" s="2">
        <f t="shared" si="27"/>
        <v>-3027.96</v>
      </c>
      <c r="Y134" s="2"/>
      <c r="Z134" s="19">
        <f t="shared" si="28"/>
        <v>-0.71037018094972204</v>
      </c>
    </row>
    <row r="135" spans="1:26" s="24" customFormat="1" hidden="1" outlineLevel="1" x14ac:dyDescent="0.25">
      <c r="A135" s="44"/>
      <c r="B135" s="11" t="str">
        <f>CONCATENATE("          ", "5504", " - ", "FREIGHT-IN-DIGITAL TEXT")</f>
        <v xml:space="preserve">          5504 - FREIGHT-IN-DIGITAL TEXT</v>
      </c>
      <c r="C135" s="11"/>
      <c r="D135" s="2"/>
      <c r="E135" s="2"/>
      <c r="F135" s="19">
        <f t="shared" si="21"/>
        <v>0</v>
      </c>
      <c r="G135" s="2"/>
      <c r="H135" s="2">
        <v>7.03</v>
      </c>
      <c r="I135" s="2"/>
      <c r="J135" s="19">
        <f t="shared" si="22"/>
        <v>2.6008084355900854E-6</v>
      </c>
      <c r="K135" s="2"/>
      <c r="L135" s="2">
        <f t="shared" si="23"/>
        <v>-7.03</v>
      </c>
      <c r="M135" s="2"/>
      <c r="N135" s="19">
        <f t="shared" si="24"/>
        <v>-1</v>
      </c>
      <c r="O135" s="11"/>
      <c r="P135" s="2"/>
      <c r="Q135" s="2"/>
      <c r="R135" s="19">
        <f t="shared" si="25"/>
        <v>0</v>
      </c>
      <c r="S135" s="2"/>
      <c r="T135" s="2">
        <v>7.03</v>
      </c>
      <c r="U135" s="2"/>
      <c r="V135" s="19">
        <f t="shared" si="26"/>
        <v>2.3011877922858328E-6</v>
      </c>
      <c r="W135" s="2"/>
      <c r="X135" s="2">
        <f t="shared" si="27"/>
        <v>-7.03</v>
      </c>
      <c r="Y135" s="2"/>
      <c r="Z135" s="19">
        <f t="shared" si="28"/>
        <v>-1</v>
      </c>
    </row>
    <row r="136" spans="1:26" s="24" customFormat="1" hidden="1" outlineLevel="1" x14ac:dyDescent="0.25">
      <c r="A136" s="44"/>
      <c r="B136" s="11" t="str">
        <f>CONCATENATE("          ", "5526", " - ", "FREIGHT-IN-WRITING INSTRUMENTS")</f>
        <v xml:space="preserve">          5526 - FREIGHT-IN-WRITING INSTRUMENTS</v>
      </c>
      <c r="C136" s="11"/>
      <c r="D136" s="2"/>
      <c r="E136" s="2"/>
      <c r="F136" s="19">
        <f t="shared" si="21"/>
        <v>0</v>
      </c>
      <c r="G136" s="2"/>
      <c r="H136" s="2">
        <v>17.46</v>
      </c>
      <c r="I136" s="2"/>
      <c r="J136" s="19">
        <f t="shared" si="22"/>
        <v>6.4594758585210371E-6</v>
      </c>
      <c r="K136" s="2"/>
      <c r="L136" s="2">
        <f t="shared" si="23"/>
        <v>-17.46</v>
      </c>
      <c r="M136" s="2"/>
      <c r="N136" s="19">
        <f t="shared" si="24"/>
        <v>-1</v>
      </c>
      <c r="O136" s="11"/>
      <c r="P136" s="2"/>
      <c r="Q136" s="2"/>
      <c r="R136" s="19">
        <f t="shared" si="25"/>
        <v>0</v>
      </c>
      <c r="S136" s="2"/>
      <c r="T136" s="2">
        <v>56.57</v>
      </c>
      <c r="U136" s="2"/>
      <c r="V136" s="19">
        <f t="shared" si="26"/>
        <v>1.8517523955847733E-5</v>
      </c>
      <c r="W136" s="2"/>
      <c r="X136" s="2">
        <f t="shared" si="27"/>
        <v>-56.57</v>
      </c>
      <c r="Y136" s="2"/>
      <c r="Z136" s="19">
        <f t="shared" si="28"/>
        <v>-1</v>
      </c>
    </row>
    <row r="137" spans="1:26" s="24" customFormat="1" hidden="1" outlineLevel="1" x14ac:dyDescent="0.25">
      <c r="A137" s="44"/>
      <c r="B137" s="11" t="str">
        <f>CONCATENATE("          ", "5527", " - ", "FREIGHT-IN-SCHOOL SUPPLIES")</f>
        <v xml:space="preserve">          5527 - FREIGHT-IN-SCHOOL SUPPLIES</v>
      </c>
      <c r="C137" s="11"/>
      <c r="D137" s="2"/>
      <c r="E137" s="2"/>
      <c r="F137" s="19">
        <f t="shared" si="21"/>
        <v>0</v>
      </c>
      <c r="G137" s="2"/>
      <c r="H137" s="2">
        <v>10.49</v>
      </c>
      <c r="I137" s="2"/>
      <c r="J137" s="19">
        <f t="shared" si="22"/>
        <v>3.8808649344722611E-6</v>
      </c>
      <c r="K137" s="2"/>
      <c r="L137" s="2">
        <f t="shared" si="23"/>
        <v>-10.49</v>
      </c>
      <c r="M137" s="2"/>
      <c r="N137" s="19">
        <f t="shared" si="24"/>
        <v>-1</v>
      </c>
      <c r="O137" s="11"/>
      <c r="P137" s="2"/>
      <c r="Q137" s="2"/>
      <c r="R137" s="19">
        <f t="shared" si="25"/>
        <v>0</v>
      </c>
      <c r="S137" s="2"/>
      <c r="T137" s="2">
        <v>260.51</v>
      </c>
      <c r="U137" s="2"/>
      <c r="V137" s="19">
        <f t="shared" si="26"/>
        <v>8.5274883608589221E-5</v>
      </c>
      <c r="W137" s="2"/>
      <c r="X137" s="2">
        <f t="shared" si="27"/>
        <v>-260.51</v>
      </c>
      <c r="Y137" s="2"/>
      <c r="Z137" s="19">
        <f t="shared" si="28"/>
        <v>-1</v>
      </c>
    </row>
    <row r="138" spans="1:26" s="24" customFormat="1" hidden="1" outlineLevel="1" x14ac:dyDescent="0.25">
      <c r="A138" s="44"/>
      <c r="B138" s="11" t="str">
        <f>CONCATENATE("          ", "5528", " - ", "FREIGHT-IN-ART/TECH")</f>
        <v xml:space="preserve">          5528 - FREIGHT-IN-ART/TECH</v>
      </c>
      <c r="C138" s="11"/>
      <c r="D138" s="2"/>
      <c r="E138" s="2"/>
      <c r="F138" s="19">
        <f t="shared" si="21"/>
        <v>0</v>
      </c>
      <c r="G138" s="2"/>
      <c r="H138" s="2">
        <v>255.45</v>
      </c>
      <c r="I138" s="2"/>
      <c r="J138" s="19">
        <f t="shared" si="22"/>
        <v>9.4505905387124787E-5</v>
      </c>
      <c r="K138" s="2"/>
      <c r="L138" s="2">
        <f t="shared" si="23"/>
        <v>-255.45</v>
      </c>
      <c r="M138" s="2"/>
      <c r="N138" s="19">
        <f t="shared" si="24"/>
        <v>-1</v>
      </c>
      <c r="O138" s="11"/>
      <c r="P138" s="2">
        <v>38.049999999999997</v>
      </c>
      <c r="Q138" s="2"/>
      <c r="R138" s="19">
        <f t="shared" si="25"/>
        <v>2.0852098852254439E-5</v>
      </c>
      <c r="S138" s="2"/>
      <c r="T138" s="2">
        <v>299.8</v>
      </c>
      <c r="U138" s="2"/>
      <c r="V138" s="19">
        <f t="shared" si="26"/>
        <v>9.8136002863057282E-5</v>
      </c>
      <c r="W138" s="2"/>
      <c r="X138" s="2">
        <f t="shared" si="27"/>
        <v>-261.75</v>
      </c>
      <c r="Y138" s="2"/>
      <c r="Z138" s="19">
        <f t="shared" si="28"/>
        <v>-0.87308205470313538</v>
      </c>
    </row>
    <row r="139" spans="1:26" s="24" customFormat="1" hidden="1" outlineLevel="1" x14ac:dyDescent="0.25">
      <c r="A139" s="44"/>
      <c r="B139" s="11" t="str">
        <f>CONCATENATE("          ", "5540", " - ", "FREIGHT-IN-LOGO CLOTHING")</f>
        <v xml:space="preserve">          5540 - FREIGHT-IN-LOGO CLOTHING</v>
      </c>
      <c r="C139" s="11"/>
      <c r="D139" s="2">
        <v>1021.7</v>
      </c>
      <c r="E139" s="2"/>
      <c r="F139" s="19">
        <f t="shared" si="21"/>
        <v>6.397263581616932E-4</v>
      </c>
      <c r="G139" s="2"/>
      <c r="H139" s="2">
        <v>1936.72</v>
      </c>
      <c r="I139" s="2"/>
      <c r="J139" s="19">
        <f t="shared" si="22"/>
        <v>7.1650607587141256E-4</v>
      </c>
      <c r="K139" s="2"/>
      <c r="L139" s="2">
        <f t="shared" si="23"/>
        <v>-915.02</v>
      </c>
      <c r="M139" s="2"/>
      <c r="N139" s="19">
        <f t="shared" si="24"/>
        <v>-0.47245858978066008</v>
      </c>
      <c r="O139" s="11"/>
      <c r="P139" s="2">
        <v>1931.53</v>
      </c>
      <c r="Q139" s="2"/>
      <c r="R139" s="19">
        <f t="shared" si="25"/>
        <v>1.0585139157975039E-3</v>
      </c>
      <c r="S139" s="2"/>
      <c r="T139" s="2">
        <v>2331.94</v>
      </c>
      <c r="U139" s="2"/>
      <c r="V139" s="19">
        <f t="shared" si="26"/>
        <v>7.6333312380412867E-4</v>
      </c>
      <c r="W139" s="2"/>
      <c r="X139" s="2">
        <f t="shared" si="27"/>
        <v>-400.41000000000008</v>
      </c>
      <c r="Y139" s="2"/>
      <c r="Z139" s="19">
        <f t="shared" si="28"/>
        <v>-0.17170681921490263</v>
      </c>
    </row>
    <row r="140" spans="1:26" s="24" customFormat="1" hidden="1" outlineLevel="1" x14ac:dyDescent="0.25">
      <c r="A140" s="44"/>
      <c r="B140" s="11" t="str">
        <f>CONCATENATE("          ", "5541", " - ", "FREIGHT-IN-LOGO GIFTS")</f>
        <v xml:space="preserve">          5541 - FREIGHT-IN-LOGO GIFTS</v>
      </c>
      <c r="C140" s="11"/>
      <c r="D140" s="2">
        <v>123.12</v>
      </c>
      <c r="E140" s="2"/>
      <c r="F140" s="19">
        <f t="shared" si="21"/>
        <v>7.7090250775049105E-5</v>
      </c>
      <c r="G140" s="2"/>
      <c r="H140" s="2">
        <v>405.92</v>
      </c>
      <c r="I140" s="2"/>
      <c r="J140" s="19">
        <f t="shared" si="22"/>
        <v>1.501735647474719E-4</v>
      </c>
      <c r="K140" s="2"/>
      <c r="L140" s="2">
        <f t="shared" si="23"/>
        <v>-282.8</v>
      </c>
      <c r="M140" s="2"/>
      <c r="N140" s="19">
        <f t="shared" si="24"/>
        <v>-0.69668900275916434</v>
      </c>
      <c r="O140" s="11"/>
      <c r="P140" s="2">
        <v>206.7</v>
      </c>
      <c r="Q140" s="2"/>
      <c r="R140" s="19">
        <f t="shared" si="25"/>
        <v>1.1327539639319298E-4</v>
      </c>
      <c r="S140" s="2"/>
      <c r="T140" s="2">
        <v>720.41</v>
      </c>
      <c r="U140" s="2"/>
      <c r="V140" s="19">
        <f t="shared" si="26"/>
        <v>2.3581773790051731E-4</v>
      </c>
      <c r="W140" s="2"/>
      <c r="X140" s="2">
        <f t="shared" si="27"/>
        <v>-513.71</v>
      </c>
      <c r="Y140" s="2"/>
      <c r="Z140" s="19">
        <f t="shared" si="28"/>
        <v>-0.71308005163726218</v>
      </c>
    </row>
    <row r="141" spans="1:26" s="24" customFormat="1" hidden="1" outlineLevel="1" x14ac:dyDescent="0.25">
      <c r="A141" s="44"/>
      <c r="B141" s="11" t="str">
        <f>CONCATENATE("          ", "5542", " - ", "FREIGHT-IN-EVERYDAY GIFTS")</f>
        <v xml:space="preserve">          5542 - FREIGHT-IN-EVERYDAY GIFTS</v>
      </c>
      <c r="C141" s="11"/>
      <c r="D141" s="2"/>
      <c r="E141" s="2"/>
      <c r="F141" s="19">
        <f t="shared" si="21"/>
        <v>0</v>
      </c>
      <c r="G141" s="2"/>
      <c r="H141" s="2">
        <v>83.05</v>
      </c>
      <c r="I141" s="2"/>
      <c r="J141" s="19">
        <f t="shared" si="22"/>
        <v>3.0725055558429102E-5</v>
      </c>
      <c r="K141" s="2"/>
      <c r="L141" s="2">
        <f t="shared" si="23"/>
        <v>-83.05</v>
      </c>
      <c r="M141" s="2"/>
      <c r="N141" s="19">
        <f t="shared" si="24"/>
        <v>-1</v>
      </c>
      <c r="O141" s="11"/>
      <c r="P141" s="2">
        <v>5.94</v>
      </c>
      <c r="Q141" s="2"/>
      <c r="R141" s="19">
        <f t="shared" si="25"/>
        <v>3.2552290980917579E-6</v>
      </c>
      <c r="S141" s="2"/>
      <c r="T141" s="2">
        <v>112.77</v>
      </c>
      <c r="U141" s="2"/>
      <c r="V141" s="19">
        <f t="shared" si="26"/>
        <v>3.6913932764733051E-5</v>
      </c>
      <c r="W141" s="2"/>
      <c r="X141" s="2">
        <f t="shared" si="27"/>
        <v>-106.83</v>
      </c>
      <c r="Y141" s="2"/>
      <c r="Z141" s="19">
        <f t="shared" si="28"/>
        <v>-0.94732641660015959</v>
      </c>
    </row>
    <row r="142" spans="1:26" s="24" customFormat="1" hidden="1" outlineLevel="1" x14ac:dyDescent="0.25">
      <c r="A142" s="44"/>
      <c r="B142" s="11" t="str">
        <f>CONCATENATE("          ", "5543", " - ", "FREIGHT-IN-CARDS")</f>
        <v xml:space="preserve">          5543 - FREIGHT-IN-CARDS</v>
      </c>
      <c r="C142" s="11"/>
      <c r="D142" s="2"/>
      <c r="E142" s="2"/>
      <c r="F142" s="19">
        <f t="shared" si="21"/>
        <v>0</v>
      </c>
      <c r="G142" s="2"/>
      <c r="H142" s="2">
        <v>4.58</v>
      </c>
      <c r="I142" s="2"/>
      <c r="J142" s="19">
        <f t="shared" si="22"/>
        <v>1.6944100476532845E-6</v>
      </c>
      <c r="K142" s="2"/>
      <c r="L142" s="2">
        <f t="shared" si="23"/>
        <v>-4.58</v>
      </c>
      <c r="M142" s="2"/>
      <c r="N142" s="19">
        <f t="shared" si="24"/>
        <v>-1</v>
      </c>
      <c r="O142" s="11"/>
      <c r="P142" s="2"/>
      <c r="Q142" s="2"/>
      <c r="R142" s="19">
        <f t="shared" si="25"/>
        <v>0</v>
      </c>
      <c r="S142" s="2"/>
      <c r="T142" s="2">
        <v>4.58</v>
      </c>
      <c r="U142" s="2"/>
      <c r="V142" s="19">
        <f t="shared" si="26"/>
        <v>1.4992091164536435E-6</v>
      </c>
      <c r="W142" s="2"/>
      <c r="X142" s="2">
        <f t="shared" si="27"/>
        <v>-4.58</v>
      </c>
      <c r="Y142" s="2"/>
      <c r="Z142" s="19">
        <f t="shared" si="28"/>
        <v>-1</v>
      </c>
    </row>
    <row r="143" spans="1:26" s="24" customFormat="1" hidden="1" outlineLevel="1" x14ac:dyDescent="0.25">
      <c r="A143" s="44"/>
      <c r="B143" s="11" t="str">
        <f>CONCATENATE("          ", "5544", " - ", "FREIGHT-IN-ACCESSORIES")</f>
        <v xml:space="preserve">          5544 - FREIGHT-IN-ACCESSORIES</v>
      </c>
      <c r="C143" s="11"/>
      <c r="D143" s="2"/>
      <c r="E143" s="2"/>
      <c r="F143" s="19">
        <f t="shared" si="21"/>
        <v>0</v>
      </c>
      <c r="G143" s="2"/>
      <c r="H143" s="2">
        <v>84.93</v>
      </c>
      <c r="I143" s="2"/>
      <c r="J143" s="19">
        <f t="shared" si="22"/>
        <v>3.1420577586723465E-5</v>
      </c>
      <c r="K143" s="2"/>
      <c r="L143" s="2">
        <f t="shared" si="23"/>
        <v>-84.93</v>
      </c>
      <c r="M143" s="2"/>
      <c r="N143" s="19">
        <f t="shared" si="24"/>
        <v>-1</v>
      </c>
      <c r="O143" s="11"/>
      <c r="P143" s="2"/>
      <c r="Q143" s="2"/>
      <c r="R143" s="19">
        <f t="shared" si="25"/>
        <v>0</v>
      </c>
      <c r="S143" s="2"/>
      <c r="T143" s="2">
        <v>101.66</v>
      </c>
      <c r="U143" s="2"/>
      <c r="V143" s="19">
        <f t="shared" si="26"/>
        <v>3.3277204973510346E-5</v>
      </c>
      <c r="W143" s="2"/>
      <c r="X143" s="2">
        <f t="shared" si="27"/>
        <v>-101.66</v>
      </c>
      <c r="Y143" s="2"/>
      <c r="Z143" s="19">
        <f t="shared" si="28"/>
        <v>-1</v>
      </c>
    </row>
    <row r="144" spans="1:26" s="24" customFormat="1" hidden="1" outlineLevel="1" x14ac:dyDescent="0.25">
      <c r="A144" s="44"/>
      <c r="B144" s="11" t="str">
        <f>CONCATENATE("          ", "5545", " - ", "FREIGHT-IN-SPECIAL ORDERS")</f>
        <v xml:space="preserve">          5545 - FREIGHT-IN-SPECIAL ORDERS</v>
      </c>
      <c r="C144" s="11"/>
      <c r="D144" s="2">
        <v>145.6</v>
      </c>
      <c r="E144" s="2"/>
      <c r="F144" s="19">
        <f t="shared" si="21"/>
        <v>9.1165858616367349E-5</v>
      </c>
      <c r="G144" s="2"/>
      <c r="H144" s="2">
        <v>8.8699999999999992</v>
      </c>
      <c r="I144" s="2"/>
      <c r="J144" s="19">
        <f t="shared" si="22"/>
        <v>3.2815321228569069E-6</v>
      </c>
      <c r="K144" s="2"/>
      <c r="L144" s="2">
        <f t="shared" si="23"/>
        <v>136.72999999999999</v>
      </c>
      <c r="M144" s="2"/>
      <c r="N144" s="19">
        <f t="shared" si="24"/>
        <v>15.414881623449832</v>
      </c>
      <c r="O144" s="11"/>
      <c r="P144" s="2">
        <v>446</v>
      </c>
      <c r="Q144" s="2"/>
      <c r="R144" s="19">
        <f t="shared" si="25"/>
        <v>2.4441619154022288E-4</v>
      </c>
      <c r="S144" s="2"/>
      <c r="T144" s="2">
        <v>235.95</v>
      </c>
      <c r="U144" s="2"/>
      <c r="V144" s="19">
        <f t="shared" si="26"/>
        <v>7.7235456556165312E-5</v>
      </c>
      <c r="W144" s="2"/>
      <c r="X144" s="2">
        <f t="shared" si="27"/>
        <v>210.05</v>
      </c>
      <c r="Y144" s="2"/>
      <c r="Z144" s="19">
        <f t="shared" si="28"/>
        <v>0.89023098114007215</v>
      </c>
    </row>
    <row r="145" spans="1:26" s="24" customFormat="1" hidden="1" outlineLevel="1" x14ac:dyDescent="0.25">
      <c r="A145" s="44"/>
      <c r="B145" s="11" t="str">
        <f>CONCATENATE("          ", "5592", " - ", "FREIGHT-IN-GRAD MERCH")</f>
        <v xml:space="preserve">          5592 - FREIGHT-IN-GRAD MERCH</v>
      </c>
      <c r="C145" s="11"/>
      <c r="D145" s="2"/>
      <c r="E145" s="2"/>
      <c r="F145" s="19">
        <f t="shared" si="21"/>
        <v>0</v>
      </c>
      <c r="G145" s="2"/>
      <c r="H145" s="2">
        <v>59.57</v>
      </c>
      <c r="I145" s="2"/>
      <c r="J145" s="19">
        <f t="shared" si="22"/>
        <v>2.2038429375263353E-5</v>
      </c>
      <c r="K145" s="2"/>
      <c r="L145" s="2">
        <f t="shared" si="23"/>
        <v>-59.57</v>
      </c>
      <c r="M145" s="2"/>
      <c r="N145" s="19">
        <f t="shared" si="24"/>
        <v>-1</v>
      </c>
      <c r="O145" s="11"/>
      <c r="P145" s="2"/>
      <c r="Q145" s="2"/>
      <c r="R145" s="19">
        <f t="shared" si="25"/>
        <v>0</v>
      </c>
      <c r="S145" s="2"/>
      <c r="T145" s="2">
        <v>59.57</v>
      </c>
      <c r="U145" s="2"/>
      <c r="V145" s="19">
        <f t="shared" si="26"/>
        <v>1.949953866094837E-5</v>
      </c>
      <c r="W145" s="2"/>
      <c r="X145" s="2">
        <f t="shared" si="27"/>
        <v>-59.57</v>
      </c>
      <c r="Y145" s="2"/>
      <c r="Z145" s="19">
        <f t="shared" si="28"/>
        <v>-1</v>
      </c>
    </row>
    <row r="146" spans="1:26" x14ac:dyDescent="0.25">
      <c r="A146" s="9"/>
      <c r="B146" s="10"/>
      <c r="C146" s="10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O146" s="10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x14ac:dyDescent="0.25">
      <c r="A147" s="10"/>
      <c r="B147" s="26" t="s">
        <v>6</v>
      </c>
      <c r="C147" s="26"/>
      <c r="D147" s="22">
        <f>D12-D98</f>
        <v>515666.05000000028</v>
      </c>
      <c r="E147" s="13"/>
      <c r="F147" s="21">
        <f>IF(D$12=0,0,D147/D$12)</f>
        <v>0.32287869648049894</v>
      </c>
      <c r="G147" s="13"/>
      <c r="H147" s="22">
        <f>H12-H98</f>
        <v>932727.86000000034</v>
      </c>
      <c r="I147" s="13"/>
      <c r="J147" s="21">
        <f>IF(H$12=0,0,H147/H$12)</f>
        <v>0.34507062395418048</v>
      </c>
      <c r="K147" s="16"/>
      <c r="L147" s="22">
        <f>+D147-H147</f>
        <v>-417061.81000000006</v>
      </c>
      <c r="M147" s="16"/>
      <c r="N147" s="21">
        <f>IF(H147=0,0,L147/H147)</f>
        <v>-0.44714200988914377</v>
      </c>
      <c r="O147" s="25"/>
      <c r="P147" s="22">
        <f>P12-P98</f>
        <v>601938.03</v>
      </c>
      <c r="Q147" s="13"/>
      <c r="R147" s="21">
        <f>IF(P$12=0,0,P147/P$12)</f>
        <v>0.32987309604444942</v>
      </c>
      <c r="S147" s="13"/>
      <c r="T147" s="22">
        <f>T12-T98</f>
        <v>1090743.8100000005</v>
      </c>
      <c r="U147" s="13"/>
      <c r="V147" s="21">
        <f>IF(T$12=0,0,T147/T$12)</f>
        <v>0.35704215363916625</v>
      </c>
      <c r="W147" s="16"/>
      <c r="X147" s="22">
        <f>+P147-T147</f>
        <v>-488805.78000000049</v>
      </c>
      <c r="Y147" s="16"/>
      <c r="Z147" s="21">
        <f>IF(T147=0,0,X147/T147)</f>
        <v>-0.44813986155007401</v>
      </c>
    </row>
    <row r="148" spans="1:26" x14ac:dyDescent="0.25">
      <c r="A148" s="9"/>
      <c r="B148" s="10"/>
      <c r="C148" s="9"/>
      <c r="D148" s="1"/>
      <c r="E148" s="1"/>
      <c r="F148" s="5"/>
      <c r="G148" s="1"/>
      <c r="H148" s="1"/>
      <c r="I148" s="1"/>
      <c r="J148" s="5"/>
      <c r="K148" s="1"/>
      <c r="L148" s="1"/>
      <c r="M148" s="1"/>
      <c r="N148" s="5"/>
      <c r="O148" s="37"/>
      <c r="P148" s="1"/>
      <c r="Q148" s="1"/>
      <c r="R148" s="5"/>
      <c r="S148" s="1"/>
      <c r="T148" s="1"/>
      <c r="U148" s="1"/>
      <c r="V148" s="5"/>
      <c r="W148" s="1"/>
      <c r="X148" s="1"/>
      <c r="Y148" s="1"/>
      <c r="Z148" s="5"/>
    </row>
    <row r="149" spans="1:26" s="23" customFormat="1" x14ac:dyDescent="0.25">
      <c r="A149" s="10"/>
      <c r="B149" s="25" t="s">
        <v>9</v>
      </c>
      <c r="C149" s="10"/>
      <c r="D149" s="20">
        <f>SUM(OSRRefD22x_0)</f>
        <v>223887.90000000005</v>
      </c>
      <c r="E149" s="20"/>
      <c r="F149" s="35">
        <f t="shared" ref="F149:F160" si="29">IF(D$12=0,0,D149/D$12)</f>
        <v>0.14018497690463871</v>
      </c>
      <c r="G149" s="20"/>
      <c r="H149" s="20">
        <f>SUM(OSRRefH22x_0)</f>
        <v>410344.45</v>
      </c>
      <c r="I149" s="20"/>
      <c r="J149" s="35">
        <f t="shared" ref="J149:J160" si="30">IF(H$12=0,0,H149/H$12)</f>
        <v>0.15181042774645434</v>
      </c>
      <c r="K149" s="4"/>
      <c r="L149" s="20">
        <f t="shared" ref="L149:L160" si="31">+D149-H149</f>
        <v>-186456.54999999996</v>
      </c>
      <c r="M149" s="4"/>
      <c r="N149" s="35">
        <f t="shared" ref="N149:N160" si="32">IF(H149=0,0,L149/H149)</f>
        <v>-0.45439032988017736</v>
      </c>
      <c r="O149" s="10"/>
      <c r="P149" s="20">
        <f>SUM(OSRRefP22x_0)</f>
        <v>542488.70000000007</v>
      </c>
      <c r="Q149" s="20"/>
      <c r="R149" s="35">
        <f t="shared" ref="R149:R160" si="33">IF(P$12=0,0,P149/P$12)</f>
        <v>0.29729377131750345</v>
      </c>
      <c r="S149" s="20"/>
      <c r="T149" s="20">
        <f>SUM(OSRRefT22x_0)</f>
        <v>766109.74</v>
      </c>
      <c r="U149" s="20"/>
      <c r="V149" s="35">
        <f t="shared" ref="V149:V160" si="34">IF(T$12=0,0,T149/T$12)</f>
        <v>0.25077701013360926</v>
      </c>
      <c r="W149" s="4"/>
      <c r="X149" s="20">
        <f t="shared" ref="X149:X160" si="35">+P149-T149</f>
        <v>-223621.03999999992</v>
      </c>
      <c r="Y149" s="4"/>
      <c r="Z149" s="35">
        <f t="shared" ref="Z149:Z160" si="36">IF(T149=0,0,X149/T149)</f>
        <v>-0.29189165510413678</v>
      </c>
    </row>
    <row r="150" spans="1:26" s="28" customFormat="1" outlineLevel="1" collapsed="1" x14ac:dyDescent="0.25">
      <c r="A150" s="27"/>
      <c r="B150" s="14" t="str">
        <f>CONCATENATE("     ","*Benefits                                         ")</f>
        <v xml:space="preserve">     *Benefits                                         </v>
      </c>
      <c r="C150" s="14"/>
      <c r="D150" s="1">
        <f>SUM(OSRRefD22_0x_0)</f>
        <v>45446.26</v>
      </c>
      <c r="E150" s="1"/>
      <c r="F150" s="5">
        <f t="shared" si="29"/>
        <v>2.8455682100293072E-2</v>
      </c>
      <c r="G150" s="1"/>
      <c r="H150" s="1">
        <f>SUM(OSRRefH22_0x_0)</f>
        <v>52794.29</v>
      </c>
      <c r="I150" s="1"/>
      <c r="J150" s="5">
        <f t="shared" si="30"/>
        <v>1.9531697693170594E-2</v>
      </c>
      <c r="K150" s="1"/>
      <c r="L150" s="1">
        <f t="shared" si="31"/>
        <v>-7348.0299999999988</v>
      </c>
      <c r="M150" s="1"/>
      <c r="N150" s="5">
        <f t="shared" si="32"/>
        <v>-0.13918228656924828</v>
      </c>
      <c r="O150" s="14"/>
      <c r="P150" s="1">
        <f>SUM(OSRRefP22_0x_0)</f>
        <v>86112.73000000001</v>
      </c>
      <c r="Q150" s="1"/>
      <c r="R150" s="5">
        <f t="shared" si="33"/>
        <v>4.7191357645137891E-2</v>
      </c>
      <c r="S150" s="1"/>
      <c r="T150" s="1">
        <f>SUM(OSRRefT22_0x_0)</f>
        <v>107945.64</v>
      </c>
      <c r="U150" s="1"/>
      <c r="V150" s="5">
        <f t="shared" si="34"/>
        <v>3.5334735277166608E-2</v>
      </c>
      <c r="W150" s="1"/>
      <c r="X150" s="1">
        <f t="shared" si="35"/>
        <v>-21832.909999999989</v>
      </c>
      <c r="Y150" s="1"/>
      <c r="Z150" s="5">
        <f t="shared" si="36"/>
        <v>-0.2022583774573942</v>
      </c>
    </row>
    <row r="151" spans="1:26" s="24" customFormat="1" hidden="1" outlineLevel="2" x14ac:dyDescent="0.25">
      <c r="A151" s="29"/>
      <c r="B151" s="11" t="str">
        <f>CONCATENATE("          ", "6111", " - ", "F.I.C.A.")</f>
        <v xml:space="preserve">          6111 - F.I.C.A.</v>
      </c>
      <c r="C151" s="11"/>
      <c r="D151" s="7">
        <v>10736.45</v>
      </c>
      <c r="E151" s="2"/>
      <c r="F151" s="6">
        <f t="shared" si="29"/>
        <v>6.7225115572918772E-3</v>
      </c>
      <c r="G151" s="2"/>
      <c r="H151" s="7">
        <v>14163.46</v>
      </c>
      <c r="I151" s="2"/>
      <c r="J151" s="6">
        <f t="shared" si="30"/>
        <v>5.2398927802479013E-3</v>
      </c>
      <c r="K151" s="2"/>
      <c r="L151" s="7">
        <f t="shared" si="31"/>
        <v>-3427.0099999999984</v>
      </c>
      <c r="M151" s="2"/>
      <c r="N151" s="6">
        <f t="shared" si="32"/>
        <v>-0.24196135690007939</v>
      </c>
      <c r="O151" s="11"/>
      <c r="P151" s="7">
        <v>18303.390000000003</v>
      </c>
      <c r="Q151" s="2"/>
      <c r="R151" s="6">
        <f t="shared" si="33"/>
        <v>1.0030593892545743E-2</v>
      </c>
      <c r="S151" s="2"/>
      <c r="T151" s="7">
        <v>25000.1</v>
      </c>
      <c r="U151" s="2"/>
      <c r="V151" s="6">
        <f t="shared" si="34"/>
        <v>8.1834886096621672E-3</v>
      </c>
      <c r="W151" s="2"/>
      <c r="X151" s="7">
        <f t="shared" si="35"/>
        <v>-6696.7099999999955</v>
      </c>
      <c r="Y151" s="2"/>
      <c r="Z151" s="6">
        <f t="shared" si="36"/>
        <v>-0.26786732853068573</v>
      </c>
    </row>
    <row r="152" spans="1:26" s="24" customFormat="1" hidden="1" outlineLevel="2" x14ac:dyDescent="0.25">
      <c r="A152" s="29"/>
      <c r="B152" s="11" t="str">
        <f>CONCATENATE("          ", "6112", " - ", "COMPENSATION INSURANCE")</f>
        <v xml:space="preserve">          6112 - COMPENSATION INSURANCE</v>
      </c>
      <c r="C152" s="11"/>
      <c r="D152" s="7">
        <v>2365.1</v>
      </c>
      <c r="E152" s="2"/>
      <c r="F152" s="6">
        <f t="shared" si="29"/>
        <v>1.4808816772910057E-3</v>
      </c>
      <c r="G152" s="2"/>
      <c r="H152" s="7">
        <v>2910.5</v>
      </c>
      <c r="I152" s="2"/>
      <c r="J152" s="6">
        <f t="shared" si="30"/>
        <v>1.0767642890163504E-3</v>
      </c>
      <c r="K152" s="2"/>
      <c r="L152" s="7">
        <f t="shared" si="31"/>
        <v>-545.40000000000009</v>
      </c>
      <c r="M152" s="2"/>
      <c r="N152" s="6">
        <f t="shared" si="32"/>
        <v>-0.18739048273492531</v>
      </c>
      <c r="O152" s="11"/>
      <c r="P152" s="7">
        <v>4144.13</v>
      </c>
      <c r="Q152" s="2"/>
      <c r="R152" s="6">
        <f t="shared" si="33"/>
        <v>2.2710593539183497E-3</v>
      </c>
      <c r="S152" s="2"/>
      <c r="T152" s="7">
        <v>4876.84</v>
      </c>
      <c r="U152" s="2"/>
      <c r="V152" s="6">
        <f t="shared" si="34"/>
        <v>1.5963761981410015E-3</v>
      </c>
      <c r="W152" s="2"/>
      <c r="X152" s="7">
        <f t="shared" si="35"/>
        <v>-732.71</v>
      </c>
      <c r="Y152" s="2"/>
      <c r="Z152" s="6">
        <f t="shared" si="36"/>
        <v>-0.15024278016092388</v>
      </c>
    </row>
    <row r="153" spans="1:26" s="24" customFormat="1" hidden="1" outlineLevel="2" x14ac:dyDescent="0.25">
      <c r="A153" s="29"/>
      <c r="B153" s="11" t="str">
        <f>CONCATENATE("          ", "6113", " - ", "GROUP INSURANCE")</f>
        <v xml:space="preserve">          6113 - GROUP INSURANCE</v>
      </c>
      <c r="C153" s="11"/>
      <c r="D153" s="7">
        <v>15535.390000000001</v>
      </c>
      <c r="E153" s="2"/>
      <c r="F153" s="6">
        <f t="shared" si="29"/>
        <v>9.7273157162783477E-3</v>
      </c>
      <c r="G153" s="2"/>
      <c r="H153" s="7">
        <v>18998.099999999999</v>
      </c>
      <c r="I153" s="2"/>
      <c r="J153" s="6">
        <f t="shared" si="30"/>
        <v>7.0285090668825026E-3</v>
      </c>
      <c r="K153" s="2"/>
      <c r="L153" s="7">
        <f t="shared" si="31"/>
        <v>-3462.7099999999973</v>
      </c>
      <c r="M153" s="2"/>
      <c r="N153" s="6">
        <f t="shared" si="32"/>
        <v>-0.18226612134897688</v>
      </c>
      <c r="O153" s="11"/>
      <c r="P153" s="7">
        <v>29004.070000000003</v>
      </c>
      <c r="Q153" s="2"/>
      <c r="R153" s="6">
        <f t="shared" si="33"/>
        <v>1.5894763068533706E-2</v>
      </c>
      <c r="S153" s="2"/>
      <c r="T153" s="7">
        <v>37528.550000000003</v>
      </c>
      <c r="U153" s="2"/>
      <c r="V153" s="6">
        <f t="shared" si="34"/>
        <v>1.2284529320368207E-2</v>
      </c>
      <c r="W153" s="2"/>
      <c r="X153" s="7">
        <f t="shared" si="35"/>
        <v>-8524.48</v>
      </c>
      <c r="Y153" s="2"/>
      <c r="Z153" s="6">
        <f t="shared" si="36"/>
        <v>-0.22714653243996902</v>
      </c>
    </row>
    <row r="154" spans="1:26" s="24" customFormat="1" hidden="1" outlineLevel="2" x14ac:dyDescent="0.25">
      <c r="A154" s="29"/>
      <c r="B154" s="11" t="str">
        <f>CONCATENATE("          ", "6114", " - ", "STATE UNEMPLOYMENT INSURANCE")</f>
        <v xml:space="preserve">          6114 - STATE UNEMPLOYMENT INSURANCE</v>
      </c>
      <c r="C154" s="11"/>
      <c r="D154" s="7">
        <v>373.18</v>
      </c>
      <c r="E154" s="2"/>
      <c r="F154" s="6">
        <f t="shared" si="29"/>
        <v>2.3366260383554926E-4</v>
      </c>
      <c r="G154" s="2"/>
      <c r="H154" s="7">
        <v>482.73</v>
      </c>
      <c r="I154" s="2"/>
      <c r="J154" s="6">
        <f t="shared" si="30"/>
        <v>1.7859007910560483E-4</v>
      </c>
      <c r="K154" s="2"/>
      <c r="L154" s="7">
        <f t="shared" si="31"/>
        <v>-109.55000000000001</v>
      </c>
      <c r="M154" s="2"/>
      <c r="N154" s="6">
        <f t="shared" si="32"/>
        <v>-0.22693845420835665</v>
      </c>
      <c r="O154" s="11"/>
      <c r="P154" s="7">
        <v>648.27</v>
      </c>
      <c r="Q154" s="2"/>
      <c r="R154" s="6">
        <f t="shared" si="33"/>
        <v>3.5526386656901411E-4</v>
      </c>
      <c r="S154" s="2"/>
      <c r="T154" s="7">
        <v>849.77</v>
      </c>
      <c r="U154" s="2"/>
      <c r="V154" s="6">
        <f t="shared" si="34"/>
        <v>2.7816221198445688E-4</v>
      </c>
      <c r="W154" s="2"/>
      <c r="X154" s="7">
        <f t="shared" si="35"/>
        <v>-201.5</v>
      </c>
      <c r="Y154" s="2"/>
      <c r="Z154" s="6">
        <f t="shared" si="36"/>
        <v>-0.23712298621980066</v>
      </c>
    </row>
    <row r="155" spans="1:26" s="24" customFormat="1" hidden="1" outlineLevel="2" x14ac:dyDescent="0.25">
      <c r="A155" s="29"/>
      <c r="B155" s="11" t="str">
        <f>CONCATENATE("          ", "6115", " - ", "P.E.R.S.")</f>
        <v xml:space="preserve">          6115 - P.E.R.S.</v>
      </c>
      <c r="C155" s="11"/>
      <c r="D155" s="7">
        <v>6155.57</v>
      </c>
      <c r="E155" s="2"/>
      <c r="F155" s="6">
        <f t="shared" si="29"/>
        <v>3.8542432989227497E-3</v>
      </c>
      <c r="G155" s="2"/>
      <c r="H155" s="7">
        <v>6190.68</v>
      </c>
      <c r="I155" s="2"/>
      <c r="J155" s="6">
        <f t="shared" si="30"/>
        <v>2.2902948458092217E-3</v>
      </c>
      <c r="K155" s="2"/>
      <c r="L155" s="7">
        <f t="shared" si="31"/>
        <v>-35.110000000000582</v>
      </c>
      <c r="M155" s="2"/>
      <c r="N155" s="6">
        <f t="shared" si="32"/>
        <v>-5.6714286637333184E-3</v>
      </c>
      <c r="O155" s="11"/>
      <c r="P155" s="7">
        <v>14314.06</v>
      </c>
      <c r="Q155" s="2"/>
      <c r="R155" s="6">
        <f t="shared" si="33"/>
        <v>7.8443677817897819E-3</v>
      </c>
      <c r="S155" s="2"/>
      <c r="T155" s="7">
        <v>12305.17</v>
      </c>
      <c r="U155" s="2"/>
      <c r="V155" s="6">
        <f t="shared" si="34"/>
        <v>4.027952629587747E-3</v>
      </c>
      <c r="W155" s="2"/>
      <c r="X155" s="7">
        <f t="shared" si="35"/>
        <v>2008.8899999999994</v>
      </c>
      <c r="Y155" s="2"/>
      <c r="Z155" s="6">
        <f t="shared" si="36"/>
        <v>0.16325576972930886</v>
      </c>
    </row>
    <row r="156" spans="1:26" s="24" customFormat="1" hidden="1" outlineLevel="2" x14ac:dyDescent="0.25">
      <c r="A156" s="29"/>
      <c r="B156" s="11" t="str">
        <f>CONCATENATE("          ", "6116", " - ", "EDUCATIONAL BENEFITS")</f>
        <v xml:space="preserve">          6116 - EDUCATIONAL BENEFITS</v>
      </c>
      <c r="C156" s="11"/>
      <c r="D156" s="7"/>
      <c r="E156" s="2"/>
      <c r="F156" s="6">
        <f t="shared" si="29"/>
        <v>0</v>
      </c>
      <c r="G156" s="2"/>
      <c r="H156" s="7"/>
      <c r="I156" s="2"/>
      <c r="J156" s="6">
        <f t="shared" si="30"/>
        <v>0</v>
      </c>
      <c r="K156" s="2"/>
      <c r="L156" s="7">
        <f t="shared" si="31"/>
        <v>0</v>
      </c>
      <c r="M156" s="2"/>
      <c r="N156" s="6">
        <f t="shared" si="32"/>
        <v>0</v>
      </c>
      <c r="O156" s="11"/>
      <c r="P156" s="7">
        <v>0</v>
      </c>
      <c r="Q156" s="2"/>
      <c r="R156" s="6">
        <f t="shared" si="33"/>
        <v>0</v>
      </c>
      <c r="S156" s="2"/>
      <c r="T156" s="7"/>
      <c r="U156" s="2"/>
      <c r="V156" s="6">
        <f t="shared" si="34"/>
        <v>0</v>
      </c>
      <c r="W156" s="2"/>
      <c r="X156" s="7">
        <f t="shared" si="35"/>
        <v>0</v>
      </c>
      <c r="Y156" s="2"/>
      <c r="Z156" s="6">
        <f t="shared" si="36"/>
        <v>0</v>
      </c>
    </row>
    <row r="157" spans="1:26" s="24" customFormat="1" hidden="1" outlineLevel="2" x14ac:dyDescent="0.25">
      <c r="A157" s="29"/>
      <c r="B157" s="11" t="str">
        <f>CONCATENATE("          ", "6117", " - ", "RETIREMENT STAFF HOURLY")</f>
        <v xml:space="preserve">          6117 - RETIREMENT STAFF HOURLY</v>
      </c>
      <c r="C157" s="11"/>
      <c r="D157" s="7">
        <v>255.65</v>
      </c>
      <c r="E157" s="2"/>
      <c r="F157" s="6">
        <f t="shared" si="29"/>
        <v>1.6007247084666424E-4</v>
      </c>
      <c r="G157" s="2"/>
      <c r="H157" s="7">
        <v>94.68</v>
      </c>
      <c r="I157" s="2"/>
      <c r="J157" s="6">
        <f t="shared" si="30"/>
        <v>3.5027673212186242E-5</v>
      </c>
      <c r="K157" s="2"/>
      <c r="L157" s="7">
        <f t="shared" si="31"/>
        <v>160.97</v>
      </c>
      <c r="M157" s="2"/>
      <c r="N157" s="6">
        <f t="shared" si="32"/>
        <v>1.7001478664976764</v>
      </c>
      <c r="O157" s="11"/>
      <c r="P157" s="7">
        <v>588.79</v>
      </c>
      <c r="Q157" s="2"/>
      <c r="R157" s="6">
        <f t="shared" si="33"/>
        <v>3.2266773411876193E-4</v>
      </c>
      <c r="S157" s="2"/>
      <c r="T157" s="7">
        <v>315.37</v>
      </c>
      <c r="U157" s="2"/>
      <c r="V157" s="6">
        <f t="shared" si="34"/>
        <v>1.032326591825296E-4</v>
      </c>
      <c r="W157" s="2"/>
      <c r="X157" s="7">
        <f t="shared" si="35"/>
        <v>273.41999999999996</v>
      </c>
      <c r="Y157" s="2"/>
      <c r="Z157" s="6">
        <f t="shared" si="36"/>
        <v>0.86698164061261362</v>
      </c>
    </row>
    <row r="158" spans="1:26" s="24" customFormat="1" hidden="1" outlineLevel="2" x14ac:dyDescent="0.25">
      <c r="A158" s="29"/>
      <c r="B158" s="11" t="str">
        <f>CONCATENATE("          ", "6118", " - ", "VACATION")</f>
        <v xml:space="preserve">          6118 - VACATION</v>
      </c>
      <c r="C158" s="11"/>
      <c r="D158" s="7">
        <v>4990.96</v>
      </c>
      <c r="E158" s="2"/>
      <c r="F158" s="6">
        <f t="shared" si="29"/>
        <v>3.1250353964281923E-3</v>
      </c>
      <c r="G158" s="2"/>
      <c r="H158" s="7">
        <v>4704.8500000000004</v>
      </c>
      <c r="I158" s="2"/>
      <c r="J158" s="6">
        <f t="shared" si="30"/>
        <v>1.7405993695854926E-3</v>
      </c>
      <c r="K158" s="2"/>
      <c r="L158" s="7">
        <f t="shared" si="31"/>
        <v>286.10999999999967</v>
      </c>
      <c r="M158" s="2"/>
      <c r="N158" s="6">
        <f t="shared" si="32"/>
        <v>6.081171557010312E-2</v>
      </c>
      <c r="O158" s="11"/>
      <c r="P158" s="7">
        <v>9724.66</v>
      </c>
      <c r="Q158" s="2"/>
      <c r="R158" s="6">
        <f t="shared" si="33"/>
        <v>5.3292922897388876E-3</v>
      </c>
      <c r="S158" s="2"/>
      <c r="T158" s="7">
        <v>12039.76</v>
      </c>
      <c r="U158" s="2"/>
      <c r="V158" s="6">
        <f t="shared" si="34"/>
        <v>3.941073788627493E-3</v>
      </c>
      <c r="W158" s="2"/>
      <c r="X158" s="7">
        <f t="shared" si="35"/>
        <v>-2315.1000000000004</v>
      </c>
      <c r="Y158" s="2"/>
      <c r="Z158" s="6">
        <f t="shared" si="36"/>
        <v>-0.19228788613726522</v>
      </c>
    </row>
    <row r="159" spans="1:26" s="24" customFormat="1" hidden="1" outlineLevel="2" x14ac:dyDescent="0.25">
      <c r="A159" s="29"/>
      <c r="B159" s="11" t="str">
        <f>CONCATENATE("          ", "6119", " - ", "SICK LEAVE")</f>
        <v xml:space="preserve">          6119 - SICK LEAVE</v>
      </c>
      <c r="C159" s="11"/>
      <c r="D159" s="7">
        <v>3619.21</v>
      </c>
      <c r="E159" s="2"/>
      <c r="F159" s="6">
        <f t="shared" si="29"/>
        <v>2.2661290327125197E-3</v>
      </c>
      <c r="G159" s="2"/>
      <c r="H159" s="7">
        <v>3331.17</v>
      </c>
      <c r="I159" s="2"/>
      <c r="J159" s="6">
        <f t="shared" si="30"/>
        <v>1.2323947420177276E-3</v>
      </c>
      <c r="K159" s="2"/>
      <c r="L159" s="7">
        <f t="shared" si="31"/>
        <v>288.03999999999996</v>
      </c>
      <c r="M159" s="2"/>
      <c r="N159" s="6">
        <f t="shared" si="32"/>
        <v>8.6468117808457673E-2</v>
      </c>
      <c r="O159" s="11"/>
      <c r="P159" s="7">
        <v>6955.19</v>
      </c>
      <c r="Q159" s="2"/>
      <c r="R159" s="6">
        <f t="shared" si="33"/>
        <v>3.8115718637637729E-3</v>
      </c>
      <c r="S159" s="2"/>
      <c r="T159" s="7">
        <v>11382.25</v>
      </c>
      <c r="U159" s="2"/>
      <c r="V159" s="6">
        <f t="shared" si="34"/>
        <v>3.725845625710586E-3</v>
      </c>
      <c r="W159" s="2"/>
      <c r="X159" s="7">
        <f t="shared" si="35"/>
        <v>-4427.0600000000004</v>
      </c>
      <c r="Y159" s="2"/>
      <c r="Z159" s="6">
        <f t="shared" si="36"/>
        <v>-0.38894418941773379</v>
      </c>
    </row>
    <row r="160" spans="1:26" s="24" customFormat="1" hidden="1" outlineLevel="2" x14ac:dyDescent="0.25">
      <c r="A160" s="29"/>
      <c r="B160" s="11" t="str">
        <f>CONCATENATE("          ", "6156", " - ", "EMPLOYEE MEALS")</f>
        <v xml:space="preserve">          6156 - EMPLOYEE MEALS</v>
      </c>
      <c r="C160" s="11"/>
      <c r="D160" s="7">
        <v>1414.75</v>
      </c>
      <c r="E160" s="2"/>
      <c r="F160" s="6">
        <f t="shared" si="29"/>
        <v>8.8583034668616566E-4</v>
      </c>
      <c r="G160" s="2"/>
      <c r="H160" s="7">
        <v>1918.12</v>
      </c>
      <c r="I160" s="2"/>
      <c r="J160" s="6">
        <f t="shared" si="30"/>
        <v>7.0962484729360654E-4</v>
      </c>
      <c r="K160" s="2"/>
      <c r="L160" s="7">
        <f t="shared" si="31"/>
        <v>-503.36999999999989</v>
      </c>
      <c r="M160" s="2"/>
      <c r="N160" s="6">
        <f t="shared" si="32"/>
        <v>-0.26242883656914057</v>
      </c>
      <c r="O160" s="11"/>
      <c r="P160" s="7">
        <v>2430.17</v>
      </c>
      <c r="Q160" s="2"/>
      <c r="R160" s="6">
        <f t="shared" si="33"/>
        <v>1.3317777941598732E-3</v>
      </c>
      <c r="S160" s="2"/>
      <c r="T160" s="7">
        <v>3647.83</v>
      </c>
      <c r="U160" s="2"/>
      <c r="V160" s="6">
        <f t="shared" si="34"/>
        <v>1.1940742339024222E-3</v>
      </c>
      <c r="W160" s="2"/>
      <c r="X160" s="7">
        <f t="shared" si="35"/>
        <v>-1217.6599999999999</v>
      </c>
      <c r="Y160" s="2"/>
      <c r="Z160" s="6">
        <f t="shared" si="36"/>
        <v>-0.33380393274905901</v>
      </c>
    </row>
    <row r="161" spans="1:26" s="28" customFormat="1" outlineLevel="1" collapsed="1" x14ac:dyDescent="0.25">
      <c r="A161" s="27"/>
      <c r="B161" s="14" t="str">
        <f>CONCATENATE("     ","*Payroll                                          ")</f>
        <v xml:space="preserve">     *Payroll                                          </v>
      </c>
      <c r="C161" s="14"/>
      <c r="D161" s="1">
        <f>SUM(OSRRefD22_1x_0)</f>
        <v>159836.01</v>
      </c>
      <c r="E161" s="1"/>
      <c r="F161" s="5">
        <f t="shared" ref="F161:F168" si="37">IF(D$12=0,0,D161/D$12)</f>
        <v>0.10007958165840851</v>
      </c>
      <c r="G161" s="1"/>
      <c r="H161" s="1">
        <f>SUM(OSRRefH22_1x_0)</f>
        <v>223834.41</v>
      </c>
      <c r="I161" s="1"/>
      <c r="J161" s="5">
        <f t="shared" ref="J161:J168" si="38">IF(H$12=0,0,H161/H$12)</f>
        <v>8.2809448321953028E-2</v>
      </c>
      <c r="K161" s="1"/>
      <c r="L161" s="1">
        <f t="shared" ref="L161:L168" si="39">+D161-H161</f>
        <v>-63998.399999999994</v>
      </c>
      <c r="M161" s="1"/>
      <c r="N161" s="5">
        <f t="shared" ref="N161:N168" si="40">IF(H161=0,0,L161/H161)</f>
        <v>-0.28591850555953391</v>
      </c>
      <c r="O161" s="14"/>
      <c r="P161" s="1">
        <f>SUM(OSRRefP22_1x_0)</f>
        <v>280313.57</v>
      </c>
      <c r="Q161" s="1"/>
      <c r="R161" s="5">
        <f t="shared" ref="R161:R168" si="41">IF(P$12=0,0,P161/P$12)</f>
        <v>0.15361698479023247</v>
      </c>
      <c r="S161" s="1"/>
      <c r="T161" s="1">
        <f>SUM(OSRRefT22_1x_0)</f>
        <v>394132.18000000005</v>
      </c>
      <c r="U161" s="1"/>
      <c r="V161" s="5">
        <f t="shared" ref="V161:V168" si="42">IF(T$12=0,0,T161/T$12)</f>
        <v>0.1290145321711241</v>
      </c>
      <c r="W161" s="1"/>
      <c r="X161" s="1">
        <f t="shared" ref="X161:X168" si="43">+P161-T161</f>
        <v>-113818.61000000004</v>
      </c>
      <c r="Y161" s="1"/>
      <c r="Z161" s="5">
        <f t="shared" ref="Z161:Z168" si="44">IF(T161=0,0,X161/T161)</f>
        <v>-0.28878283930025717</v>
      </c>
    </row>
    <row r="162" spans="1:26" s="24" customFormat="1" hidden="1" outlineLevel="2" x14ac:dyDescent="0.25">
      <c r="A162" s="29"/>
      <c r="B162" s="11" t="str">
        <f>CONCATENATE("          ", "6001", " - ", "ADMINISTRATIVE SALARIES")</f>
        <v xml:space="preserve">          6001 - ADMINISTRATIVE SALARIES</v>
      </c>
      <c r="C162" s="11"/>
      <c r="D162" s="7">
        <v>4205.74</v>
      </c>
      <c r="E162" s="2"/>
      <c r="F162" s="6">
        <f t="shared" si="37"/>
        <v>2.6333784218214341E-3</v>
      </c>
      <c r="G162" s="2"/>
      <c r="H162" s="7">
        <v>10181.280000000001</v>
      </c>
      <c r="I162" s="2"/>
      <c r="J162" s="6">
        <f t="shared" si="38"/>
        <v>3.7666513384217106E-3</v>
      </c>
      <c r="K162" s="2"/>
      <c r="L162" s="7">
        <f t="shared" si="39"/>
        <v>-5975.5400000000009</v>
      </c>
      <c r="M162" s="2"/>
      <c r="N162" s="6">
        <f t="shared" si="40"/>
        <v>-0.58691441547624668</v>
      </c>
      <c r="O162" s="11"/>
      <c r="P162" s="7">
        <v>8731.59</v>
      </c>
      <c r="Q162" s="2"/>
      <c r="R162" s="6">
        <f t="shared" si="41"/>
        <v>4.7850716903378807E-3</v>
      </c>
      <c r="S162" s="2"/>
      <c r="T162" s="7">
        <v>23041.56</v>
      </c>
      <c r="U162" s="2"/>
      <c r="V162" s="6">
        <f t="shared" si="42"/>
        <v>7.5423835828195666E-3</v>
      </c>
      <c r="W162" s="2"/>
      <c r="X162" s="7">
        <f t="shared" si="43"/>
        <v>-14309.970000000001</v>
      </c>
      <c r="Y162" s="2"/>
      <c r="Z162" s="6">
        <f t="shared" si="44"/>
        <v>-0.62105039762932723</v>
      </c>
    </row>
    <row r="163" spans="1:26" s="24" customFormat="1" hidden="1" outlineLevel="2" x14ac:dyDescent="0.25">
      <c r="A163" s="29"/>
      <c r="B163" s="11" t="str">
        <f>CONCATENATE("          ", "6002", " - ", "STAFF SALARIES")</f>
        <v xml:space="preserve">          6002 - STAFF SALARIES</v>
      </c>
      <c r="C163" s="11"/>
      <c r="D163" s="7">
        <v>54058.76</v>
      </c>
      <c r="E163" s="2"/>
      <c r="F163" s="6">
        <f t="shared" si="37"/>
        <v>3.3848305433627303E-2</v>
      </c>
      <c r="G163" s="2"/>
      <c r="H163" s="7">
        <v>56508.47</v>
      </c>
      <c r="I163" s="2"/>
      <c r="J163" s="6">
        <f t="shared" si="38"/>
        <v>2.0905790250112272E-2</v>
      </c>
      <c r="K163" s="2"/>
      <c r="L163" s="7">
        <f t="shared" si="39"/>
        <v>-2449.7099999999991</v>
      </c>
      <c r="M163" s="2"/>
      <c r="N163" s="6">
        <f t="shared" si="40"/>
        <v>-4.3351200271392928E-2</v>
      </c>
      <c r="O163" s="11"/>
      <c r="P163" s="7">
        <v>118495.16</v>
      </c>
      <c r="Q163" s="2"/>
      <c r="R163" s="6">
        <f t="shared" si="41"/>
        <v>6.4937524042935776E-2</v>
      </c>
      <c r="S163" s="2"/>
      <c r="T163" s="7">
        <v>120636.08000000002</v>
      </c>
      <c r="U163" s="2"/>
      <c r="V163" s="6">
        <f t="shared" si="42"/>
        <v>3.9488801508565735E-2</v>
      </c>
      <c r="W163" s="2"/>
      <c r="X163" s="7">
        <f t="shared" si="43"/>
        <v>-2140.9200000000128</v>
      </c>
      <c r="Y163" s="2"/>
      <c r="Z163" s="6">
        <f t="shared" si="44"/>
        <v>-1.7746929442667671E-2</v>
      </c>
    </row>
    <row r="164" spans="1:26" s="24" customFormat="1" hidden="1" outlineLevel="2" x14ac:dyDescent="0.25">
      <c r="A164" s="29"/>
      <c r="B164" s="11" t="str">
        <f>CONCATENATE("          ", "6004", " - ", "STAFF HOURLY")</f>
        <v xml:space="preserve">          6004 - STAFF HOURLY</v>
      </c>
      <c r="C164" s="11"/>
      <c r="D164" s="7">
        <v>13876.36</v>
      </c>
      <c r="E164" s="2"/>
      <c r="F164" s="6">
        <f t="shared" si="37"/>
        <v>8.6885321007542267E-3</v>
      </c>
      <c r="G164" s="2"/>
      <c r="H164" s="7">
        <v>2830.32</v>
      </c>
      <c r="I164" s="2"/>
      <c r="J164" s="6">
        <f t="shared" si="38"/>
        <v>1.0471010144266473E-3</v>
      </c>
      <c r="K164" s="2"/>
      <c r="L164" s="7">
        <f t="shared" si="39"/>
        <v>11046.04</v>
      </c>
      <c r="M164" s="2"/>
      <c r="N164" s="6">
        <f t="shared" si="40"/>
        <v>3.9027530455920179</v>
      </c>
      <c r="O164" s="11"/>
      <c r="P164" s="7">
        <v>29589.88</v>
      </c>
      <c r="Q164" s="2"/>
      <c r="R164" s="6">
        <f t="shared" si="41"/>
        <v>1.6215797707919755E-2</v>
      </c>
      <c r="S164" s="2"/>
      <c r="T164" s="7">
        <v>4836.25</v>
      </c>
      <c r="U164" s="2"/>
      <c r="V164" s="6">
        <f t="shared" si="42"/>
        <v>1.5830895391809898E-3</v>
      </c>
      <c r="W164" s="2"/>
      <c r="X164" s="7">
        <f t="shared" si="43"/>
        <v>24753.63</v>
      </c>
      <c r="Y164" s="2"/>
      <c r="Z164" s="6">
        <f t="shared" si="44"/>
        <v>5.1183520289480491</v>
      </c>
    </row>
    <row r="165" spans="1:26" s="24" customFormat="1" hidden="1" outlineLevel="2" x14ac:dyDescent="0.25">
      <c r="A165" s="29"/>
      <c r="B165" s="11" t="str">
        <f>CONCATENATE("          ", "6005", " - ", "TEMPORARY WAGES-HOURLY")</f>
        <v xml:space="preserve">          6005 - TEMPORARY WAGES-HOURLY</v>
      </c>
      <c r="C165" s="11"/>
      <c r="D165" s="7">
        <v>22505.489999999998</v>
      </c>
      <c r="E165" s="2"/>
      <c r="F165" s="6">
        <f t="shared" si="37"/>
        <v>1.4091568127967509E-2</v>
      </c>
      <c r="G165" s="2"/>
      <c r="H165" s="7">
        <v>17494.070000000003</v>
      </c>
      <c r="I165" s="2"/>
      <c r="J165" s="6">
        <f t="shared" si="38"/>
        <v>6.4720803454912448E-3</v>
      </c>
      <c r="K165" s="2"/>
      <c r="L165" s="7">
        <f t="shared" si="39"/>
        <v>5011.4199999999946</v>
      </c>
      <c r="M165" s="2"/>
      <c r="N165" s="6">
        <f t="shared" si="40"/>
        <v>0.28646392749085797</v>
      </c>
      <c r="O165" s="11"/>
      <c r="P165" s="7">
        <v>34891.040000000001</v>
      </c>
      <c r="Q165" s="2"/>
      <c r="R165" s="6">
        <f t="shared" si="41"/>
        <v>1.9120930752640312E-2</v>
      </c>
      <c r="S165" s="2"/>
      <c r="T165" s="7">
        <v>34872.71</v>
      </c>
      <c r="U165" s="2"/>
      <c r="V165" s="6">
        <f t="shared" si="42"/>
        <v>1.1415171342236711E-2</v>
      </c>
      <c r="W165" s="2"/>
      <c r="X165" s="7">
        <f t="shared" si="43"/>
        <v>18.330000000001746</v>
      </c>
      <c r="Y165" s="2"/>
      <c r="Z165" s="6">
        <f t="shared" si="44"/>
        <v>5.2562591206710765E-4</v>
      </c>
    </row>
    <row r="166" spans="1:26" s="24" customFormat="1" hidden="1" outlineLevel="2" x14ac:dyDescent="0.25">
      <c r="A166" s="29"/>
      <c r="B166" s="11" t="str">
        <f>CONCATENATE("          ", "6006", " - ", "TEMPORARY PART TIME")</f>
        <v xml:space="preserve">          6006 - TEMPORARY PART TIME</v>
      </c>
      <c r="C166" s="11"/>
      <c r="D166" s="7">
        <v>1927.34</v>
      </c>
      <c r="E166" s="2"/>
      <c r="F166" s="6">
        <f t="shared" si="37"/>
        <v>1.2067830078686089E-3</v>
      </c>
      <c r="G166" s="2"/>
      <c r="H166" s="7">
        <v>5082.5600000000004</v>
      </c>
      <c r="I166" s="2"/>
      <c r="J166" s="6">
        <f t="shared" si="38"/>
        <v>1.8803364043232923E-3</v>
      </c>
      <c r="K166" s="2"/>
      <c r="L166" s="7">
        <f t="shared" si="39"/>
        <v>-3155.2200000000003</v>
      </c>
      <c r="M166" s="2"/>
      <c r="N166" s="6">
        <f t="shared" si="40"/>
        <v>-0.62079345841465716</v>
      </c>
      <c r="O166" s="11"/>
      <c r="P166" s="7">
        <v>3975.55</v>
      </c>
      <c r="Q166" s="2"/>
      <c r="R166" s="6">
        <f t="shared" si="41"/>
        <v>2.1786744176630788E-3</v>
      </c>
      <c r="S166" s="2"/>
      <c r="T166" s="7">
        <v>8274</v>
      </c>
      <c r="U166" s="2"/>
      <c r="V166" s="6">
        <f t="shared" si="42"/>
        <v>2.7083965566675645E-3</v>
      </c>
      <c r="W166" s="2"/>
      <c r="X166" s="7">
        <f t="shared" si="43"/>
        <v>-4298.45</v>
      </c>
      <c r="Y166" s="2"/>
      <c r="Z166" s="6">
        <f t="shared" si="44"/>
        <v>-0.51951293207638383</v>
      </c>
    </row>
    <row r="167" spans="1:26" s="24" customFormat="1" hidden="1" outlineLevel="2" x14ac:dyDescent="0.25">
      <c r="A167" s="29"/>
      <c r="B167" s="11" t="str">
        <f>CONCATENATE("          ", "6007", " - ", "STUDENT HOURLY")</f>
        <v xml:space="preserve">          6007 - STUDENT HOURLY</v>
      </c>
      <c r="C167" s="11"/>
      <c r="D167" s="7">
        <v>62829.29</v>
      </c>
      <c r="E167" s="2"/>
      <c r="F167" s="6">
        <f t="shared" si="37"/>
        <v>3.9339877535073786E-2</v>
      </c>
      <c r="G167" s="2"/>
      <c r="H167" s="7">
        <v>130090.70999999999</v>
      </c>
      <c r="I167" s="2"/>
      <c r="J167" s="6">
        <f t="shared" si="38"/>
        <v>4.8128167277368912E-2</v>
      </c>
      <c r="K167" s="2"/>
      <c r="L167" s="7">
        <f t="shared" si="39"/>
        <v>-67261.419999999984</v>
      </c>
      <c r="M167" s="2"/>
      <c r="N167" s="6">
        <f t="shared" si="40"/>
        <v>-0.51703476750953226</v>
      </c>
      <c r="O167" s="11"/>
      <c r="P167" s="7">
        <v>84197.319999999992</v>
      </c>
      <c r="Q167" s="2"/>
      <c r="R167" s="6">
        <f t="shared" si="41"/>
        <v>4.6141677785411297E-2</v>
      </c>
      <c r="S167" s="2"/>
      <c r="T167" s="7">
        <v>200509.58000000002</v>
      </c>
      <c r="U167" s="2"/>
      <c r="V167" s="6">
        <f t="shared" si="42"/>
        <v>6.5634452024517717E-2</v>
      </c>
      <c r="W167" s="2"/>
      <c r="X167" s="7">
        <f t="shared" si="43"/>
        <v>-116312.26000000002</v>
      </c>
      <c r="Y167" s="2"/>
      <c r="Z167" s="6">
        <f t="shared" si="44"/>
        <v>-0.58008330574529166</v>
      </c>
    </row>
    <row r="168" spans="1:26" s="24" customFormat="1" hidden="1" outlineLevel="2" x14ac:dyDescent="0.25">
      <c r="A168" s="29"/>
      <c r="B168" s="11" t="str">
        <f>CONCATENATE("          ", "6008", " - ", "STUDENT HOURLY-FICA EXEMPT")</f>
        <v xml:space="preserve">          6008 - STUDENT HOURLY-FICA EXEMPT</v>
      </c>
      <c r="C168" s="11"/>
      <c r="D168" s="7">
        <v>433.03</v>
      </c>
      <c r="E168" s="2"/>
      <c r="F168" s="6">
        <f t="shared" si="37"/>
        <v>2.7113703129564253E-4</v>
      </c>
      <c r="G168" s="2"/>
      <c r="H168" s="7">
        <v>1647</v>
      </c>
      <c r="I168" s="2"/>
      <c r="J168" s="6">
        <f t="shared" si="38"/>
        <v>6.0932169180894316E-4</v>
      </c>
      <c r="K168" s="2"/>
      <c r="L168" s="7">
        <f t="shared" si="39"/>
        <v>-1213.97</v>
      </c>
      <c r="M168" s="2"/>
      <c r="N168" s="6">
        <f t="shared" si="40"/>
        <v>-0.73707953855494845</v>
      </c>
      <c r="O168" s="11"/>
      <c r="P168" s="7">
        <v>433.03</v>
      </c>
      <c r="Q168" s="2"/>
      <c r="R168" s="6">
        <f t="shared" si="41"/>
        <v>2.3730839332435584E-4</v>
      </c>
      <c r="S168" s="2"/>
      <c r="T168" s="7">
        <v>1962</v>
      </c>
      <c r="U168" s="2"/>
      <c r="V168" s="6">
        <f t="shared" si="42"/>
        <v>6.422376171358184E-4</v>
      </c>
      <c r="W168" s="2"/>
      <c r="X168" s="7">
        <f t="shared" si="43"/>
        <v>-1528.97</v>
      </c>
      <c r="Y168" s="2"/>
      <c r="Z168" s="6">
        <f t="shared" si="44"/>
        <v>-0.77929153924566774</v>
      </c>
    </row>
    <row r="169" spans="1:26" s="28" customFormat="1" outlineLevel="1" collapsed="1" x14ac:dyDescent="0.25">
      <c r="A169" s="27"/>
      <c r="B169" s="14" t="str">
        <f>CONCATENATE("     ","Advertising/Promo                                 ")</f>
        <v xml:space="preserve">     Advertising/Promo                                 </v>
      </c>
      <c r="C169" s="14"/>
      <c r="D169" s="1">
        <f>SUM(OSRRefD22_2x_0)</f>
        <v>9411.3700000000008</v>
      </c>
      <c r="E169" s="1"/>
      <c r="F169" s="5">
        <f t="shared" ref="F169:F177" si="45">IF(D$12=0,0,D169/D$12)</f>
        <v>5.8928271071862727E-3</v>
      </c>
      <c r="G169" s="1"/>
      <c r="H169" s="1">
        <f>SUM(OSRRefH22_2x_0)</f>
        <v>6658.2</v>
      </c>
      <c r="I169" s="1"/>
      <c r="J169" s="5">
        <f t="shared" ref="J169:J177" si="46">IF(H$12=0,0,H169/H$12)</f>
        <v>2.4632578557391045E-3</v>
      </c>
      <c r="K169" s="1"/>
      <c r="L169" s="1">
        <f t="shared" ref="L169:L177" si="47">+D169-H169</f>
        <v>2753.170000000001</v>
      </c>
      <c r="M169" s="1"/>
      <c r="N169" s="5">
        <f t="shared" ref="N169:N177" si="48">IF(H169=0,0,L169/H169)</f>
        <v>0.4135006458201918</v>
      </c>
      <c r="O169" s="14"/>
      <c r="P169" s="1">
        <f>SUM(OSRRefP22_2x_0)</f>
        <v>12002.2</v>
      </c>
      <c r="Q169" s="1"/>
      <c r="R169" s="5">
        <f t="shared" ref="R169:R177" si="49">IF(P$12=0,0,P169/P$12)</f>
        <v>6.5774260405920704E-3</v>
      </c>
      <c r="S169" s="1"/>
      <c r="T169" s="1">
        <f>SUM(OSRRefT22_2x_0)</f>
        <v>7190.5</v>
      </c>
      <c r="U169" s="1"/>
      <c r="V169" s="5">
        <f t="shared" ref="V169:V177" si="50">IF(T$12=0,0,T169/T$12)</f>
        <v>2.3537255790087169E-3</v>
      </c>
      <c r="W169" s="1"/>
      <c r="X169" s="1">
        <f t="shared" ref="X169:X177" si="51">+P169-T169</f>
        <v>4811.7000000000007</v>
      </c>
      <c r="Y169" s="1"/>
      <c r="Z169" s="5">
        <f t="shared" ref="Z169:Z177" si="52">IF(T169=0,0,X169/T169)</f>
        <v>0.6691746053821015</v>
      </c>
    </row>
    <row r="170" spans="1:26" s="24" customFormat="1" hidden="1" outlineLevel="2" x14ac:dyDescent="0.25">
      <c r="A170" s="29"/>
      <c r="B170" s="11" t="str">
        <f>CONCATENATE("          ", "6362", " - ", "ADVERTISING EXPENSE")</f>
        <v xml:space="preserve">          6362 - ADVERTISING EXPENSE</v>
      </c>
      <c r="C170" s="11"/>
      <c r="D170" s="7">
        <v>9411.3700000000008</v>
      </c>
      <c r="E170" s="2"/>
      <c r="F170" s="6">
        <f t="shared" si="45"/>
        <v>5.8928271071862727E-3</v>
      </c>
      <c r="G170" s="2"/>
      <c r="H170" s="7">
        <v>6658.2</v>
      </c>
      <c r="I170" s="2"/>
      <c r="J170" s="6">
        <f t="shared" si="46"/>
        <v>2.4632578557391045E-3</v>
      </c>
      <c r="K170" s="2"/>
      <c r="L170" s="7">
        <f t="shared" si="47"/>
        <v>2753.170000000001</v>
      </c>
      <c r="M170" s="2"/>
      <c r="N170" s="6">
        <f t="shared" si="48"/>
        <v>0.4135006458201918</v>
      </c>
      <c r="O170" s="11"/>
      <c r="P170" s="7">
        <v>12002.2</v>
      </c>
      <c r="Q170" s="2"/>
      <c r="R170" s="6">
        <f t="shared" si="49"/>
        <v>6.5774260405920704E-3</v>
      </c>
      <c r="S170" s="2"/>
      <c r="T170" s="7">
        <v>7190.5</v>
      </c>
      <c r="U170" s="2"/>
      <c r="V170" s="6">
        <f t="shared" si="50"/>
        <v>2.3537255790087169E-3</v>
      </c>
      <c r="W170" s="2"/>
      <c r="X170" s="7">
        <f t="shared" si="51"/>
        <v>4811.7000000000007</v>
      </c>
      <c r="Y170" s="2"/>
      <c r="Z170" s="6">
        <f t="shared" si="52"/>
        <v>0.6691746053821015</v>
      </c>
    </row>
    <row r="171" spans="1:26" s="28" customFormat="1" outlineLevel="1" collapsed="1" x14ac:dyDescent="0.25">
      <c r="A171" s="27"/>
      <c r="B171" s="14" t="str">
        <f>CONCATENATE("     ","Bad Debts/Over/Short                              ")</f>
        <v xml:space="preserve">     Bad Debts/Over/Short                              </v>
      </c>
      <c r="C171" s="14"/>
      <c r="D171" s="1">
        <f>SUM(OSRRefD22_3x_0)</f>
        <v>66.81</v>
      </c>
      <c r="E171" s="1"/>
      <c r="F171" s="5">
        <f t="shared" si="45"/>
        <v>4.1832355866480105E-5</v>
      </c>
      <c r="G171" s="1"/>
      <c r="H171" s="1">
        <f>SUM(OSRRefH22_3x_0)</f>
        <v>-63.63</v>
      </c>
      <c r="I171" s="1"/>
      <c r="J171" s="5">
        <f t="shared" si="46"/>
        <v>-2.3540460989558624E-5</v>
      </c>
      <c r="K171" s="1"/>
      <c r="L171" s="1">
        <f t="shared" si="47"/>
        <v>130.44</v>
      </c>
      <c r="M171" s="1"/>
      <c r="N171" s="5">
        <f t="shared" si="48"/>
        <v>-2.0499764262140499</v>
      </c>
      <c r="O171" s="14"/>
      <c r="P171" s="1">
        <f>SUM(OSRRefP22_3x_0)</f>
        <v>71.790000000000006</v>
      </c>
      <c r="Q171" s="1"/>
      <c r="R171" s="5">
        <f t="shared" si="49"/>
        <v>3.9342238544108976E-5</v>
      </c>
      <c r="S171" s="1"/>
      <c r="T171" s="1">
        <f>SUM(OSRRefT22_3x_0)</f>
        <v>-82.33</v>
      </c>
      <c r="U171" s="1"/>
      <c r="V171" s="5">
        <f t="shared" si="50"/>
        <v>-2.6949756890311893E-5</v>
      </c>
      <c r="W171" s="1"/>
      <c r="X171" s="1">
        <f t="shared" si="51"/>
        <v>154.12</v>
      </c>
      <c r="Y171" s="1"/>
      <c r="Z171" s="5">
        <f t="shared" si="52"/>
        <v>-1.8719786226163004</v>
      </c>
    </row>
    <row r="172" spans="1:26" s="24" customFormat="1" hidden="1" outlineLevel="2" x14ac:dyDescent="0.25">
      <c r="A172" s="29"/>
      <c r="B172" s="11" t="str">
        <f>CONCATENATE("          ", "6272", " - ", "CASH (OVER/SHORT)")</f>
        <v xml:space="preserve">          6272 - CASH (OVER/SHORT)</v>
      </c>
      <c r="C172" s="11"/>
      <c r="D172" s="7">
        <v>66.81</v>
      </c>
      <c r="E172" s="2"/>
      <c r="F172" s="6">
        <f t="shared" si="45"/>
        <v>4.1832355866480105E-5</v>
      </c>
      <c r="G172" s="2"/>
      <c r="H172" s="7">
        <v>-63.63</v>
      </c>
      <c r="I172" s="2"/>
      <c r="J172" s="6">
        <f t="shared" si="46"/>
        <v>-2.3540460989558624E-5</v>
      </c>
      <c r="K172" s="2"/>
      <c r="L172" s="7">
        <f t="shared" si="47"/>
        <v>130.44</v>
      </c>
      <c r="M172" s="2"/>
      <c r="N172" s="6">
        <f t="shared" si="48"/>
        <v>-2.0499764262140499</v>
      </c>
      <c r="O172" s="11"/>
      <c r="P172" s="7">
        <v>71.790000000000006</v>
      </c>
      <c r="Q172" s="2"/>
      <c r="R172" s="6">
        <f t="shared" si="49"/>
        <v>3.9342238544108976E-5</v>
      </c>
      <c r="S172" s="2"/>
      <c r="T172" s="7">
        <v>-82.33</v>
      </c>
      <c r="U172" s="2"/>
      <c r="V172" s="6">
        <f t="shared" si="50"/>
        <v>-2.6949756890311893E-5</v>
      </c>
      <c r="W172" s="2"/>
      <c r="X172" s="7">
        <f t="shared" si="51"/>
        <v>154.12</v>
      </c>
      <c r="Y172" s="2"/>
      <c r="Z172" s="6">
        <f t="shared" si="52"/>
        <v>-1.8719786226163004</v>
      </c>
    </row>
    <row r="173" spans="1:26" s="28" customFormat="1" outlineLevel="1" collapsed="1" x14ac:dyDescent="0.25">
      <c r="A173" s="27"/>
      <c r="B173" s="14" t="str">
        <f>CONCATENATE("     ","Bank/card Fees                                    ")</f>
        <v xml:space="preserve">     Bank/card Fees                                    </v>
      </c>
      <c r="C173" s="14"/>
      <c r="D173" s="1">
        <f>SUM(OSRRefD22_4x_0)</f>
        <v>22080.34</v>
      </c>
      <c r="E173" s="1"/>
      <c r="F173" s="5">
        <f t="shared" si="45"/>
        <v>1.3825365073085995E-2</v>
      </c>
      <c r="G173" s="1"/>
      <c r="H173" s="1">
        <f>SUM(OSRRefH22_4x_0)</f>
        <v>33669.619999999995</v>
      </c>
      <c r="I173" s="1"/>
      <c r="J173" s="5">
        <f t="shared" si="46"/>
        <v>1.2456362975691698E-2</v>
      </c>
      <c r="K173" s="1"/>
      <c r="L173" s="1">
        <f t="shared" si="47"/>
        <v>-11589.279999999995</v>
      </c>
      <c r="M173" s="1"/>
      <c r="N173" s="5">
        <f t="shared" si="48"/>
        <v>-0.34420584491301048</v>
      </c>
      <c r="O173" s="14"/>
      <c r="P173" s="1">
        <f>SUM(OSRRefP22_4x_0)</f>
        <v>25197.550000000003</v>
      </c>
      <c r="Q173" s="1"/>
      <c r="R173" s="5">
        <f t="shared" si="49"/>
        <v>1.3808720195390907E-2</v>
      </c>
      <c r="S173" s="1"/>
      <c r="T173" s="1">
        <f>SUM(OSRRefT22_4x_0)</f>
        <v>39455.51</v>
      </c>
      <c r="U173" s="1"/>
      <c r="V173" s="5">
        <f t="shared" si="50"/>
        <v>1.291529700574845E-2</v>
      </c>
      <c r="W173" s="1"/>
      <c r="X173" s="1">
        <f t="shared" si="51"/>
        <v>-14257.96</v>
      </c>
      <c r="Y173" s="1"/>
      <c r="Z173" s="5">
        <f t="shared" si="52"/>
        <v>-0.36136803199350354</v>
      </c>
    </row>
    <row r="174" spans="1:26" s="24" customFormat="1" hidden="1" outlineLevel="2" x14ac:dyDescent="0.25">
      <c r="A174" s="29"/>
      <c r="B174" s="11" t="str">
        <f>CONCATENATE("          ", "6381", " - ", "BANK/CREDIT CARD FEES")</f>
        <v xml:space="preserve">          6381 - BANK/CREDIT CARD FEES</v>
      </c>
      <c r="C174" s="11"/>
      <c r="D174" s="7">
        <v>22080.34</v>
      </c>
      <c r="E174" s="2"/>
      <c r="F174" s="6">
        <f t="shared" si="45"/>
        <v>1.3825365073085995E-2</v>
      </c>
      <c r="G174" s="2"/>
      <c r="H174" s="7">
        <v>33669.619999999995</v>
      </c>
      <c r="I174" s="2"/>
      <c r="J174" s="6">
        <f t="shared" si="46"/>
        <v>1.2456362975691698E-2</v>
      </c>
      <c r="K174" s="2"/>
      <c r="L174" s="7">
        <f t="shared" si="47"/>
        <v>-11589.279999999995</v>
      </c>
      <c r="M174" s="2"/>
      <c r="N174" s="6">
        <f t="shared" si="48"/>
        <v>-0.34420584491301048</v>
      </c>
      <c r="O174" s="11"/>
      <c r="P174" s="7">
        <v>25197.550000000003</v>
      </c>
      <c r="Q174" s="2"/>
      <c r="R174" s="6">
        <f t="shared" si="49"/>
        <v>1.3808720195390907E-2</v>
      </c>
      <c r="S174" s="2"/>
      <c r="T174" s="7">
        <v>39455.51</v>
      </c>
      <c r="U174" s="2"/>
      <c r="V174" s="6">
        <f t="shared" si="50"/>
        <v>1.291529700574845E-2</v>
      </c>
      <c r="W174" s="2"/>
      <c r="X174" s="7">
        <f t="shared" si="51"/>
        <v>-14257.96</v>
      </c>
      <c r="Y174" s="2"/>
      <c r="Z174" s="6">
        <f t="shared" si="52"/>
        <v>-0.36136803199350354</v>
      </c>
    </row>
    <row r="175" spans="1:26" s="28" customFormat="1" outlineLevel="1" collapsed="1" x14ac:dyDescent="0.25">
      <c r="A175" s="27"/>
      <c r="B175" s="14" t="str">
        <f>CONCATENATE("     ","Depreciation                                      ")</f>
        <v xml:space="preserve">     Depreciation                                      </v>
      </c>
      <c r="C175" s="14"/>
      <c r="D175" s="1">
        <f>SUM(OSRRefD22_5x_0)</f>
        <v>31089.33</v>
      </c>
      <c r="E175" s="1"/>
      <c r="F175" s="5">
        <f t="shared" si="45"/>
        <v>1.9466246313582337E-2</v>
      </c>
      <c r="G175" s="1"/>
      <c r="H175" s="1">
        <f>SUM(OSRRefH22_5x_0)</f>
        <v>29607.43</v>
      </c>
      <c r="I175" s="1"/>
      <c r="J175" s="5">
        <f t="shared" si="46"/>
        <v>1.0953521152225172E-2</v>
      </c>
      <c r="K175" s="1"/>
      <c r="L175" s="1">
        <f t="shared" si="47"/>
        <v>1481.9000000000015</v>
      </c>
      <c r="M175" s="1"/>
      <c r="N175" s="5">
        <f t="shared" si="48"/>
        <v>5.0051625554801665E-2</v>
      </c>
      <c r="O175" s="14"/>
      <c r="P175" s="1">
        <f>SUM(OSRRefP22_5x_0)</f>
        <v>61436.19</v>
      </c>
      <c r="Q175" s="1"/>
      <c r="R175" s="5">
        <f t="shared" si="49"/>
        <v>3.3668160498972033E-2</v>
      </c>
      <c r="S175" s="1"/>
      <c r="T175" s="1">
        <f>SUM(OSRRefT22_5x_0)</f>
        <v>59214.86</v>
      </c>
      <c r="U175" s="1"/>
      <c r="V175" s="5">
        <f t="shared" si="50"/>
        <v>1.9383287760158557E-2</v>
      </c>
      <c r="W175" s="1"/>
      <c r="X175" s="1">
        <f t="shared" si="51"/>
        <v>2221.3300000000017</v>
      </c>
      <c r="Y175" s="1"/>
      <c r="Z175" s="5">
        <f t="shared" si="52"/>
        <v>3.7513049933749765E-2</v>
      </c>
    </row>
    <row r="176" spans="1:26" s="24" customFormat="1" hidden="1" outlineLevel="2" x14ac:dyDescent="0.25">
      <c r="A176" s="29"/>
      <c r="B176" s="11" t="str">
        <f>CONCATENATE("          ", "6321", " - ", "BUILDING DEPRECIATION")</f>
        <v xml:space="preserve">          6321 - BUILDING DEPRECIATION</v>
      </c>
      <c r="C176" s="11"/>
      <c r="D176" s="7">
        <v>16396.52</v>
      </c>
      <c r="E176" s="2"/>
      <c r="F176" s="6">
        <f t="shared" si="45"/>
        <v>1.0266502912915108E-2</v>
      </c>
      <c r="G176" s="2"/>
      <c r="H176" s="7">
        <v>16396.52</v>
      </c>
      <c r="I176" s="2"/>
      <c r="J176" s="6">
        <f t="shared" si="46"/>
        <v>6.0660323656218417E-3</v>
      </c>
      <c r="K176" s="2"/>
      <c r="L176" s="7">
        <f t="shared" si="47"/>
        <v>0</v>
      </c>
      <c r="M176" s="2"/>
      <c r="N176" s="6">
        <f t="shared" si="48"/>
        <v>0</v>
      </c>
      <c r="O176" s="11"/>
      <c r="P176" s="7">
        <v>32793.040000000001</v>
      </c>
      <c r="Q176" s="2"/>
      <c r="R176" s="6">
        <f t="shared" si="49"/>
        <v>1.7971188219341235E-2</v>
      </c>
      <c r="S176" s="2"/>
      <c r="T176" s="7">
        <v>32793.040000000001</v>
      </c>
      <c r="U176" s="2"/>
      <c r="V176" s="6">
        <f t="shared" si="50"/>
        <v>1.0734415834984495E-2</v>
      </c>
      <c r="W176" s="2"/>
      <c r="X176" s="7">
        <f t="shared" si="51"/>
        <v>0</v>
      </c>
      <c r="Y176" s="2"/>
      <c r="Z176" s="6">
        <f t="shared" si="52"/>
        <v>0</v>
      </c>
    </row>
    <row r="177" spans="1:26" s="24" customFormat="1" hidden="1" outlineLevel="2" x14ac:dyDescent="0.25">
      <c r="A177" s="29"/>
      <c r="B177" s="11" t="str">
        <f>CONCATENATE("          ", "6322", " - ", "EQUIPMENT DEPRECIATION EXPENSE")</f>
        <v xml:space="preserve">          6322 - EQUIPMENT DEPRECIATION EXPENSE</v>
      </c>
      <c r="C177" s="11"/>
      <c r="D177" s="7">
        <v>14692.81</v>
      </c>
      <c r="E177" s="2"/>
      <c r="F177" s="6">
        <f t="shared" si="45"/>
        <v>9.1997434006672284E-3</v>
      </c>
      <c r="G177" s="2"/>
      <c r="H177" s="7">
        <v>13210.91</v>
      </c>
      <c r="I177" s="2"/>
      <c r="J177" s="6">
        <f t="shared" si="46"/>
        <v>4.8874887866033308E-3</v>
      </c>
      <c r="K177" s="2"/>
      <c r="L177" s="7">
        <f t="shared" si="47"/>
        <v>1481.8999999999996</v>
      </c>
      <c r="M177" s="2"/>
      <c r="N177" s="6">
        <f t="shared" si="48"/>
        <v>0.11217243929449218</v>
      </c>
      <c r="O177" s="11"/>
      <c r="P177" s="7">
        <v>28643.15</v>
      </c>
      <c r="Q177" s="2"/>
      <c r="R177" s="6">
        <f t="shared" si="49"/>
        <v>1.5696972279630798E-2</v>
      </c>
      <c r="S177" s="2"/>
      <c r="T177" s="7">
        <v>26421.82</v>
      </c>
      <c r="U177" s="2"/>
      <c r="V177" s="6">
        <f t="shared" si="50"/>
        <v>8.648871925174063E-3</v>
      </c>
      <c r="W177" s="2"/>
      <c r="X177" s="7">
        <f t="shared" si="51"/>
        <v>2221.3300000000017</v>
      </c>
      <c r="Y177" s="2"/>
      <c r="Z177" s="6">
        <f t="shared" si="52"/>
        <v>8.4071801261230372E-2</v>
      </c>
    </row>
    <row r="178" spans="1:26" s="28" customFormat="1" outlineLevel="1" collapsed="1" x14ac:dyDescent="0.25">
      <c r="A178" s="27"/>
      <c r="B178" s="14" t="str">
        <f>CONCATENATE("     ","Discounts and Markdowns                           ")</f>
        <v xml:space="preserve">     Discounts and Markdowns                           </v>
      </c>
      <c r="C178" s="14"/>
      <c r="D178" s="1">
        <f>SUM(OSRRefD22_6x_0)</f>
        <v>0</v>
      </c>
      <c r="E178" s="1"/>
      <c r="F178" s="5">
        <f t="shared" ref="F178:F180" si="53">IF(D$12=0,0,D178/D$12)</f>
        <v>0</v>
      </c>
      <c r="G178" s="1"/>
      <c r="H178" s="1">
        <f>SUM(OSRRefH22_6x_0)</f>
        <v>34594.36</v>
      </c>
      <c r="I178" s="1"/>
      <c r="J178" s="5">
        <f t="shared" ref="J178:J180" si="54">IF(H$12=0,0,H178/H$12)</f>
        <v>1.2798478422736874E-2</v>
      </c>
      <c r="K178" s="1"/>
      <c r="L178" s="1">
        <f t="shared" ref="L178:L180" si="55">+D178-H178</f>
        <v>-34594.36</v>
      </c>
      <c r="M178" s="1"/>
      <c r="N178" s="5">
        <f t="shared" ref="N178:N180" si="56">IF(H178=0,0,L178/H178)</f>
        <v>-1</v>
      </c>
      <c r="O178" s="14"/>
      <c r="P178" s="1">
        <f>SUM(OSRRefP22_6x_0)</f>
        <v>0</v>
      </c>
      <c r="Q178" s="1"/>
      <c r="R178" s="5">
        <f t="shared" ref="R178:R180" si="57">IF(P$12=0,0,P178/P$12)</f>
        <v>0</v>
      </c>
      <c r="S178" s="1"/>
      <c r="T178" s="1">
        <f>SUM(OSRRefT22_6x_0)</f>
        <v>59083.41</v>
      </c>
      <c r="U178" s="1"/>
      <c r="V178" s="5">
        <f t="shared" ref="V178:V180" si="58">IF(T$12=0,0,T178/T$12)</f>
        <v>1.9340259149163399E-2</v>
      </c>
      <c r="W178" s="1"/>
      <c r="X178" s="1">
        <f t="shared" ref="X178:X180" si="59">+P178-T178</f>
        <v>-59083.41</v>
      </c>
      <c r="Y178" s="1"/>
      <c r="Z178" s="5">
        <f t="shared" ref="Z178:Z180" si="60">IF(T178=0,0,X178/T178)</f>
        <v>-1</v>
      </c>
    </row>
    <row r="179" spans="1:26" s="24" customFormat="1" hidden="1" outlineLevel="2" x14ac:dyDescent="0.25">
      <c r="A179" s="29"/>
      <c r="B179" s="11" t="str">
        <f>CONCATENATE("          ", "6382", " - ", "DISCOUNTS/MARK DOWNS")</f>
        <v xml:space="preserve">          6382 - DISCOUNTS/MARK DOWNS</v>
      </c>
      <c r="C179" s="11"/>
      <c r="D179" s="7"/>
      <c r="E179" s="2"/>
      <c r="F179" s="6">
        <f t="shared" si="53"/>
        <v>0</v>
      </c>
      <c r="G179" s="2"/>
      <c r="H179" s="7">
        <v>35400.21</v>
      </c>
      <c r="I179" s="2"/>
      <c r="J179" s="6">
        <f t="shared" si="54"/>
        <v>1.3096609500662944E-2</v>
      </c>
      <c r="K179" s="2"/>
      <c r="L179" s="7">
        <f t="shared" si="55"/>
        <v>-35400.21</v>
      </c>
      <c r="M179" s="2"/>
      <c r="N179" s="6">
        <f t="shared" si="56"/>
        <v>-1</v>
      </c>
      <c r="O179" s="11"/>
      <c r="P179" s="7"/>
      <c r="Q179" s="2"/>
      <c r="R179" s="6">
        <f t="shared" si="57"/>
        <v>0</v>
      </c>
      <c r="S179" s="2"/>
      <c r="T179" s="7">
        <v>60332.97</v>
      </c>
      <c r="U179" s="2"/>
      <c r="V179" s="6">
        <f t="shared" si="58"/>
        <v>1.9749287914131917E-2</v>
      </c>
      <c r="W179" s="2"/>
      <c r="X179" s="7">
        <f t="shared" si="59"/>
        <v>-60332.97</v>
      </c>
      <c r="Y179" s="2"/>
      <c r="Z179" s="6">
        <f t="shared" si="60"/>
        <v>-1</v>
      </c>
    </row>
    <row r="180" spans="1:26" s="24" customFormat="1" hidden="1" outlineLevel="2" x14ac:dyDescent="0.25">
      <c r="A180" s="29"/>
      <c r="B180" s="11" t="str">
        <f>CONCATENATE("          ", "9175", " - ", "EARNED DISCOUNTS")</f>
        <v xml:space="preserve">          9175 - EARNED DISCOUNTS</v>
      </c>
      <c r="C180" s="11"/>
      <c r="D180" s="7"/>
      <c r="E180" s="2"/>
      <c r="F180" s="6">
        <f t="shared" si="53"/>
        <v>0</v>
      </c>
      <c r="G180" s="2"/>
      <c r="H180" s="7">
        <v>-805.85</v>
      </c>
      <c r="I180" s="2"/>
      <c r="J180" s="6">
        <f t="shared" si="54"/>
        <v>-2.9813107792606971E-4</v>
      </c>
      <c r="K180" s="2"/>
      <c r="L180" s="7">
        <f t="shared" si="55"/>
        <v>805.85</v>
      </c>
      <c r="M180" s="2"/>
      <c r="N180" s="6">
        <f t="shared" si="56"/>
        <v>-1</v>
      </c>
      <c r="O180" s="11"/>
      <c r="P180" s="7"/>
      <c r="Q180" s="2"/>
      <c r="R180" s="6">
        <f t="shared" si="57"/>
        <v>0</v>
      </c>
      <c r="S180" s="2"/>
      <c r="T180" s="7">
        <v>-1249.56</v>
      </c>
      <c r="U180" s="2"/>
      <c r="V180" s="6">
        <f t="shared" si="58"/>
        <v>-4.0902876496851846E-4</v>
      </c>
      <c r="W180" s="2"/>
      <c r="X180" s="7">
        <f t="shared" si="59"/>
        <v>1249.56</v>
      </c>
      <c r="Y180" s="2"/>
      <c r="Z180" s="6">
        <f t="shared" si="60"/>
        <v>-1</v>
      </c>
    </row>
    <row r="181" spans="1:26" s="28" customFormat="1" outlineLevel="1" collapsed="1" x14ac:dyDescent="0.25">
      <c r="A181" s="27"/>
      <c r="B181" s="14" t="str">
        <f>CONCATENATE("     ","Donations                                         ")</f>
        <v xml:space="preserve">     Donations                                         </v>
      </c>
      <c r="C181" s="14"/>
      <c r="D181" s="1">
        <f>SUM(OSRRefD22_7x_0)</f>
        <v>0</v>
      </c>
      <c r="E181" s="1"/>
      <c r="F181" s="5">
        <f t="shared" ref="F181:F189" si="61">IF(D$12=0,0,D181/D$12)</f>
        <v>0</v>
      </c>
      <c r="G181" s="1"/>
      <c r="H181" s="1">
        <f>SUM(OSRRefH22_7x_0)</f>
        <v>2691.56</v>
      </c>
      <c r="I181" s="1"/>
      <c r="J181" s="5">
        <f t="shared" ref="J181:J189" si="62">IF(H$12=0,0,H181/H$12)</f>
        <v>9.9576556940211228E-4</v>
      </c>
      <c r="K181" s="1"/>
      <c r="L181" s="1">
        <f t="shared" ref="L181:L189" si="63">+D181-H181</f>
        <v>-2691.56</v>
      </c>
      <c r="M181" s="1"/>
      <c r="N181" s="5">
        <f t="shared" ref="N181:N189" si="64">IF(H181=0,0,L181/H181)</f>
        <v>-1</v>
      </c>
      <c r="O181" s="14"/>
      <c r="P181" s="1">
        <f>SUM(OSRRefP22_7x_0)</f>
        <v>0</v>
      </c>
      <c r="Q181" s="1"/>
      <c r="R181" s="5">
        <f t="shared" ref="R181:R189" si="65">IF(P$12=0,0,P181/P$12)</f>
        <v>0</v>
      </c>
      <c r="S181" s="1"/>
      <c r="T181" s="1">
        <f>SUM(OSRRefT22_7x_0)</f>
        <v>3616.98</v>
      </c>
      <c r="U181" s="1"/>
      <c r="V181" s="5">
        <f t="shared" ref="V181:V189" si="66">IF(T$12=0,0,T181/T$12)</f>
        <v>1.1839758493516375E-3</v>
      </c>
      <c r="W181" s="1"/>
      <c r="X181" s="1">
        <f t="shared" ref="X181:X189" si="67">+P181-T181</f>
        <v>-3616.98</v>
      </c>
      <c r="Y181" s="1"/>
      <c r="Z181" s="5">
        <f t="shared" ref="Z181:Z189" si="68">IF(T181=0,0,X181/T181)</f>
        <v>-1</v>
      </c>
    </row>
    <row r="182" spans="1:26" s="24" customFormat="1" hidden="1" outlineLevel="2" x14ac:dyDescent="0.25">
      <c r="A182" s="29"/>
      <c r="B182" s="11" t="str">
        <f>CONCATENATE("          ", "6399", " - ", "DONATION-ON CAMPUS")</f>
        <v xml:space="preserve">          6399 - DONATION-ON CAMPUS</v>
      </c>
      <c r="C182" s="11"/>
      <c r="D182" s="7"/>
      <c r="E182" s="2"/>
      <c r="F182" s="6">
        <f t="shared" si="61"/>
        <v>0</v>
      </c>
      <c r="G182" s="2"/>
      <c r="H182" s="7">
        <v>2691.56</v>
      </c>
      <c r="I182" s="2"/>
      <c r="J182" s="6">
        <f t="shared" si="62"/>
        <v>9.9576556940211228E-4</v>
      </c>
      <c r="K182" s="2"/>
      <c r="L182" s="7">
        <f t="shared" si="63"/>
        <v>-2691.56</v>
      </c>
      <c r="M182" s="2"/>
      <c r="N182" s="6">
        <f t="shared" si="64"/>
        <v>-1</v>
      </c>
      <c r="O182" s="11"/>
      <c r="P182" s="7"/>
      <c r="Q182" s="2"/>
      <c r="R182" s="6">
        <f t="shared" si="65"/>
        <v>0</v>
      </c>
      <c r="S182" s="2"/>
      <c r="T182" s="7">
        <v>3616.98</v>
      </c>
      <c r="U182" s="2"/>
      <c r="V182" s="6">
        <f t="shared" si="66"/>
        <v>1.1839758493516375E-3</v>
      </c>
      <c r="W182" s="2"/>
      <c r="X182" s="7">
        <f t="shared" si="67"/>
        <v>-3616.98</v>
      </c>
      <c r="Y182" s="2"/>
      <c r="Z182" s="6">
        <f t="shared" si="68"/>
        <v>-1</v>
      </c>
    </row>
    <row r="183" spans="1:26" s="28" customFormat="1" outlineLevel="1" collapsed="1" x14ac:dyDescent="0.25">
      <c r="A183" s="27"/>
      <c r="B183" s="14" t="str">
        <f>CONCATENATE("     ","Employees' Appreciation                           ")</f>
        <v xml:space="preserve">     Employees' Appreciation                           </v>
      </c>
      <c r="C183" s="14"/>
      <c r="D183" s="1">
        <f>SUM(OSRRefD22_8x_0)</f>
        <v>0</v>
      </c>
      <c r="E183" s="1"/>
      <c r="F183" s="5">
        <f t="shared" si="61"/>
        <v>0</v>
      </c>
      <c r="G183" s="1"/>
      <c r="H183" s="1">
        <f>SUM(OSRRefH22_8x_0)</f>
        <v>57.33</v>
      </c>
      <c r="I183" s="1"/>
      <c r="J183" s="5">
        <f t="shared" si="62"/>
        <v>2.1209722277721136E-5</v>
      </c>
      <c r="K183" s="1"/>
      <c r="L183" s="1">
        <f t="shared" si="63"/>
        <v>-57.33</v>
      </c>
      <c r="M183" s="1"/>
      <c r="N183" s="5">
        <f t="shared" si="64"/>
        <v>-1</v>
      </c>
      <c r="O183" s="14"/>
      <c r="P183" s="1">
        <f>SUM(OSRRefP22_8x_0)</f>
        <v>107.7</v>
      </c>
      <c r="Q183" s="1"/>
      <c r="R183" s="5">
        <f t="shared" si="65"/>
        <v>5.9021578091663694E-5</v>
      </c>
      <c r="S183" s="1"/>
      <c r="T183" s="1">
        <f>SUM(OSRRefT22_8x_0)</f>
        <v>450.87</v>
      </c>
      <c r="U183" s="1"/>
      <c r="V183" s="5">
        <f t="shared" si="66"/>
        <v>1.4758699002957515E-4</v>
      </c>
      <c r="W183" s="1"/>
      <c r="X183" s="1">
        <f t="shared" si="67"/>
        <v>-343.17</v>
      </c>
      <c r="Y183" s="1"/>
      <c r="Z183" s="5">
        <f t="shared" si="68"/>
        <v>-0.76112848492913698</v>
      </c>
    </row>
    <row r="184" spans="1:26" s="24" customFormat="1" hidden="1" outlineLevel="2" x14ac:dyDescent="0.25">
      <c r="A184" s="29"/>
      <c r="B184" s="11" t="str">
        <f>CONCATENATE("          ", "6277", " - ", "EMPLOYEE APPRECIATION")</f>
        <v xml:space="preserve">          6277 - EMPLOYEE APPRECIATION</v>
      </c>
      <c r="C184" s="11"/>
      <c r="D184" s="7"/>
      <c r="E184" s="2"/>
      <c r="F184" s="6">
        <f t="shared" si="61"/>
        <v>0</v>
      </c>
      <c r="G184" s="2"/>
      <c r="H184" s="7">
        <v>57.33</v>
      </c>
      <c r="I184" s="2"/>
      <c r="J184" s="6">
        <f t="shared" si="62"/>
        <v>2.1209722277721136E-5</v>
      </c>
      <c r="K184" s="2"/>
      <c r="L184" s="7">
        <f t="shared" si="63"/>
        <v>-57.33</v>
      </c>
      <c r="M184" s="2"/>
      <c r="N184" s="6">
        <f t="shared" si="64"/>
        <v>-1</v>
      </c>
      <c r="O184" s="11"/>
      <c r="P184" s="7">
        <v>107.7</v>
      </c>
      <c r="Q184" s="2"/>
      <c r="R184" s="6">
        <f t="shared" si="65"/>
        <v>5.9021578091663694E-5</v>
      </c>
      <c r="S184" s="2"/>
      <c r="T184" s="7">
        <v>450.87</v>
      </c>
      <c r="U184" s="2"/>
      <c r="V184" s="6">
        <f t="shared" si="66"/>
        <v>1.4758699002957515E-4</v>
      </c>
      <c r="W184" s="2"/>
      <c r="X184" s="7">
        <f t="shared" si="67"/>
        <v>-343.17</v>
      </c>
      <c r="Y184" s="2"/>
      <c r="Z184" s="6">
        <f t="shared" si="68"/>
        <v>-0.76112848492913698</v>
      </c>
    </row>
    <row r="185" spans="1:26" s="28" customFormat="1" outlineLevel="1" collapsed="1" x14ac:dyDescent="0.25">
      <c r="A185" s="27"/>
      <c r="B185" s="14" t="str">
        <f>CONCATENATE("     ","Equipment Rental                                  ")</f>
        <v xml:space="preserve">     Equipment Rental                                  </v>
      </c>
      <c r="C185" s="14"/>
      <c r="D185" s="1">
        <f>SUM(OSRRefD22_9x_0)</f>
        <v>1388.16</v>
      </c>
      <c r="E185" s="1"/>
      <c r="F185" s="5">
        <f t="shared" si="61"/>
        <v>8.6918130698417941E-4</v>
      </c>
      <c r="G185" s="1"/>
      <c r="H185" s="1">
        <f>SUM(OSRRefH22_9x_0)</f>
        <v>1296.9000000000001</v>
      </c>
      <c r="I185" s="1"/>
      <c r="J185" s="5">
        <f t="shared" si="62"/>
        <v>4.797992119654028E-4</v>
      </c>
      <c r="K185" s="1"/>
      <c r="L185" s="1">
        <f t="shared" si="63"/>
        <v>91.259999999999991</v>
      </c>
      <c r="M185" s="1"/>
      <c r="N185" s="5">
        <f t="shared" si="64"/>
        <v>7.03678001387925E-2</v>
      </c>
      <c r="O185" s="14"/>
      <c r="P185" s="1">
        <f>SUM(OSRRefP22_9x_0)</f>
        <v>2776.32</v>
      </c>
      <c r="Q185" s="1"/>
      <c r="R185" s="5">
        <f t="shared" si="65"/>
        <v>1.521474351786887E-3</v>
      </c>
      <c r="S185" s="1"/>
      <c r="T185" s="1">
        <f>SUM(OSRRefT22_9x_0)</f>
        <v>2593.8000000000002</v>
      </c>
      <c r="U185" s="1"/>
      <c r="V185" s="5">
        <f t="shared" si="66"/>
        <v>8.4904991403001318E-4</v>
      </c>
      <c r="W185" s="1"/>
      <c r="X185" s="1">
        <f t="shared" si="67"/>
        <v>182.51999999999998</v>
      </c>
      <c r="Y185" s="1"/>
      <c r="Z185" s="5">
        <f t="shared" si="68"/>
        <v>7.03678001387925E-2</v>
      </c>
    </row>
    <row r="186" spans="1:26" s="24" customFormat="1" hidden="1" outlineLevel="2" x14ac:dyDescent="0.25">
      <c r="A186" s="29"/>
      <c r="B186" s="11" t="str">
        <f>CONCATENATE("          ", "6351", " - ", "EQUIPMENT RENTAL")</f>
        <v xml:space="preserve">          6351 - EQUIPMENT RENTAL</v>
      </c>
      <c r="C186" s="11"/>
      <c r="D186" s="7">
        <v>1388.16</v>
      </c>
      <c r="E186" s="2"/>
      <c r="F186" s="6">
        <f t="shared" si="61"/>
        <v>8.6918130698417941E-4</v>
      </c>
      <c r="G186" s="2"/>
      <c r="H186" s="7">
        <v>1296.9000000000001</v>
      </c>
      <c r="I186" s="2"/>
      <c r="J186" s="6">
        <f t="shared" si="62"/>
        <v>4.797992119654028E-4</v>
      </c>
      <c r="K186" s="2"/>
      <c r="L186" s="7">
        <f t="shared" si="63"/>
        <v>91.259999999999991</v>
      </c>
      <c r="M186" s="2"/>
      <c r="N186" s="6">
        <f t="shared" si="64"/>
        <v>7.03678001387925E-2</v>
      </c>
      <c r="O186" s="11"/>
      <c r="P186" s="7">
        <v>2776.32</v>
      </c>
      <c r="Q186" s="2"/>
      <c r="R186" s="6">
        <f t="shared" si="65"/>
        <v>1.521474351786887E-3</v>
      </c>
      <c r="S186" s="2"/>
      <c r="T186" s="7">
        <v>2593.8000000000002</v>
      </c>
      <c r="U186" s="2"/>
      <c r="V186" s="6">
        <f t="shared" si="66"/>
        <v>8.4904991403001318E-4</v>
      </c>
      <c r="W186" s="2"/>
      <c r="X186" s="7">
        <f t="shared" si="67"/>
        <v>182.51999999999998</v>
      </c>
      <c r="Y186" s="2"/>
      <c r="Z186" s="6">
        <f t="shared" si="68"/>
        <v>7.03678001387925E-2</v>
      </c>
    </row>
    <row r="187" spans="1:26" s="28" customFormat="1" outlineLevel="1" collapsed="1" x14ac:dyDescent="0.25">
      <c r="A187" s="27"/>
      <c r="B187" s="14" t="str">
        <f>CONCATENATE("     ","Freight out/Postage                               ")</f>
        <v xml:space="preserve">     Freight out/Postage                               </v>
      </c>
      <c r="C187" s="14"/>
      <c r="D187" s="1">
        <f>SUM(OSRRefD22_10x_0)</f>
        <v>-83740.51999999999</v>
      </c>
      <c r="E187" s="1"/>
      <c r="F187" s="5">
        <f t="shared" si="61"/>
        <v>-5.2433217079540399E-2</v>
      </c>
      <c r="G187" s="1"/>
      <c r="H187" s="1">
        <f>SUM(OSRRefH22_10x_0)</f>
        <v>-12904.009999999998</v>
      </c>
      <c r="I187" s="1"/>
      <c r="J187" s="5">
        <f t="shared" si="62"/>
        <v>-4.7739485150695322E-3</v>
      </c>
      <c r="K187" s="1"/>
      <c r="L187" s="1">
        <f t="shared" si="63"/>
        <v>-70836.509999999995</v>
      </c>
      <c r="M187" s="1"/>
      <c r="N187" s="5">
        <f t="shared" si="64"/>
        <v>5.4894959008866238</v>
      </c>
      <c r="O187" s="14"/>
      <c r="P187" s="1">
        <f>SUM(OSRRefP22_10x_0)</f>
        <v>-74811.87</v>
      </c>
      <c r="Q187" s="1"/>
      <c r="R187" s="5">
        <f t="shared" si="65"/>
        <v>-4.0998278805834648E-2</v>
      </c>
      <c r="S187" s="1"/>
      <c r="T187" s="1">
        <f>SUM(OSRRefT22_10x_0)</f>
        <v>-15135.839999999998</v>
      </c>
      <c r="U187" s="1"/>
      <c r="V187" s="5">
        <f t="shared" si="66"/>
        <v>-4.9545391513501555E-3</v>
      </c>
      <c r="W187" s="1"/>
      <c r="X187" s="1">
        <f t="shared" si="67"/>
        <v>-59676.03</v>
      </c>
      <c r="Y187" s="1"/>
      <c r="Z187" s="5">
        <f t="shared" si="68"/>
        <v>3.9426969365426698</v>
      </c>
    </row>
    <row r="188" spans="1:26" s="24" customFormat="1" hidden="1" outlineLevel="2" x14ac:dyDescent="0.25">
      <c r="A188" s="29"/>
      <c r="B188" s="11" t="str">
        <f>CONCATENATE("          ", "6305", " - ", "FREIGHT OUT")</f>
        <v xml:space="preserve">          6305 - FREIGHT OUT</v>
      </c>
      <c r="C188" s="11"/>
      <c r="D188" s="7">
        <v>8240.52</v>
      </c>
      <c r="E188" s="2"/>
      <c r="F188" s="6">
        <f t="shared" si="61"/>
        <v>5.1597120964652987E-3</v>
      </c>
      <c r="G188" s="2"/>
      <c r="H188" s="7">
        <v>2860.04</v>
      </c>
      <c r="I188" s="2"/>
      <c r="J188" s="6">
        <f t="shared" si="62"/>
        <v>1.0580961818101092E-3</v>
      </c>
      <c r="K188" s="2"/>
      <c r="L188" s="7">
        <f t="shared" si="63"/>
        <v>5380.4800000000005</v>
      </c>
      <c r="M188" s="2"/>
      <c r="N188" s="6">
        <f t="shared" si="64"/>
        <v>1.8812604019524204</v>
      </c>
      <c r="O188" s="11"/>
      <c r="P188" s="7">
        <v>20329.609999999997</v>
      </c>
      <c r="Q188" s="2"/>
      <c r="R188" s="6">
        <f t="shared" si="65"/>
        <v>1.1140999667484372E-2</v>
      </c>
      <c r="S188" s="2"/>
      <c r="T188" s="7">
        <v>4277.76</v>
      </c>
      <c r="U188" s="2"/>
      <c r="V188" s="6">
        <f t="shared" si="66"/>
        <v>1.4002744082971044E-3</v>
      </c>
      <c r="W188" s="2"/>
      <c r="X188" s="7">
        <f t="shared" si="67"/>
        <v>16051.849999999997</v>
      </c>
      <c r="Y188" s="2"/>
      <c r="Z188" s="6">
        <f t="shared" si="68"/>
        <v>3.7523961138539788</v>
      </c>
    </row>
    <row r="189" spans="1:26" s="24" customFormat="1" hidden="1" outlineLevel="2" x14ac:dyDescent="0.25">
      <c r="A189" s="29"/>
      <c r="B189" s="11" t="str">
        <f>CONCATENATE("          ", "6307", " - ", "POSTAGE")</f>
        <v xml:space="preserve">          6307 - POSTAGE</v>
      </c>
      <c r="C189" s="11"/>
      <c r="D189" s="7">
        <v>-91981.04</v>
      </c>
      <c r="E189" s="2"/>
      <c r="F189" s="6">
        <f t="shared" si="61"/>
        <v>-5.7592929176005697E-2</v>
      </c>
      <c r="G189" s="2"/>
      <c r="H189" s="7">
        <v>-15764.049999999997</v>
      </c>
      <c r="I189" s="2"/>
      <c r="J189" s="6">
        <f t="shared" si="62"/>
        <v>-5.8320446968796414E-3</v>
      </c>
      <c r="K189" s="2"/>
      <c r="L189" s="7">
        <f t="shared" si="63"/>
        <v>-76216.989999999991</v>
      </c>
      <c r="M189" s="2"/>
      <c r="N189" s="6">
        <f t="shared" si="64"/>
        <v>4.834860965297624</v>
      </c>
      <c r="O189" s="11"/>
      <c r="P189" s="7">
        <v>-95141.48</v>
      </c>
      <c r="Q189" s="2"/>
      <c r="R189" s="6">
        <f t="shared" si="65"/>
        <v>-5.213927847331902E-2</v>
      </c>
      <c r="S189" s="2"/>
      <c r="T189" s="7">
        <v>-19413.599999999999</v>
      </c>
      <c r="U189" s="2"/>
      <c r="V189" s="6">
        <f t="shared" si="66"/>
        <v>-6.3548135596472599E-3</v>
      </c>
      <c r="W189" s="2"/>
      <c r="X189" s="7">
        <f t="shared" si="67"/>
        <v>-75727.88</v>
      </c>
      <c r="Y189" s="2"/>
      <c r="Z189" s="6">
        <f t="shared" si="68"/>
        <v>3.9007644125767507</v>
      </c>
    </row>
    <row r="190" spans="1:26" s="28" customFormat="1" outlineLevel="1" collapsed="1" x14ac:dyDescent="0.25">
      <c r="A190" s="27"/>
      <c r="B190" s="14" t="str">
        <f>CONCATENATE("     ","General                                           ")</f>
        <v xml:space="preserve">     General                                           </v>
      </c>
      <c r="C190" s="14"/>
      <c r="D190" s="1">
        <f>SUM(OSRRefD22_11x_0)</f>
        <v>113.26</v>
      </c>
      <c r="E190" s="1"/>
      <c r="F190" s="5">
        <f t="shared" ref="F190:F204" si="69">IF(D$12=0,0,D190/D$12)</f>
        <v>7.0916518866001146E-5</v>
      </c>
      <c r="G190" s="1"/>
      <c r="H190" s="1">
        <f>SUM(OSRRefH22_11x_0)</f>
        <v>-15111.76</v>
      </c>
      <c r="I190" s="1"/>
      <c r="J190" s="5">
        <f t="shared" ref="J190:J204" si="70">IF(H$12=0,0,H190/H$12)</f>
        <v>-5.590724450158297E-3</v>
      </c>
      <c r="K190" s="1"/>
      <c r="L190" s="1">
        <f t="shared" ref="L190:L204" si="71">+D190-H190</f>
        <v>15225.02</v>
      </c>
      <c r="M190" s="1"/>
      <c r="N190" s="5">
        <f t="shared" ref="N190:N204" si="72">IF(H190=0,0,L190/H190)</f>
        <v>-1.0074948252222111</v>
      </c>
      <c r="O190" s="14"/>
      <c r="P190" s="1">
        <f>SUM(OSRRefP22_11x_0)</f>
        <v>-3206.83</v>
      </c>
      <c r="Q190" s="1"/>
      <c r="R190" s="5">
        <f t="shared" ref="R190:R204" si="73">IF(P$12=0,0,P190/P$12)</f>
        <v>-1.7574017388272039E-3</v>
      </c>
      <c r="S190" s="1"/>
      <c r="T190" s="1">
        <f>SUM(OSRRefT22_11x_0)</f>
        <v>-14335.58</v>
      </c>
      <c r="U190" s="1"/>
      <c r="V190" s="5">
        <f t="shared" ref="V190:V204" si="74">IF(T$12=0,0,T190/T$12)</f>
        <v>-4.6925834553822104E-3</v>
      </c>
      <c r="W190" s="1"/>
      <c r="X190" s="1">
        <f t="shared" ref="X190:X204" si="75">+P190-T190</f>
        <v>11128.75</v>
      </c>
      <c r="Y190" s="1"/>
      <c r="Z190" s="5">
        <f t="shared" ref="Z190:Z204" si="76">IF(T190=0,0,X190/T190)</f>
        <v>-0.77630273766391034</v>
      </c>
    </row>
    <row r="191" spans="1:26" s="24" customFormat="1" hidden="1" outlineLevel="2" x14ac:dyDescent="0.25">
      <c r="A191" s="29"/>
      <c r="B191" s="11" t="str">
        <f>CONCATENATE("          ", "6279", " - ", "GENERAL EXPENSE")</f>
        <v xml:space="preserve">          6279 - GENERAL EXPENSE</v>
      </c>
      <c r="C191" s="11"/>
      <c r="D191" s="7">
        <v>113.26</v>
      </c>
      <c r="E191" s="2"/>
      <c r="F191" s="6">
        <f t="shared" si="69"/>
        <v>7.0916518866001146E-5</v>
      </c>
      <c r="G191" s="2"/>
      <c r="H191" s="7">
        <v>-15111.76</v>
      </c>
      <c r="I191" s="2"/>
      <c r="J191" s="6">
        <f t="shared" si="70"/>
        <v>-5.590724450158297E-3</v>
      </c>
      <c r="K191" s="2"/>
      <c r="L191" s="7">
        <f t="shared" si="71"/>
        <v>15225.02</v>
      </c>
      <c r="M191" s="2"/>
      <c r="N191" s="6">
        <f t="shared" si="72"/>
        <v>-1.0074948252222111</v>
      </c>
      <c r="O191" s="11"/>
      <c r="P191" s="7">
        <v>-3206.83</v>
      </c>
      <c r="Q191" s="2"/>
      <c r="R191" s="6">
        <f t="shared" si="73"/>
        <v>-1.7574017388272039E-3</v>
      </c>
      <c r="S191" s="2"/>
      <c r="T191" s="7">
        <v>-14335.58</v>
      </c>
      <c r="U191" s="2"/>
      <c r="V191" s="6">
        <f t="shared" si="74"/>
        <v>-4.6925834553822104E-3</v>
      </c>
      <c r="W191" s="2"/>
      <c r="X191" s="7">
        <f t="shared" si="75"/>
        <v>11128.75</v>
      </c>
      <c r="Y191" s="2"/>
      <c r="Z191" s="6">
        <f t="shared" si="76"/>
        <v>-0.77630273766391034</v>
      </c>
    </row>
    <row r="192" spans="1:26" s="28" customFormat="1" outlineLevel="1" collapsed="1" x14ac:dyDescent="0.25">
      <c r="A192" s="27"/>
      <c r="B192" s="14" t="str">
        <f>CONCATENATE("     ","Insurance                                         ")</f>
        <v xml:space="preserve">     Insurance                                         </v>
      </c>
      <c r="C192" s="14"/>
      <c r="D192" s="1">
        <f>SUM(OSRRefD22_12x_0)</f>
        <v>4044.74</v>
      </c>
      <c r="E192" s="1"/>
      <c r="F192" s="5">
        <f t="shared" si="69"/>
        <v>2.5325700204667971E-3</v>
      </c>
      <c r="G192" s="1"/>
      <c r="H192" s="1">
        <f>SUM(OSRRefH22_12x_0)</f>
        <v>4044.74</v>
      </c>
      <c r="I192" s="1"/>
      <c r="J192" s="5">
        <f t="shared" si="70"/>
        <v>1.4963860471932633E-3</v>
      </c>
      <c r="K192" s="1"/>
      <c r="L192" s="1">
        <f t="shared" si="71"/>
        <v>0</v>
      </c>
      <c r="M192" s="1"/>
      <c r="N192" s="5">
        <f t="shared" si="72"/>
        <v>0</v>
      </c>
      <c r="O192" s="14"/>
      <c r="P192" s="1">
        <f>SUM(OSRRefP22_12x_0)</f>
        <v>8089.48</v>
      </c>
      <c r="Q192" s="1"/>
      <c r="R192" s="5">
        <f t="shared" si="73"/>
        <v>4.4331836169076285E-3</v>
      </c>
      <c r="S192" s="1"/>
      <c r="T192" s="1">
        <f>SUM(OSRRefT22_12x_0)</f>
        <v>8089.48</v>
      </c>
      <c r="U192" s="1"/>
      <c r="V192" s="5">
        <f t="shared" si="74"/>
        <v>2.6479961055391743E-3</v>
      </c>
      <c r="W192" s="1"/>
      <c r="X192" s="1">
        <f t="shared" si="75"/>
        <v>0</v>
      </c>
      <c r="Y192" s="1"/>
      <c r="Z192" s="5">
        <f t="shared" si="76"/>
        <v>0</v>
      </c>
    </row>
    <row r="193" spans="1:26" s="24" customFormat="1" hidden="1" outlineLevel="2" x14ac:dyDescent="0.25">
      <c r="A193" s="29"/>
      <c r="B193" s="11" t="str">
        <f>CONCATENATE("          ", "6314", " - ", "LIABILITY INSURANCE")</f>
        <v xml:space="preserve">          6314 - LIABILITY INSURANCE</v>
      </c>
      <c r="C193" s="11"/>
      <c r="D193" s="7">
        <v>4044.74</v>
      </c>
      <c r="E193" s="2"/>
      <c r="F193" s="6">
        <f t="shared" si="69"/>
        <v>2.5325700204667971E-3</v>
      </c>
      <c r="G193" s="2"/>
      <c r="H193" s="7">
        <v>4044.74</v>
      </c>
      <c r="I193" s="2"/>
      <c r="J193" s="6">
        <f t="shared" si="70"/>
        <v>1.4963860471932633E-3</v>
      </c>
      <c r="K193" s="2"/>
      <c r="L193" s="7">
        <f t="shared" si="71"/>
        <v>0</v>
      </c>
      <c r="M193" s="2"/>
      <c r="N193" s="6">
        <f t="shared" si="72"/>
        <v>0</v>
      </c>
      <c r="O193" s="11"/>
      <c r="P193" s="7">
        <v>8089.48</v>
      </c>
      <c r="Q193" s="2"/>
      <c r="R193" s="6">
        <f t="shared" si="73"/>
        <v>4.4331836169076285E-3</v>
      </c>
      <c r="S193" s="2"/>
      <c r="T193" s="7">
        <v>8089.48</v>
      </c>
      <c r="U193" s="2"/>
      <c r="V193" s="6">
        <f t="shared" si="74"/>
        <v>2.6479961055391743E-3</v>
      </c>
      <c r="W193" s="2"/>
      <c r="X193" s="7">
        <f t="shared" si="75"/>
        <v>0</v>
      </c>
      <c r="Y193" s="2"/>
      <c r="Z193" s="6">
        <f t="shared" si="76"/>
        <v>0</v>
      </c>
    </row>
    <row r="194" spans="1:26" s="28" customFormat="1" outlineLevel="1" collapsed="1" x14ac:dyDescent="0.25">
      <c r="A194" s="27"/>
      <c r="B194" s="14" t="str">
        <f>CONCATENATE("     ","Inventory Adjustment                              ")</f>
        <v xml:space="preserve">     Inventory Adjustment                              </v>
      </c>
      <c r="C194" s="14"/>
      <c r="D194" s="1">
        <f>SUM(OSRRefD22_13x_0)</f>
        <v>2100</v>
      </c>
      <c r="E194" s="1"/>
      <c r="F194" s="5">
        <f t="shared" si="69"/>
        <v>1.3148921915822215E-3</v>
      </c>
      <c r="G194" s="1"/>
      <c r="H194" s="1">
        <f>SUM(OSRRefH22_13x_0)</f>
        <v>4250</v>
      </c>
      <c r="I194" s="1"/>
      <c r="J194" s="5">
        <f t="shared" si="70"/>
        <v>1.5723237341760828E-3</v>
      </c>
      <c r="K194" s="1"/>
      <c r="L194" s="1">
        <f t="shared" si="71"/>
        <v>-2150</v>
      </c>
      <c r="M194" s="1"/>
      <c r="N194" s="5">
        <f t="shared" si="72"/>
        <v>-0.50588235294117645</v>
      </c>
      <c r="O194" s="14"/>
      <c r="P194" s="1">
        <f>SUM(OSRRefP22_13x_0)</f>
        <v>4200</v>
      </c>
      <c r="Q194" s="1"/>
      <c r="R194" s="5">
        <f t="shared" si="73"/>
        <v>2.3016771400648792E-3</v>
      </c>
      <c r="S194" s="1"/>
      <c r="T194" s="1">
        <f>SUM(OSRRefT22_13x_0)</f>
        <v>8400</v>
      </c>
      <c r="U194" s="1"/>
      <c r="V194" s="5">
        <f t="shared" si="74"/>
        <v>2.7496411742817914E-3</v>
      </c>
      <c r="W194" s="1"/>
      <c r="X194" s="1">
        <f t="shared" si="75"/>
        <v>-4200</v>
      </c>
      <c r="Y194" s="1"/>
      <c r="Z194" s="5">
        <f t="shared" si="76"/>
        <v>-0.5</v>
      </c>
    </row>
    <row r="195" spans="1:26" s="24" customFormat="1" hidden="1" outlineLevel="2" x14ac:dyDescent="0.25">
      <c r="A195" s="29"/>
      <c r="B195" s="11" t="str">
        <f>CONCATENATE("          ", "6408", " - ", "INVENTORY ADJUSTMENT")</f>
        <v xml:space="preserve">          6408 - INVENTORY ADJUSTMENT</v>
      </c>
      <c r="C195" s="11"/>
      <c r="D195" s="7">
        <v>2100</v>
      </c>
      <c r="E195" s="2"/>
      <c r="F195" s="6">
        <f t="shared" si="69"/>
        <v>1.3148921915822215E-3</v>
      </c>
      <c r="G195" s="2"/>
      <c r="H195" s="7">
        <v>4250</v>
      </c>
      <c r="I195" s="2"/>
      <c r="J195" s="6">
        <f t="shared" si="70"/>
        <v>1.5723237341760828E-3</v>
      </c>
      <c r="K195" s="2"/>
      <c r="L195" s="7">
        <f t="shared" si="71"/>
        <v>-2150</v>
      </c>
      <c r="M195" s="2"/>
      <c r="N195" s="6">
        <f t="shared" si="72"/>
        <v>-0.50588235294117645</v>
      </c>
      <c r="O195" s="11"/>
      <c r="P195" s="7">
        <v>4200</v>
      </c>
      <c r="Q195" s="2"/>
      <c r="R195" s="6">
        <f t="shared" si="73"/>
        <v>2.3016771400648792E-3</v>
      </c>
      <c r="S195" s="2"/>
      <c r="T195" s="7">
        <v>8400</v>
      </c>
      <c r="U195" s="2"/>
      <c r="V195" s="6">
        <f t="shared" si="74"/>
        <v>2.7496411742817914E-3</v>
      </c>
      <c r="W195" s="2"/>
      <c r="X195" s="7">
        <f t="shared" si="75"/>
        <v>-4200</v>
      </c>
      <c r="Y195" s="2"/>
      <c r="Z195" s="6">
        <f t="shared" si="76"/>
        <v>-0.5</v>
      </c>
    </row>
    <row r="196" spans="1:26" s="28" customFormat="1" outlineLevel="1" collapsed="1" x14ac:dyDescent="0.25">
      <c r="A196" s="27"/>
      <c r="B196" s="14" t="str">
        <f>CONCATENATE("     ","Professional Services                             ")</f>
        <v xml:space="preserve">     Professional Services                             </v>
      </c>
      <c r="C196" s="14"/>
      <c r="D196" s="1">
        <f>SUM(OSRRefD22_14x_0)</f>
        <v>0</v>
      </c>
      <c r="E196" s="1"/>
      <c r="F196" s="5">
        <f t="shared" si="69"/>
        <v>0</v>
      </c>
      <c r="G196" s="1"/>
      <c r="H196" s="1">
        <f>SUM(OSRRefH22_14x_0)</f>
        <v>0</v>
      </c>
      <c r="I196" s="1"/>
      <c r="J196" s="5">
        <f t="shared" si="70"/>
        <v>0</v>
      </c>
      <c r="K196" s="1"/>
      <c r="L196" s="1">
        <f t="shared" si="71"/>
        <v>0</v>
      </c>
      <c r="M196" s="1"/>
      <c r="N196" s="5">
        <f t="shared" si="72"/>
        <v>0</v>
      </c>
      <c r="O196" s="14"/>
      <c r="P196" s="1">
        <f>SUM(OSRRefP22_14x_0)</f>
        <v>0</v>
      </c>
      <c r="Q196" s="1"/>
      <c r="R196" s="5">
        <f t="shared" si="73"/>
        <v>0</v>
      </c>
      <c r="S196" s="1"/>
      <c r="T196" s="1">
        <f>SUM(OSRRefT22_14x_0)</f>
        <v>6158.41</v>
      </c>
      <c r="U196" s="1"/>
      <c r="V196" s="5">
        <f t="shared" si="74"/>
        <v>2.0158830600129438E-3</v>
      </c>
      <c r="W196" s="1"/>
      <c r="X196" s="1">
        <f t="shared" si="75"/>
        <v>-6158.41</v>
      </c>
      <c r="Y196" s="1"/>
      <c r="Z196" s="5">
        <f t="shared" si="76"/>
        <v>-1</v>
      </c>
    </row>
    <row r="197" spans="1:26" s="24" customFormat="1" hidden="1" outlineLevel="2" x14ac:dyDescent="0.25">
      <c r="A197" s="29"/>
      <c r="B197" s="11" t="str">
        <f>CONCATENATE("          ", "6336", " - ", "PROFESSIONAL SERVICES")</f>
        <v xml:space="preserve">          6336 - PROFESSIONAL SERVICES</v>
      </c>
      <c r="C197" s="11"/>
      <c r="D197" s="7"/>
      <c r="E197" s="2"/>
      <c r="F197" s="6">
        <f t="shared" si="69"/>
        <v>0</v>
      </c>
      <c r="G197" s="2"/>
      <c r="H197" s="7"/>
      <c r="I197" s="2"/>
      <c r="J197" s="6">
        <f t="shared" si="70"/>
        <v>0</v>
      </c>
      <c r="K197" s="2"/>
      <c r="L197" s="7">
        <f t="shared" si="71"/>
        <v>0</v>
      </c>
      <c r="M197" s="2"/>
      <c r="N197" s="6">
        <f t="shared" si="72"/>
        <v>0</v>
      </c>
      <c r="O197" s="11"/>
      <c r="P197" s="7"/>
      <c r="Q197" s="2"/>
      <c r="R197" s="6">
        <f t="shared" si="73"/>
        <v>0</v>
      </c>
      <c r="S197" s="2"/>
      <c r="T197" s="7">
        <v>6158.41</v>
      </c>
      <c r="U197" s="2"/>
      <c r="V197" s="6">
        <f t="shared" si="74"/>
        <v>2.0158830600129438E-3</v>
      </c>
      <c r="W197" s="2"/>
      <c r="X197" s="7">
        <f t="shared" si="75"/>
        <v>-6158.41</v>
      </c>
      <c r="Y197" s="2"/>
      <c r="Z197" s="6">
        <f t="shared" si="76"/>
        <v>-1</v>
      </c>
    </row>
    <row r="198" spans="1:26" s="28" customFormat="1" outlineLevel="1" collapsed="1" x14ac:dyDescent="0.25">
      <c r="A198" s="27"/>
      <c r="B198" s="14" t="str">
        <f>CONCATENATE("     ","Rent                                              ")</f>
        <v xml:space="preserve">     Rent                                              </v>
      </c>
      <c r="C198" s="14"/>
      <c r="D198" s="1">
        <f>SUM(OSRRefD22_15x_0)</f>
        <v>6100</v>
      </c>
      <c r="E198" s="1"/>
      <c r="F198" s="5">
        <f t="shared" si="69"/>
        <v>3.8194487469769291E-3</v>
      </c>
      <c r="G198" s="1"/>
      <c r="H198" s="1">
        <f>SUM(OSRRefH22_15x_0)</f>
        <v>6100</v>
      </c>
      <c r="I198" s="1"/>
      <c r="J198" s="5">
        <f t="shared" si="70"/>
        <v>2.2567470066997895E-3</v>
      </c>
      <c r="K198" s="1"/>
      <c r="L198" s="1">
        <f t="shared" si="71"/>
        <v>0</v>
      </c>
      <c r="M198" s="1"/>
      <c r="N198" s="5">
        <f t="shared" si="72"/>
        <v>0</v>
      </c>
      <c r="O198" s="14"/>
      <c r="P198" s="1">
        <f>SUM(OSRRefP22_15x_0)</f>
        <v>12200</v>
      </c>
      <c r="Q198" s="1"/>
      <c r="R198" s="5">
        <f t="shared" si="73"/>
        <v>6.6858240735217919E-3</v>
      </c>
      <c r="S198" s="1"/>
      <c r="T198" s="1">
        <f>SUM(OSRRefT22_15x_0)</f>
        <v>12200</v>
      </c>
      <c r="U198" s="1"/>
      <c r="V198" s="5">
        <f t="shared" si="74"/>
        <v>3.9935264674092683E-3</v>
      </c>
      <c r="W198" s="1"/>
      <c r="X198" s="1">
        <f t="shared" si="75"/>
        <v>0</v>
      </c>
      <c r="Y198" s="1"/>
      <c r="Z198" s="5">
        <f t="shared" si="76"/>
        <v>0</v>
      </c>
    </row>
    <row r="199" spans="1:26" s="24" customFormat="1" hidden="1" outlineLevel="2" x14ac:dyDescent="0.25">
      <c r="A199" s="29"/>
      <c r="B199" s="11" t="str">
        <f>CONCATENATE("          ", "6273", " - ", "RENT")</f>
        <v xml:space="preserve">          6273 - RENT</v>
      </c>
      <c r="C199" s="11"/>
      <c r="D199" s="7">
        <v>6100</v>
      </c>
      <c r="E199" s="2"/>
      <c r="F199" s="6">
        <f t="shared" si="69"/>
        <v>3.8194487469769291E-3</v>
      </c>
      <c r="G199" s="2"/>
      <c r="H199" s="7">
        <v>6100</v>
      </c>
      <c r="I199" s="2"/>
      <c r="J199" s="6">
        <f t="shared" si="70"/>
        <v>2.2567470066997895E-3</v>
      </c>
      <c r="K199" s="2"/>
      <c r="L199" s="7">
        <f t="shared" si="71"/>
        <v>0</v>
      </c>
      <c r="M199" s="2"/>
      <c r="N199" s="6">
        <f t="shared" si="72"/>
        <v>0</v>
      </c>
      <c r="O199" s="11"/>
      <c r="P199" s="7">
        <v>12200</v>
      </c>
      <c r="Q199" s="2"/>
      <c r="R199" s="6">
        <f t="shared" si="73"/>
        <v>6.6858240735217919E-3</v>
      </c>
      <c r="S199" s="2"/>
      <c r="T199" s="7">
        <v>12200</v>
      </c>
      <c r="U199" s="2"/>
      <c r="V199" s="6">
        <f t="shared" si="74"/>
        <v>3.9935264674092683E-3</v>
      </c>
      <c r="W199" s="2"/>
      <c r="X199" s="7">
        <f t="shared" si="75"/>
        <v>0</v>
      </c>
      <c r="Y199" s="2"/>
      <c r="Z199" s="6">
        <f t="shared" si="76"/>
        <v>0</v>
      </c>
    </row>
    <row r="200" spans="1:26" s="28" customFormat="1" outlineLevel="1" collapsed="1" x14ac:dyDescent="0.25">
      <c r="A200" s="27"/>
      <c r="B200" s="14" t="str">
        <f>CONCATENATE("     ","Repair and Maintenance                            ")</f>
        <v xml:space="preserve">     Repair and Maintenance                            </v>
      </c>
      <c r="C200" s="14"/>
      <c r="D200" s="1">
        <f>SUM(OSRRefD22_16x_0)</f>
        <v>6705.0199999999995</v>
      </c>
      <c r="E200" s="1"/>
      <c r="F200" s="5">
        <f t="shared" si="69"/>
        <v>4.1982754487631556E-3</v>
      </c>
      <c r="G200" s="1"/>
      <c r="H200" s="1">
        <f>SUM(OSRRefH22_16x_0)</f>
        <v>14932.49</v>
      </c>
      <c r="I200" s="1"/>
      <c r="J200" s="5">
        <f t="shared" si="70"/>
        <v>5.5244019852581207E-3</v>
      </c>
      <c r="K200" s="1"/>
      <c r="L200" s="1">
        <f t="shared" si="71"/>
        <v>-8227.4700000000012</v>
      </c>
      <c r="M200" s="1"/>
      <c r="N200" s="5">
        <f t="shared" si="72"/>
        <v>-0.55097776727123216</v>
      </c>
      <c r="O200" s="14"/>
      <c r="P200" s="1">
        <f>SUM(OSRRefP22_16x_0)</f>
        <v>73052.790000000008</v>
      </c>
      <c r="Q200" s="1"/>
      <c r="R200" s="5">
        <f t="shared" si="73"/>
        <v>4.003427065737148E-2</v>
      </c>
      <c r="S200" s="1"/>
      <c r="T200" s="1">
        <f>SUM(OSRRefT22_16x_0)</f>
        <v>37677.800000000003</v>
      </c>
      <c r="U200" s="1"/>
      <c r="V200" s="5">
        <f t="shared" si="74"/>
        <v>1.2333384551946963E-2</v>
      </c>
      <c r="W200" s="1"/>
      <c r="X200" s="1">
        <f t="shared" si="75"/>
        <v>35374.990000000005</v>
      </c>
      <c r="Y200" s="1"/>
      <c r="Z200" s="5">
        <f t="shared" si="76"/>
        <v>0.93888151643673468</v>
      </c>
    </row>
    <row r="201" spans="1:26" s="24" customFormat="1" hidden="1" outlineLevel="2" x14ac:dyDescent="0.25">
      <c r="A201" s="29"/>
      <c r="B201" s="11" t="str">
        <f>CONCATENATE("          ", "6371", " - ", "COMPUTER SOFTWARE MAINTENANCE")</f>
        <v xml:space="preserve">          6371 - COMPUTER SOFTWARE MAINTENANCE</v>
      </c>
      <c r="C201" s="11"/>
      <c r="D201" s="7"/>
      <c r="E201" s="2"/>
      <c r="F201" s="6">
        <f t="shared" si="69"/>
        <v>0</v>
      </c>
      <c r="G201" s="2"/>
      <c r="H201" s="7">
        <v>7887.25</v>
      </c>
      <c r="I201" s="2"/>
      <c r="J201" s="6">
        <f t="shared" si="70"/>
        <v>2.9179553817365433E-3</v>
      </c>
      <c r="K201" s="2"/>
      <c r="L201" s="7">
        <f t="shared" si="71"/>
        <v>-7887.25</v>
      </c>
      <c r="M201" s="2"/>
      <c r="N201" s="6">
        <f t="shared" si="72"/>
        <v>-1</v>
      </c>
      <c r="O201" s="11"/>
      <c r="P201" s="7">
        <v>58428.780000000006</v>
      </c>
      <c r="Q201" s="2"/>
      <c r="R201" s="6">
        <f t="shared" si="73"/>
        <v>3.2020044582828582E-2</v>
      </c>
      <c r="S201" s="2"/>
      <c r="T201" s="7">
        <v>8488.25</v>
      </c>
      <c r="U201" s="2"/>
      <c r="V201" s="6">
        <f t="shared" si="74"/>
        <v>2.7785287735235019E-3</v>
      </c>
      <c r="W201" s="2"/>
      <c r="X201" s="7">
        <f t="shared" si="75"/>
        <v>49940.530000000006</v>
      </c>
      <c r="Y201" s="2"/>
      <c r="Z201" s="6">
        <f t="shared" si="76"/>
        <v>5.8834895296439207</v>
      </c>
    </row>
    <row r="202" spans="1:26" s="24" customFormat="1" hidden="1" outlineLevel="2" x14ac:dyDescent="0.25">
      <c r="A202" s="29"/>
      <c r="B202" s="11" t="str">
        <f>CONCATENATE("          ", "6372", " - ", "COMPUTER HARDWARE MAINTENANCE")</f>
        <v xml:space="preserve">          6372 - COMPUTER HARDWARE MAINTENANCE</v>
      </c>
      <c r="C202" s="11"/>
      <c r="D202" s="7">
        <v>0.98</v>
      </c>
      <c r="E202" s="2"/>
      <c r="F202" s="6">
        <f t="shared" si="69"/>
        <v>6.1361635607170333E-7</v>
      </c>
      <c r="G202" s="2"/>
      <c r="H202" s="7"/>
      <c r="I202" s="2"/>
      <c r="J202" s="6">
        <f t="shared" si="70"/>
        <v>0</v>
      </c>
      <c r="K202" s="2"/>
      <c r="L202" s="7">
        <f t="shared" si="71"/>
        <v>0.98</v>
      </c>
      <c r="M202" s="2"/>
      <c r="N202" s="6">
        <f t="shared" si="72"/>
        <v>0</v>
      </c>
      <c r="O202" s="11"/>
      <c r="P202" s="7">
        <v>0.98</v>
      </c>
      <c r="Q202" s="2"/>
      <c r="R202" s="6">
        <f t="shared" si="73"/>
        <v>5.370579993484718E-7</v>
      </c>
      <c r="S202" s="2"/>
      <c r="T202" s="7"/>
      <c r="U202" s="2"/>
      <c r="V202" s="6">
        <f t="shared" si="74"/>
        <v>0</v>
      </c>
      <c r="W202" s="2"/>
      <c r="X202" s="7">
        <f t="shared" si="75"/>
        <v>0.98</v>
      </c>
      <c r="Y202" s="2"/>
      <c r="Z202" s="6">
        <f t="shared" si="76"/>
        <v>0</v>
      </c>
    </row>
    <row r="203" spans="1:26" s="24" customFormat="1" hidden="1" outlineLevel="2" x14ac:dyDescent="0.25">
      <c r="A203" s="29"/>
      <c r="B203" s="11" t="str">
        <f>CONCATENATE("          ", "6373", " - ", "MAINTENANCE CONTRACTS")</f>
        <v xml:space="preserve">          6373 - MAINTENANCE CONTRACTS</v>
      </c>
      <c r="C203" s="11"/>
      <c r="D203" s="7">
        <v>6370.22</v>
      </c>
      <c r="E203" s="2"/>
      <c r="F203" s="6">
        <f t="shared" si="69"/>
        <v>3.988644065076619E-3</v>
      </c>
      <c r="G203" s="2"/>
      <c r="H203" s="7">
        <v>5896.58</v>
      </c>
      <c r="I203" s="2"/>
      <c r="J203" s="6">
        <f t="shared" si="70"/>
        <v>2.1814900434042367E-3</v>
      </c>
      <c r="K203" s="2"/>
      <c r="L203" s="7">
        <f t="shared" si="71"/>
        <v>473.64000000000033</v>
      </c>
      <c r="M203" s="2"/>
      <c r="N203" s="6">
        <f t="shared" si="72"/>
        <v>8.0324527098758994E-2</v>
      </c>
      <c r="O203" s="11"/>
      <c r="P203" s="7">
        <v>12786.23</v>
      </c>
      <c r="Q203" s="2"/>
      <c r="R203" s="6">
        <f t="shared" si="73"/>
        <v>7.0070888806218479E-3</v>
      </c>
      <c r="S203" s="2"/>
      <c r="T203" s="7">
        <v>12375.44</v>
      </c>
      <c r="U203" s="2"/>
      <c r="V203" s="6">
        <f t="shared" si="74"/>
        <v>4.0509546873635539E-3</v>
      </c>
      <c r="W203" s="2"/>
      <c r="X203" s="7">
        <f t="shared" si="75"/>
        <v>410.78999999999905</v>
      </c>
      <c r="Y203" s="2"/>
      <c r="Z203" s="6">
        <f t="shared" si="76"/>
        <v>3.3193971285061304E-2</v>
      </c>
    </row>
    <row r="204" spans="1:26" s="24" customFormat="1" hidden="1" outlineLevel="2" x14ac:dyDescent="0.25">
      <c r="A204" s="29"/>
      <c r="B204" s="11" t="str">
        <f>CONCATENATE("          ", "6375", " - ", "OUTSIDE REPAIRS &amp; MAINTENANCE")</f>
        <v xml:space="preserve">          6375 - OUTSIDE REPAIRS &amp; MAINTENANCE</v>
      </c>
      <c r="C204" s="11"/>
      <c r="D204" s="7">
        <v>333.82</v>
      </c>
      <c r="E204" s="2"/>
      <c r="F204" s="6">
        <f t="shared" si="69"/>
        <v>2.0901776733046532E-4</v>
      </c>
      <c r="G204" s="2"/>
      <c r="H204" s="7">
        <v>1148.6600000000001</v>
      </c>
      <c r="I204" s="2"/>
      <c r="J204" s="6">
        <f t="shared" si="70"/>
        <v>4.2495656011734106E-4</v>
      </c>
      <c r="K204" s="2"/>
      <c r="L204" s="7">
        <f t="shared" si="71"/>
        <v>-814.84000000000015</v>
      </c>
      <c r="M204" s="2"/>
      <c r="N204" s="6">
        <f t="shared" si="72"/>
        <v>-0.70938310727282228</v>
      </c>
      <c r="O204" s="11"/>
      <c r="P204" s="7">
        <v>1836.8</v>
      </c>
      <c r="Q204" s="2"/>
      <c r="R204" s="6">
        <f t="shared" si="73"/>
        <v>1.0066001359217071E-3</v>
      </c>
      <c r="S204" s="2"/>
      <c r="T204" s="7">
        <v>16814.11</v>
      </c>
      <c r="U204" s="2"/>
      <c r="V204" s="6">
        <f t="shared" si="74"/>
        <v>5.5039010910599064E-3</v>
      </c>
      <c r="W204" s="2"/>
      <c r="X204" s="7">
        <f t="shared" si="75"/>
        <v>-14977.310000000001</v>
      </c>
      <c r="Y204" s="2"/>
      <c r="Z204" s="6">
        <f t="shared" si="76"/>
        <v>-0.89075841659177923</v>
      </c>
    </row>
    <row r="205" spans="1:26" s="28" customFormat="1" outlineLevel="1" collapsed="1" x14ac:dyDescent="0.25">
      <c r="A205" s="27"/>
      <c r="B205" s="14" t="str">
        <f>CONCATENATE("     ","Royalty &amp; Commissions                             ")</f>
        <v xml:space="preserve">     Royalty &amp; Commissions                             </v>
      </c>
      <c r="C205" s="14"/>
      <c r="D205" s="1">
        <f>SUM(OSRRefD22_17x_0)</f>
        <v>2254.65</v>
      </c>
      <c r="E205" s="1"/>
      <c r="F205" s="5">
        <f t="shared" ref="F205:F208" si="77">IF(D$12=0,0,D205/D$12)</f>
        <v>1.4117246094051694E-3</v>
      </c>
      <c r="G205" s="1"/>
      <c r="H205" s="1">
        <f>SUM(OSRRefH22_17x_0)</f>
        <v>3785.57</v>
      </c>
      <c r="I205" s="1"/>
      <c r="J205" s="5">
        <f t="shared" ref="J205:J208" si="78">IF(H$12=0,0,H205/H$12)</f>
        <v>1.4005038960905774E-3</v>
      </c>
      <c r="K205" s="1"/>
      <c r="L205" s="1">
        <f t="shared" ref="L205:L208" si="79">+D205-H205</f>
        <v>-1530.92</v>
      </c>
      <c r="M205" s="1"/>
      <c r="N205" s="5">
        <f t="shared" ref="N205:N208" si="80">IF(H205=0,0,L205/H205)</f>
        <v>-0.4044093756026173</v>
      </c>
      <c r="O205" s="14"/>
      <c r="P205" s="1">
        <f>SUM(OSRRefP22_17x_0)</f>
        <v>13244.4</v>
      </c>
      <c r="Q205" s="1"/>
      <c r="R205" s="5">
        <f t="shared" ref="R205:R208" si="81">IF(P$12=0,0,P205/P$12)</f>
        <v>7.2581744556845917E-3</v>
      </c>
      <c r="S205" s="1"/>
      <c r="T205" s="1">
        <f>SUM(OSRRefT22_17x_0)</f>
        <v>8871.619999999999</v>
      </c>
      <c r="U205" s="1"/>
      <c r="V205" s="5">
        <f t="shared" ref="V205:V208" si="82">IF(T$12=0,0,T205/T$12)</f>
        <v>2.9040204326883125E-3</v>
      </c>
      <c r="W205" s="1"/>
      <c r="X205" s="1">
        <f t="shared" ref="X205:X208" si="83">+P205-T205</f>
        <v>4372.7800000000007</v>
      </c>
      <c r="Y205" s="1"/>
      <c r="Z205" s="5">
        <f t="shared" ref="Z205:Z208" si="84">IF(T205=0,0,X205/T205)</f>
        <v>0.49289532238756856</v>
      </c>
    </row>
    <row r="206" spans="1:26" s="24" customFormat="1" hidden="1" outlineLevel="2" x14ac:dyDescent="0.25">
      <c r="A206" s="29"/>
      <c r="B206" s="11" t="str">
        <f>CONCATENATE("          ", "6253", " - ", "ROYALTY DUE ATHLETICS-LRG")</f>
        <v xml:space="preserve">          6253 - ROYALTY DUE ATHLETICS-LRG</v>
      </c>
      <c r="C206" s="11"/>
      <c r="D206" s="7">
        <v>2250</v>
      </c>
      <c r="E206" s="2"/>
      <c r="F206" s="6">
        <f t="shared" si="77"/>
        <v>1.4088130624095229E-3</v>
      </c>
      <c r="G206" s="2"/>
      <c r="H206" s="7"/>
      <c r="I206" s="2"/>
      <c r="J206" s="6">
        <f t="shared" si="78"/>
        <v>0</v>
      </c>
      <c r="K206" s="2"/>
      <c r="L206" s="7">
        <f t="shared" si="79"/>
        <v>2250</v>
      </c>
      <c r="M206" s="2"/>
      <c r="N206" s="6">
        <f t="shared" si="80"/>
        <v>0</v>
      </c>
      <c r="O206" s="11"/>
      <c r="P206" s="7">
        <v>7922.2</v>
      </c>
      <c r="Q206" s="2"/>
      <c r="R206" s="6">
        <f t="shared" si="81"/>
        <v>4.3415111045290444E-3</v>
      </c>
      <c r="S206" s="2"/>
      <c r="T206" s="7">
        <v>4366.95</v>
      </c>
      <c r="U206" s="2"/>
      <c r="V206" s="6">
        <f t="shared" si="82"/>
        <v>1.4294697054797463E-3</v>
      </c>
      <c r="W206" s="2"/>
      <c r="X206" s="7">
        <f t="shared" si="83"/>
        <v>3555.25</v>
      </c>
      <c r="Y206" s="2"/>
      <c r="Z206" s="6">
        <f t="shared" si="84"/>
        <v>0.81412656430689612</v>
      </c>
    </row>
    <row r="207" spans="1:26" s="24" customFormat="1" hidden="1" outlineLevel="2" x14ac:dyDescent="0.25">
      <c r="A207" s="29"/>
      <c r="B207" s="11" t="str">
        <f>CONCATENATE("          ", "6254", " - ", "ROYALTY &amp; COMMISSIONS")</f>
        <v xml:space="preserve">          6254 - ROYALTY &amp; COMMISSIONS</v>
      </c>
      <c r="C207" s="11"/>
      <c r="D207" s="7"/>
      <c r="E207" s="2"/>
      <c r="F207" s="6">
        <f t="shared" si="77"/>
        <v>0</v>
      </c>
      <c r="G207" s="2"/>
      <c r="H207" s="7">
        <v>136.4</v>
      </c>
      <c r="I207" s="2"/>
      <c r="J207" s="6">
        <f t="shared" si="78"/>
        <v>5.0462342903910045E-5</v>
      </c>
      <c r="K207" s="2"/>
      <c r="L207" s="7">
        <f t="shared" si="79"/>
        <v>-136.4</v>
      </c>
      <c r="M207" s="2"/>
      <c r="N207" s="6">
        <f t="shared" si="80"/>
        <v>-1</v>
      </c>
      <c r="O207" s="11"/>
      <c r="P207" s="7"/>
      <c r="Q207" s="2"/>
      <c r="R207" s="6">
        <f t="shared" si="81"/>
        <v>0</v>
      </c>
      <c r="S207" s="2"/>
      <c r="T207" s="7">
        <v>250.49</v>
      </c>
      <c r="U207" s="2"/>
      <c r="V207" s="6">
        <f t="shared" si="82"/>
        <v>8.1994954493553086E-5</v>
      </c>
      <c r="W207" s="2"/>
      <c r="X207" s="7">
        <f t="shared" si="83"/>
        <v>-250.49</v>
      </c>
      <c r="Y207" s="2"/>
      <c r="Z207" s="6">
        <f t="shared" si="84"/>
        <v>-1</v>
      </c>
    </row>
    <row r="208" spans="1:26" s="24" customFormat="1" hidden="1" outlineLevel="2" x14ac:dyDescent="0.25">
      <c r="A208" s="29"/>
      <c r="B208" s="11" t="str">
        <f>CONCATENATE("          ", "6259", " - ", "ROYALTY &amp; COMMISSIONS")</f>
        <v xml:space="preserve">          6259 - ROYALTY &amp; COMMISSIONS</v>
      </c>
      <c r="C208" s="11"/>
      <c r="D208" s="7">
        <v>4.6500000000000004</v>
      </c>
      <c r="E208" s="2"/>
      <c r="F208" s="6">
        <f t="shared" si="77"/>
        <v>2.9115469956463479E-6</v>
      </c>
      <c r="G208" s="2"/>
      <c r="H208" s="7">
        <v>3649.17</v>
      </c>
      <c r="I208" s="2"/>
      <c r="J208" s="6">
        <f t="shared" si="78"/>
        <v>1.3500415531866674E-3</v>
      </c>
      <c r="K208" s="2"/>
      <c r="L208" s="7">
        <f t="shared" si="79"/>
        <v>-3644.52</v>
      </c>
      <c r="M208" s="2"/>
      <c r="N208" s="6">
        <f t="shared" si="80"/>
        <v>-0.99872573763348926</v>
      </c>
      <c r="O208" s="11"/>
      <c r="P208" s="7">
        <v>5322.2</v>
      </c>
      <c r="Q208" s="2"/>
      <c r="R208" s="6">
        <f t="shared" si="81"/>
        <v>2.9166633511555477E-3</v>
      </c>
      <c r="S208" s="2"/>
      <c r="T208" s="7">
        <v>4254.18</v>
      </c>
      <c r="U208" s="2"/>
      <c r="V208" s="6">
        <f t="shared" si="82"/>
        <v>1.3925557727150135E-3</v>
      </c>
      <c r="W208" s="2"/>
      <c r="X208" s="7">
        <f t="shared" si="83"/>
        <v>1068.0199999999995</v>
      </c>
      <c r="Y208" s="2"/>
      <c r="Z208" s="6">
        <f t="shared" si="84"/>
        <v>0.25105190659539545</v>
      </c>
    </row>
    <row r="209" spans="1:26" s="28" customFormat="1" outlineLevel="1" collapsed="1" x14ac:dyDescent="0.25">
      <c r="A209" s="27"/>
      <c r="B209" s="14" t="str">
        <f>CONCATENATE("     ","Services                                          ")</f>
        <v xml:space="preserve">     Services                                          </v>
      </c>
      <c r="C209" s="14"/>
      <c r="D209" s="1">
        <f>SUM(OSRRefD22_18x_0)</f>
        <v>421.78</v>
      </c>
      <c r="E209" s="1"/>
      <c r="F209" s="5">
        <f t="shared" ref="F209:F213" si="85">IF(D$12=0,0,D209/D$12)</f>
        <v>2.6409296598359493E-4</v>
      </c>
      <c r="G209" s="1"/>
      <c r="H209" s="1">
        <f>SUM(OSRRefH22_18x_0)</f>
        <v>4676.59</v>
      </c>
      <c r="I209" s="1"/>
      <c r="J209" s="5">
        <f t="shared" ref="J209:J213" si="86">IF(H$12=0,0,H209/H$12)</f>
        <v>1.7301443416495358E-3</v>
      </c>
      <c r="K209" s="1"/>
      <c r="L209" s="1">
        <f t="shared" ref="L209:L213" si="87">+D209-H209</f>
        <v>-4254.8100000000004</v>
      </c>
      <c r="M209" s="1"/>
      <c r="N209" s="5">
        <f t="shared" ref="N209:N213" si="88">IF(H209=0,0,L209/H209)</f>
        <v>-0.90981035327022475</v>
      </c>
      <c r="O209" s="14"/>
      <c r="P209" s="1">
        <f>SUM(OSRRefP22_18x_0)</f>
        <v>4305.5200000000004</v>
      </c>
      <c r="Q209" s="1"/>
      <c r="R209" s="5">
        <f t="shared" ref="R209:R213" si="89">IF(P$12=0,0,P209/P$12)</f>
        <v>2.3595040381171762E-3</v>
      </c>
      <c r="S209" s="1"/>
      <c r="T209" s="1">
        <f>SUM(OSRRefT22_18x_0)</f>
        <v>9305.67</v>
      </c>
      <c r="U209" s="1"/>
      <c r="V209" s="5">
        <f t="shared" ref="V209:V213" si="90">IF(T$12=0,0,T209/T$12)</f>
        <v>3.0461015936046236E-3</v>
      </c>
      <c r="W209" s="1"/>
      <c r="X209" s="1">
        <f t="shared" ref="X209:X213" si="91">+P209-T209</f>
        <v>-5000.1499999999996</v>
      </c>
      <c r="Y209" s="1"/>
      <c r="Z209" s="5">
        <f t="shared" ref="Z209:Z213" si="92">IF(T209=0,0,X209/T209)</f>
        <v>-0.53732294396856961</v>
      </c>
    </row>
    <row r="210" spans="1:26" s="24" customFormat="1" hidden="1" outlineLevel="2" x14ac:dyDescent="0.25">
      <c r="A210" s="29"/>
      <c r="B210" s="11" t="str">
        <f>CONCATENATE("          ", "6282", " - ", "JANITORIAL/EXTERMINATOR EXPENS")</f>
        <v xml:space="preserve">          6282 - JANITORIAL/EXTERMINATOR EXPENS</v>
      </c>
      <c r="C210" s="11"/>
      <c r="D210" s="7">
        <v>339.94</v>
      </c>
      <c r="E210" s="2"/>
      <c r="F210" s="6">
        <f t="shared" si="85"/>
        <v>2.1284973886021922E-4</v>
      </c>
      <c r="G210" s="2"/>
      <c r="H210" s="7">
        <v>266.5</v>
      </c>
      <c r="I210" s="2"/>
      <c r="J210" s="6">
        <f t="shared" si="86"/>
        <v>9.8593947095982609E-5</v>
      </c>
      <c r="K210" s="2"/>
      <c r="L210" s="7">
        <f t="shared" si="87"/>
        <v>73.44</v>
      </c>
      <c r="M210" s="2"/>
      <c r="N210" s="6">
        <f t="shared" si="88"/>
        <v>0.27557223264540337</v>
      </c>
      <c r="O210" s="11"/>
      <c r="P210" s="7">
        <v>476.44</v>
      </c>
      <c r="Q210" s="2"/>
      <c r="R210" s="6">
        <f t="shared" si="89"/>
        <v>2.6109787062202647E-4</v>
      </c>
      <c r="S210" s="2"/>
      <c r="T210" s="7">
        <v>533</v>
      </c>
      <c r="U210" s="2"/>
      <c r="V210" s="6">
        <f t="shared" si="90"/>
        <v>1.7447127927288034E-4</v>
      </c>
      <c r="W210" s="2"/>
      <c r="X210" s="7">
        <f t="shared" si="91"/>
        <v>-56.56</v>
      </c>
      <c r="Y210" s="2"/>
      <c r="Z210" s="6">
        <f t="shared" si="92"/>
        <v>-0.10611632270168855</v>
      </c>
    </row>
    <row r="211" spans="1:26" s="24" customFormat="1" hidden="1" outlineLevel="2" x14ac:dyDescent="0.25">
      <c r="A211" s="29"/>
      <c r="B211" s="11" t="str">
        <f>CONCATENATE("          ", "6283", " - ", "PLANT SERVICE")</f>
        <v xml:space="preserve">          6283 - PLANT SERVICE</v>
      </c>
      <c r="C211" s="11"/>
      <c r="D211" s="7"/>
      <c r="E211" s="2"/>
      <c r="F211" s="6">
        <f t="shared" si="85"/>
        <v>0</v>
      </c>
      <c r="G211" s="2"/>
      <c r="H211" s="7">
        <v>180.66</v>
      </c>
      <c r="I211" s="2"/>
      <c r="J211" s="6">
        <f t="shared" si="86"/>
        <v>6.683670725088261E-5</v>
      </c>
      <c r="K211" s="2"/>
      <c r="L211" s="7">
        <f t="shared" si="87"/>
        <v>-180.66</v>
      </c>
      <c r="M211" s="2"/>
      <c r="N211" s="6">
        <f t="shared" si="88"/>
        <v>-1</v>
      </c>
      <c r="O211" s="11"/>
      <c r="P211" s="7">
        <v>130</v>
      </c>
      <c r="Q211" s="2"/>
      <c r="R211" s="6">
        <f t="shared" si="89"/>
        <v>7.1242387668674838E-5</v>
      </c>
      <c r="S211" s="2"/>
      <c r="T211" s="7">
        <v>361.32</v>
      </c>
      <c r="U211" s="2"/>
      <c r="V211" s="6">
        <f t="shared" si="90"/>
        <v>1.1827385108232106E-4</v>
      </c>
      <c r="W211" s="2"/>
      <c r="X211" s="7">
        <f t="shared" si="91"/>
        <v>-231.32</v>
      </c>
      <c r="Y211" s="2"/>
      <c r="Z211" s="6">
        <f t="shared" si="92"/>
        <v>-0.6402081257610982</v>
      </c>
    </row>
    <row r="212" spans="1:26" s="24" customFormat="1" hidden="1" outlineLevel="2" x14ac:dyDescent="0.25">
      <c r="A212" s="29"/>
      <c r="B212" s="11" t="str">
        <f>CONCATENATE("          ", "6284", " - ", "TRASH REMOVAL EXPENSE")</f>
        <v xml:space="preserve">          6284 - TRASH REMOVAL EXPENSE</v>
      </c>
      <c r="C212" s="11"/>
      <c r="D212" s="7">
        <v>142.57</v>
      </c>
      <c r="E212" s="2"/>
      <c r="F212" s="6">
        <f t="shared" si="85"/>
        <v>8.9268657025655859E-5</v>
      </c>
      <c r="G212" s="2"/>
      <c r="H212" s="7">
        <v>134.82</v>
      </c>
      <c r="I212" s="2"/>
      <c r="J212" s="6">
        <f t="shared" si="86"/>
        <v>4.9877808433322229E-5</v>
      </c>
      <c r="K212" s="2"/>
      <c r="L212" s="7">
        <f t="shared" si="87"/>
        <v>7.75</v>
      </c>
      <c r="M212" s="2"/>
      <c r="N212" s="6">
        <f t="shared" si="88"/>
        <v>5.7484052811155616E-2</v>
      </c>
      <c r="O212" s="11"/>
      <c r="P212" s="7">
        <v>285.14</v>
      </c>
      <c r="Q212" s="2"/>
      <c r="R212" s="6">
        <f t="shared" si="89"/>
        <v>1.5626195707573801E-4</v>
      </c>
      <c r="S212" s="2"/>
      <c r="T212" s="7">
        <v>269.64</v>
      </c>
      <c r="U212" s="2"/>
      <c r="V212" s="6">
        <f t="shared" si="90"/>
        <v>8.8263481694445499E-5</v>
      </c>
      <c r="W212" s="2"/>
      <c r="X212" s="7">
        <f t="shared" si="91"/>
        <v>15.5</v>
      </c>
      <c r="Y212" s="2"/>
      <c r="Z212" s="6">
        <f t="shared" si="92"/>
        <v>5.7484052811155616E-2</v>
      </c>
    </row>
    <row r="213" spans="1:26" s="24" customFormat="1" hidden="1" outlineLevel="2" x14ac:dyDescent="0.25">
      <c r="A213" s="29"/>
      <c r="B213" s="11" t="str">
        <f>CONCATENATE("          ", "6285", " - ", "JANITORIAL SERVICES")</f>
        <v xml:space="preserve">          6285 - JANITORIAL SERVICES</v>
      </c>
      <c r="C213" s="11"/>
      <c r="D213" s="7">
        <v>-60.73</v>
      </c>
      <c r="E213" s="2"/>
      <c r="F213" s="6">
        <f t="shared" si="85"/>
        <v>-3.8025429902280146E-5</v>
      </c>
      <c r="G213" s="2"/>
      <c r="H213" s="7">
        <v>4094.61</v>
      </c>
      <c r="I213" s="2"/>
      <c r="J213" s="6">
        <f t="shared" si="86"/>
        <v>1.5148358788693484E-3</v>
      </c>
      <c r="K213" s="2"/>
      <c r="L213" s="7">
        <f t="shared" si="87"/>
        <v>-4155.34</v>
      </c>
      <c r="M213" s="2"/>
      <c r="N213" s="6">
        <f t="shared" si="88"/>
        <v>-1.0148316933725068</v>
      </c>
      <c r="O213" s="11"/>
      <c r="P213" s="7">
        <v>3413.94</v>
      </c>
      <c r="Q213" s="2"/>
      <c r="R213" s="6">
        <f t="shared" si="89"/>
        <v>1.8709018227507366E-3</v>
      </c>
      <c r="S213" s="2"/>
      <c r="T213" s="7">
        <v>8141.71</v>
      </c>
      <c r="U213" s="2"/>
      <c r="V213" s="6">
        <f t="shared" si="90"/>
        <v>2.6650929815549766E-3</v>
      </c>
      <c r="W213" s="2"/>
      <c r="X213" s="7">
        <f t="shared" si="91"/>
        <v>-4727.7700000000004</v>
      </c>
      <c r="Y213" s="2"/>
      <c r="Z213" s="6">
        <f t="shared" si="92"/>
        <v>-0.58068513862566962</v>
      </c>
    </row>
    <row r="214" spans="1:26" s="28" customFormat="1" outlineLevel="1" collapsed="1" x14ac:dyDescent="0.25">
      <c r="A214" s="27"/>
      <c r="B214" s="14" t="str">
        <f>CONCATENATE("     ","Subscriptions &amp; Dues                              ")</f>
        <v xml:space="preserve">     Subscriptions &amp; Dues                              </v>
      </c>
      <c r="C214" s="14"/>
      <c r="D214" s="1">
        <f>SUM(OSRRefD22_19x_0)</f>
        <v>270</v>
      </c>
      <c r="E214" s="1"/>
      <c r="F214" s="5">
        <f t="shared" ref="F214:F216" si="93">IF(D$12=0,0,D214/D$12)</f>
        <v>1.6905756748914275E-4</v>
      </c>
      <c r="G214" s="1"/>
      <c r="H214" s="1">
        <f>SUM(OSRRefH22_19x_0)</f>
        <v>529.98</v>
      </c>
      <c r="I214" s="1"/>
      <c r="J214" s="5">
        <f t="shared" ref="J214:J216" si="94">IF(H$12=0,0,H214/H$12)</f>
        <v>1.9607061944438599E-4</v>
      </c>
      <c r="K214" s="1"/>
      <c r="L214" s="1">
        <f t="shared" ref="L214:L216" si="95">+D214-H214</f>
        <v>-259.98</v>
      </c>
      <c r="M214" s="1"/>
      <c r="N214" s="5">
        <f t="shared" ref="N214:N216" si="96">IF(H214=0,0,L214/H214)</f>
        <v>-0.49054681308728632</v>
      </c>
      <c r="O214" s="14"/>
      <c r="P214" s="1">
        <f>SUM(OSRRefP22_19x_0)</f>
        <v>635</v>
      </c>
      <c r="Q214" s="1"/>
      <c r="R214" s="5">
        <f t="shared" ref="R214:R216" si="97">IF(P$12=0,0,P214/P$12)</f>
        <v>3.4799166284314248E-4</v>
      </c>
      <c r="S214" s="1"/>
      <c r="T214" s="1">
        <f>SUM(OSRRefT22_19x_0)</f>
        <v>992.23</v>
      </c>
      <c r="U214" s="1"/>
      <c r="V214" s="5">
        <f t="shared" ref="V214:V216" si="98">IF(T$12=0,0,T214/T$12)</f>
        <v>3.2479481694733595E-4</v>
      </c>
      <c r="W214" s="1"/>
      <c r="X214" s="1">
        <f t="shared" ref="X214:X216" si="99">+P214-T214</f>
        <v>-357.23</v>
      </c>
      <c r="Y214" s="1"/>
      <c r="Z214" s="5">
        <f t="shared" ref="Z214:Z216" si="100">IF(T214=0,0,X214/T214)</f>
        <v>-0.36002741299900226</v>
      </c>
    </row>
    <row r="215" spans="1:26" s="24" customFormat="1" hidden="1" outlineLevel="2" x14ac:dyDescent="0.25">
      <c r="A215" s="29"/>
      <c r="B215" s="11" t="str">
        <f>CONCATENATE("          ", "6258", " - ", "MEMBERSHIP DUES")</f>
        <v xml:space="preserve">          6258 - MEMBERSHIP DUES</v>
      </c>
      <c r="C215" s="11"/>
      <c r="D215" s="7">
        <v>270</v>
      </c>
      <c r="E215" s="2"/>
      <c r="F215" s="6">
        <f t="shared" si="93"/>
        <v>1.6905756748914275E-4</v>
      </c>
      <c r="G215" s="2"/>
      <c r="H215" s="7">
        <v>370</v>
      </c>
      <c r="I215" s="2"/>
      <c r="J215" s="6">
        <f t="shared" si="94"/>
        <v>1.3688465450474132E-4</v>
      </c>
      <c r="K215" s="2"/>
      <c r="L215" s="7">
        <f t="shared" si="95"/>
        <v>-100</v>
      </c>
      <c r="M215" s="2"/>
      <c r="N215" s="6">
        <f t="shared" si="96"/>
        <v>-0.27027027027027029</v>
      </c>
      <c r="O215" s="11"/>
      <c r="P215" s="7">
        <v>560</v>
      </c>
      <c r="Q215" s="2"/>
      <c r="R215" s="6">
        <f t="shared" si="97"/>
        <v>3.0689028534198391E-4</v>
      </c>
      <c r="S215" s="2"/>
      <c r="T215" s="7">
        <v>658.85</v>
      </c>
      <c r="U215" s="2"/>
      <c r="V215" s="6">
        <f t="shared" si="98"/>
        <v>2.156667961518522E-4</v>
      </c>
      <c r="W215" s="2"/>
      <c r="X215" s="7">
        <f t="shared" si="99"/>
        <v>-98.850000000000023</v>
      </c>
      <c r="Y215" s="2"/>
      <c r="Z215" s="6">
        <f t="shared" si="100"/>
        <v>-0.15003415041359949</v>
      </c>
    </row>
    <row r="216" spans="1:26" s="24" customFormat="1" hidden="1" outlineLevel="2" x14ac:dyDescent="0.25">
      <c r="A216" s="29"/>
      <c r="B216" s="11" t="str">
        <f>CONCATENATE("          ", "6275", " - ", "SUBSCRIPTIONS")</f>
        <v xml:space="preserve">          6275 - SUBSCRIPTIONS</v>
      </c>
      <c r="C216" s="11"/>
      <c r="D216" s="7"/>
      <c r="E216" s="2"/>
      <c r="F216" s="6">
        <f t="shared" si="93"/>
        <v>0</v>
      </c>
      <c r="G216" s="2"/>
      <c r="H216" s="7">
        <v>159.97999999999999</v>
      </c>
      <c r="I216" s="2"/>
      <c r="J216" s="6">
        <f t="shared" si="94"/>
        <v>5.9185964939644637E-5</v>
      </c>
      <c r="K216" s="2"/>
      <c r="L216" s="7">
        <f t="shared" si="95"/>
        <v>-159.97999999999999</v>
      </c>
      <c r="M216" s="2"/>
      <c r="N216" s="6">
        <f t="shared" si="96"/>
        <v>-1</v>
      </c>
      <c r="O216" s="11"/>
      <c r="P216" s="7">
        <v>75</v>
      </c>
      <c r="Q216" s="2"/>
      <c r="R216" s="6">
        <f t="shared" si="97"/>
        <v>4.1101377501158559E-5</v>
      </c>
      <c r="S216" s="2"/>
      <c r="T216" s="7">
        <v>333.38</v>
      </c>
      <c r="U216" s="2"/>
      <c r="V216" s="6">
        <f t="shared" si="98"/>
        <v>1.0912802079548376E-4</v>
      </c>
      <c r="W216" s="2"/>
      <c r="X216" s="7">
        <f t="shared" si="99"/>
        <v>-258.38</v>
      </c>
      <c r="Y216" s="2"/>
      <c r="Z216" s="6">
        <f t="shared" si="100"/>
        <v>-0.77503149559061735</v>
      </c>
    </row>
    <row r="217" spans="1:26" s="28" customFormat="1" outlineLevel="1" collapsed="1" x14ac:dyDescent="0.25">
      <c r="A217" s="27"/>
      <c r="B217" s="14" t="str">
        <f>CONCATENATE("     ","Supplies                                          ")</f>
        <v xml:space="preserve">     Supplies                                          </v>
      </c>
      <c r="C217" s="14"/>
      <c r="D217" s="1">
        <f>SUM(OSRRefD22_20x_0)</f>
        <v>8018.0199999999995</v>
      </c>
      <c r="E217" s="1"/>
      <c r="F217" s="5">
        <f t="shared" ref="F217:F224" si="101">IF(D$12=0,0,D217/D$12)</f>
        <v>5.0203961380714682E-3</v>
      </c>
      <c r="G217" s="1"/>
      <c r="H217" s="1">
        <f>SUM(OSRRefH22_20x_0)</f>
        <v>5503.29</v>
      </c>
      <c r="I217" s="1"/>
      <c r="J217" s="5">
        <f t="shared" ref="J217:J224" si="102">IF(H$12=0,0,H217/H$12)</f>
        <v>2.0359890548362104E-3</v>
      </c>
      <c r="K217" s="1"/>
      <c r="L217" s="1">
        <f t="shared" ref="L217:L224" si="103">+D217-H217</f>
        <v>2514.7299999999996</v>
      </c>
      <c r="M217" s="1"/>
      <c r="N217" s="5">
        <f t="shared" ref="N217:N224" si="104">IF(H217=0,0,L217/H217)</f>
        <v>0.45695029700415563</v>
      </c>
      <c r="O217" s="14"/>
      <c r="P217" s="1">
        <f>SUM(OSRRefP22_20x_0)</f>
        <v>19537.940000000002</v>
      </c>
      <c r="Q217" s="1"/>
      <c r="R217" s="5">
        <f t="shared" ref="R217:R224" si="105">IF(P$12=0,0,P217/P$12)</f>
        <v>1.0707149967133145E-2</v>
      </c>
      <c r="S217" s="1"/>
      <c r="T217" s="1">
        <f>SUM(OSRRefT22_20x_0)</f>
        <v>12448.82</v>
      </c>
      <c r="U217" s="1"/>
      <c r="V217" s="5">
        <f t="shared" ref="V217:V224" si="106">IF(T$12=0,0,T217/T$12)</f>
        <v>4.0749747670503159E-3</v>
      </c>
      <c r="W217" s="1"/>
      <c r="X217" s="1">
        <f t="shared" ref="X217:X224" si="107">+P217-T217</f>
        <v>7089.1200000000026</v>
      </c>
      <c r="Y217" s="1"/>
      <c r="Z217" s="5">
        <f t="shared" ref="Z217:Z224" si="108">IF(T217=0,0,X217/T217)</f>
        <v>0.56946120194524485</v>
      </c>
    </row>
    <row r="218" spans="1:26" s="24" customFormat="1" hidden="1" outlineLevel="2" x14ac:dyDescent="0.25">
      <c r="A218" s="29"/>
      <c r="B218" s="11" t="str">
        <f>CONCATENATE("          ", "6234", " - ", "EXPENDABLE SUPPLIES &amp; EQUIPMEN")</f>
        <v xml:space="preserve">          6234 - EXPENDABLE SUPPLIES &amp; EQUIPMEN</v>
      </c>
      <c r="C218" s="11"/>
      <c r="D218" s="7"/>
      <c r="E218" s="2"/>
      <c r="F218" s="6">
        <f t="shared" si="101"/>
        <v>0</v>
      </c>
      <c r="G218" s="2"/>
      <c r="H218" s="7">
        <v>1014.02</v>
      </c>
      <c r="I218" s="2"/>
      <c r="J218" s="6">
        <f t="shared" si="102"/>
        <v>3.751453442186427E-4</v>
      </c>
      <c r="K218" s="2"/>
      <c r="L218" s="7">
        <f t="shared" si="103"/>
        <v>-1014.02</v>
      </c>
      <c r="M218" s="2"/>
      <c r="N218" s="6">
        <f t="shared" si="104"/>
        <v>-1</v>
      </c>
      <c r="O218" s="11"/>
      <c r="P218" s="7"/>
      <c r="Q218" s="2"/>
      <c r="R218" s="6">
        <f t="shared" si="105"/>
        <v>0</v>
      </c>
      <c r="S218" s="2"/>
      <c r="T218" s="7">
        <v>1716.1</v>
      </c>
      <c r="U218" s="2"/>
      <c r="V218" s="6">
        <f t="shared" si="106"/>
        <v>5.617451451410693E-4</v>
      </c>
      <c r="W218" s="2"/>
      <c r="X218" s="7">
        <f t="shared" si="107"/>
        <v>-1716.1</v>
      </c>
      <c r="Y218" s="2"/>
      <c r="Z218" s="6">
        <f t="shared" si="108"/>
        <v>-1</v>
      </c>
    </row>
    <row r="219" spans="1:26" s="24" customFormat="1" hidden="1" outlineLevel="2" x14ac:dyDescent="0.25">
      <c r="A219" s="29"/>
      <c r="B219" s="11" t="str">
        <f>CONCATENATE("          ", "6235", " - ", "COVID-19 EXPENSES")</f>
        <v xml:space="preserve">          6235 - COVID-19 EXPENSES</v>
      </c>
      <c r="C219" s="11"/>
      <c r="D219" s="7">
        <v>621.78</v>
      </c>
      <c r="E219" s="2"/>
      <c r="F219" s="6">
        <f t="shared" si="101"/>
        <v>3.8932079375333028E-4</v>
      </c>
      <c r="G219" s="2"/>
      <c r="H219" s="7"/>
      <c r="I219" s="2"/>
      <c r="J219" s="6">
        <f t="shared" si="102"/>
        <v>0</v>
      </c>
      <c r="K219" s="2"/>
      <c r="L219" s="7">
        <f t="shared" si="103"/>
        <v>621.78</v>
      </c>
      <c r="M219" s="2"/>
      <c r="N219" s="6">
        <f t="shared" si="104"/>
        <v>0</v>
      </c>
      <c r="O219" s="11"/>
      <c r="P219" s="7">
        <v>6633.89</v>
      </c>
      <c r="Q219" s="2"/>
      <c r="R219" s="6">
        <f t="shared" si="105"/>
        <v>3.6354935625488101E-3</v>
      </c>
      <c r="S219" s="2"/>
      <c r="T219" s="7"/>
      <c r="U219" s="2"/>
      <c r="V219" s="6">
        <f t="shared" si="106"/>
        <v>0</v>
      </c>
      <c r="W219" s="2"/>
      <c r="X219" s="7">
        <f t="shared" si="107"/>
        <v>6633.89</v>
      </c>
      <c r="Y219" s="2"/>
      <c r="Z219" s="6">
        <f t="shared" si="108"/>
        <v>0</v>
      </c>
    </row>
    <row r="220" spans="1:26" s="24" customFormat="1" hidden="1" outlineLevel="2" x14ac:dyDescent="0.25">
      <c r="A220" s="29"/>
      <c r="B220" s="11" t="str">
        <f>CONCATENATE("          ", "6237", " - ", "JANITORIAL SUPPLIES")</f>
        <v xml:space="preserve">          6237 - JANITORIAL SUPPLIES</v>
      </c>
      <c r="C220" s="11"/>
      <c r="D220" s="7"/>
      <c r="E220" s="2"/>
      <c r="F220" s="6">
        <f t="shared" si="101"/>
        <v>0</v>
      </c>
      <c r="G220" s="2"/>
      <c r="H220" s="7">
        <v>326.57</v>
      </c>
      <c r="I220" s="2"/>
      <c r="J220" s="6">
        <f t="shared" si="102"/>
        <v>1.2081735573409021E-4</v>
      </c>
      <c r="K220" s="2"/>
      <c r="L220" s="7">
        <f t="shared" si="103"/>
        <v>-326.57</v>
      </c>
      <c r="M220" s="2"/>
      <c r="N220" s="6">
        <f t="shared" si="104"/>
        <v>-1</v>
      </c>
      <c r="O220" s="11"/>
      <c r="P220" s="7">
        <v>139.31</v>
      </c>
      <c r="Q220" s="2"/>
      <c r="R220" s="6">
        <f t="shared" si="105"/>
        <v>7.6344438662485323E-5</v>
      </c>
      <c r="S220" s="2"/>
      <c r="T220" s="7">
        <v>775.4</v>
      </c>
      <c r="U220" s="2"/>
      <c r="V220" s="6">
        <f t="shared" si="106"/>
        <v>2.5381806744501203E-4</v>
      </c>
      <c r="W220" s="2"/>
      <c r="X220" s="7">
        <f t="shared" si="107"/>
        <v>-636.08999999999992</v>
      </c>
      <c r="Y220" s="2"/>
      <c r="Z220" s="6">
        <f t="shared" si="108"/>
        <v>-0.82033789012122771</v>
      </c>
    </row>
    <row r="221" spans="1:26" s="24" customFormat="1" hidden="1" outlineLevel="2" x14ac:dyDescent="0.25">
      <c r="A221" s="29"/>
      <c r="B221" s="11" t="str">
        <f>CONCATENATE("          ", "6241", " - ", "OFFICE EXPENSE")</f>
        <v xml:space="preserve">          6241 - OFFICE EXPENSE</v>
      </c>
      <c r="C221" s="11"/>
      <c r="D221" s="7">
        <v>2293.5100000000002</v>
      </c>
      <c r="E221" s="2"/>
      <c r="F221" s="6">
        <f t="shared" si="101"/>
        <v>1.436056376340829E-3</v>
      </c>
      <c r="G221" s="2"/>
      <c r="H221" s="7">
        <v>4619.84</v>
      </c>
      <c r="I221" s="2"/>
      <c r="J221" s="6">
        <f t="shared" si="102"/>
        <v>1.7091491953167141E-3</v>
      </c>
      <c r="K221" s="2"/>
      <c r="L221" s="7">
        <f t="shared" si="103"/>
        <v>-2326.33</v>
      </c>
      <c r="M221" s="2"/>
      <c r="N221" s="6">
        <f t="shared" si="104"/>
        <v>-0.50355207106739619</v>
      </c>
      <c r="O221" s="11"/>
      <c r="P221" s="7">
        <v>2723.92</v>
      </c>
      <c r="Q221" s="2"/>
      <c r="R221" s="6">
        <f t="shared" si="105"/>
        <v>1.4927581893727443E-3</v>
      </c>
      <c r="S221" s="2"/>
      <c r="T221" s="7">
        <v>7017.51</v>
      </c>
      <c r="U221" s="2"/>
      <c r="V221" s="6">
        <f t="shared" si="106"/>
        <v>2.2970993377302638E-3</v>
      </c>
      <c r="W221" s="2"/>
      <c r="X221" s="7">
        <f t="shared" si="107"/>
        <v>-4293.59</v>
      </c>
      <c r="Y221" s="2"/>
      <c r="Z221" s="6">
        <f t="shared" si="108"/>
        <v>-0.61183952712571843</v>
      </c>
    </row>
    <row r="222" spans="1:26" s="24" customFormat="1" hidden="1" outlineLevel="2" x14ac:dyDescent="0.25">
      <c r="A222" s="29"/>
      <c r="B222" s="11" t="str">
        <f>CONCATENATE("          ", "6243", " - ", "PAPER SUPPLIES")</f>
        <v xml:space="preserve">          6243 - PAPER SUPPLIES</v>
      </c>
      <c r="C222" s="11"/>
      <c r="D222" s="7">
        <v>2044.69</v>
      </c>
      <c r="E222" s="2"/>
      <c r="F222" s="6">
        <f t="shared" si="101"/>
        <v>1.2802604358125012E-3</v>
      </c>
      <c r="G222" s="2"/>
      <c r="H222" s="7">
        <v>1496.95</v>
      </c>
      <c r="I222" s="2"/>
      <c r="J222" s="6">
        <f t="shared" si="102"/>
        <v>5.5380941502938526E-4</v>
      </c>
      <c r="K222" s="2"/>
      <c r="L222" s="7">
        <f t="shared" si="103"/>
        <v>547.74</v>
      </c>
      <c r="M222" s="2"/>
      <c r="N222" s="6">
        <f t="shared" si="104"/>
        <v>0.36590400480977986</v>
      </c>
      <c r="O222" s="11"/>
      <c r="P222" s="7">
        <v>3124.69</v>
      </c>
      <c r="Q222" s="2"/>
      <c r="R222" s="6">
        <f t="shared" si="105"/>
        <v>1.7123875101879352E-3</v>
      </c>
      <c r="S222" s="2"/>
      <c r="T222" s="7">
        <v>2658.29</v>
      </c>
      <c r="U222" s="2"/>
      <c r="V222" s="6">
        <f t="shared" si="106"/>
        <v>8.7015995680732663E-4</v>
      </c>
      <c r="W222" s="2"/>
      <c r="X222" s="7">
        <f t="shared" si="107"/>
        <v>466.40000000000009</v>
      </c>
      <c r="Y222" s="2"/>
      <c r="Z222" s="6">
        <f t="shared" si="108"/>
        <v>0.17545113588058492</v>
      </c>
    </row>
    <row r="223" spans="1:26" s="24" customFormat="1" hidden="1" outlineLevel="2" x14ac:dyDescent="0.25">
      <c r="A223" s="29"/>
      <c r="B223" s="11" t="str">
        <f>CONCATENATE("          ", "6245", " - ", "PRINTING")</f>
        <v xml:space="preserve">          6245 - PRINTING</v>
      </c>
      <c r="C223" s="11"/>
      <c r="D223" s="7">
        <v>1248</v>
      </c>
      <c r="E223" s="2"/>
      <c r="F223" s="6">
        <f t="shared" si="101"/>
        <v>7.8142164528314877E-4</v>
      </c>
      <c r="G223" s="2"/>
      <c r="H223" s="7">
        <v>4985.1099999999997</v>
      </c>
      <c r="I223" s="2"/>
      <c r="J223" s="6">
        <f t="shared" si="102"/>
        <v>1.8442839459949486E-3</v>
      </c>
      <c r="K223" s="2"/>
      <c r="L223" s="7">
        <f t="shared" si="103"/>
        <v>-3737.1099999999997</v>
      </c>
      <c r="M223" s="2"/>
      <c r="N223" s="6">
        <f t="shared" si="104"/>
        <v>-0.74965447101468174</v>
      </c>
      <c r="O223" s="11"/>
      <c r="P223" s="7">
        <v>-295.5</v>
      </c>
      <c r="Q223" s="2"/>
      <c r="R223" s="6">
        <f t="shared" si="105"/>
        <v>-1.6193942735456471E-4</v>
      </c>
      <c r="S223" s="2"/>
      <c r="T223" s="7">
        <v>4985.1099999999997</v>
      </c>
      <c r="U223" s="2"/>
      <c r="V223" s="6">
        <f t="shared" si="106"/>
        <v>1.6318171088480834E-3</v>
      </c>
      <c r="W223" s="2"/>
      <c r="X223" s="7">
        <f t="shared" si="107"/>
        <v>-5280.61</v>
      </c>
      <c r="Y223" s="2"/>
      <c r="Z223" s="6">
        <f t="shared" si="108"/>
        <v>-1.059276525492918</v>
      </c>
    </row>
    <row r="224" spans="1:26" s="24" customFormat="1" hidden="1" outlineLevel="2" x14ac:dyDescent="0.25">
      <c r="A224" s="29"/>
      <c r="B224" s="11" t="str">
        <f>CONCATENATE("          ", "6247", " - ", "STORE SUPPLIES")</f>
        <v xml:space="preserve">          6247 - STORE SUPPLIES</v>
      </c>
      <c r="C224" s="11"/>
      <c r="D224" s="7">
        <v>1810.04</v>
      </c>
      <c r="E224" s="2"/>
      <c r="F224" s="6">
        <f t="shared" si="101"/>
        <v>1.133336886881659E-3</v>
      </c>
      <c r="G224" s="2"/>
      <c r="H224" s="7">
        <v>-6939.2</v>
      </c>
      <c r="I224" s="2"/>
      <c r="J224" s="6">
        <f t="shared" si="102"/>
        <v>-2.5672162014575704E-3</v>
      </c>
      <c r="K224" s="2"/>
      <c r="L224" s="7">
        <f t="shared" si="103"/>
        <v>8749.24</v>
      </c>
      <c r="M224" s="2"/>
      <c r="N224" s="6">
        <f t="shared" si="104"/>
        <v>-1.2608427484436247</v>
      </c>
      <c r="O224" s="11"/>
      <c r="P224" s="7">
        <v>7211.63</v>
      </c>
      <c r="Q224" s="2"/>
      <c r="R224" s="6">
        <f t="shared" si="105"/>
        <v>3.9521056937157342E-3</v>
      </c>
      <c r="S224" s="2"/>
      <c r="T224" s="7">
        <v>-4703.59</v>
      </c>
      <c r="U224" s="2"/>
      <c r="V224" s="6">
        <f t="shared" si="106"/>
        <v>-1.5396648489214395E-3</v>
      </c>
      <c r="W224" s="2"/>
      <c r="X224" s="7">
        <f t="shared" si="107"/>
        <v>11915.220000000001</v>
      </c>
      <c r="Y224" s="2"/>
      <c r="Z224" s="6">
        <f t="shared" si="108"/>
        <v>-2.5332182439370778</v>
      </c>
    </row>
    <row r="225" spans="1:26" s="28" customFormat="1" outlineLevel="1" collapsed="1" x14ac:dyDescent="0.25">
      <c r="A225" s="27"/>
      <c r="B225" s="14" t="str">
        <f>CONCATENATE("     ","Telephone/Data Lines                              ")</f>
        <v xml:space="preserve">     Telephone/Data Lines                              </v>
      </c>
      <c r="C225" s="14"/>
      <c r="D225" s="1">
        <f>SUM(OSRRefD22_21x_0)</f>
        <v>2097</v>
      </c>
      <c r="E225" s="1"/>
      <c r="F225" s="5">
        <f t="shared" ref="F225:F227" si="109">IF(D$12=0,0,D225/D$12)</f>
        <v>1.3130137741656754E-3</v>
      </c>
      <c r="G225" s="1"/>
      <c r="H225" s="1">
        <f>SUM(OSRRefH22_21x_0)</f>
        <v>2628.1</v>
      </c>
      <c r="I225" s="1"/>
      <c r="J225" s="5">
        <f t="shared" ref="J225:J227" si="110">IF(H$12=0,0,H225/H$12)</f>
        <v>9.7228800136192075E-4</v>
      </c>
      <c r="K225" s="1"/>
      <c r="L225" s="1">
        <f t="shared" ref="L225:L227" si="111">+D225-H225</f>
        <v>-531.09999999999991</v>
      </c>
      <c r="M225" s="1"/>
      <c r="N225" s="5">
        <f t="shared" ref="N225:N227" si="112">IF(H225=0,0,L225/H225)</f>
        <v>-0.20208515657699477</v>
      </c>
      <c r="O225" s="14"/>
      <c r="P225" s="1">
        <f>SUM(OSRRefP22_21x_0)</f>
        <v>4470.25</v>
      </c>
      <c r="Q225" s="1"/>
      <c r="R225" s="5">
        <f t="shared" ref="R225:R227" si="113">IF(P$12=0,0,P225/P$12)</f>
        <v>2.4497791036607207E-3</v>
      </c>
      <c r="S225" s="1"/>
      <c r="T225" s="1">
        <f>SUM(OSRRefT22_21x_0)</f>
        <v>4417.37</v>
      </c>
      <c r="U225" s="1"/>
      <c r="V225" s="5">
        <f t="shared" ref="V225:V227" si="114">IF(T$12=0,0,T225/T$12)</f>
        <v>1.4459740992901378E-3</v>
      </c>
      <c r="W225" s="1"/>
      <c r="X225" s="1">
        <f t="shared" ref="X225:X227" si="115">+P225-T225</f>
        <v>52.880000000000109</v>
      </c>
      <c r="Y225" s="1"/>
      <c r="Z225" s="5">
        <f t="shared" ref="Z225:Z227" si="116">IF(T225=0,0,X225/T225)</f>
        <v>1.1970923875518716E-2</v>
      </c>
    </row>
    <row r="226" spans="1:26" s="24" customFormat="1" hidden="1" outlineLevel="2" x14ac:dyDescent="0.25">
      <c r="A226" s="29"/>
      <c r="B226" s="11" t="str">
        <f>CONCATENATE("          ", "6303", " - ", "DATA PHONE LINES")</f>
        <v xml:space="preserve">          6303 - DATA PHONE LINES</v>
      </c>
      <c r="C226" s="11"/>
      <c r="D226" s="7"/>
      <c r="E226" s="2"/>
      <c r="F226" s="6">
        <f t="shared" si="109"/>
        <v>0</v>
      </c>
      <c r="G226" s="2"/>
      <c r="H226" s="7">
        <v>295</v>
      </c>
      <c r="I226" s="2"/>
      <c r="J226" s="6">
        <f t="shared" si="110"/>
        <v>1.0913776507810457E-4</v>
      </c>
      <c r="K226" s="2"/>
      <c r="L226" s="7">
        <f t="shared" si="111"/>
        <v>-295</v>
      </c>
      <c r="M226" s="2"/>
      <c r="N226" s="6">
        <f t="shared" si="112"/>
        <v>-1</v>
      </c>
      <c r="O226" s="11"/>
      <c r="P226" s="7">
        <v>295</v>
      </c>
      <c r="Q226" s="2"/>
      <c r="R226" s="6">
        <f t="shared" si="113"/>
        <v>1.6166541817122366E-4</v>
      </c>
      <c r="S226" s="2"/>
      <c r="T226" s="7">
        <v>590</v>
      </c>
      <c r="U226" s="2"/>
      <c r="V226" s="6">
        <f t="shared" si="114"/>
        <v>1.931295586697925E-4</v>
      </c>
      <c r="W226" s="2"/>
      <c r="X226" s="7">
        <f t="shared" si="115"/>
        <v>-295</v>
      </c>
      <c r="Y226" s="2"/>
      <c r="Z226" s="6">
        <f t="shared" si="116"/>
        <v>-0.5</v>
      </c>
    </row>
    <row r="227" spans="1:26" s="24" customFormat="1" hidden="1" outlineLevel="2" x14ac:dyDescent="0.25">
      <c r="A227" s="29"/>
      <c r="B227" s="11" t="str">
        <f>CONCATENATE("          ", "6309", " - ", "TELEPHONE")</f>
        <v xml:space="preserve">          6309 - TELEPHONE</v>
      </c>
      <c r="C227" s="11"/>
      <c r="D227" s="7">
        <v>2097</v>
      </c>
      <c r="E227" s="2"/>
      <c r="F227" s="6">
        <f t="shared" si="109"/>
        <v>1.3130137741656754E-3</v>
      </c>
      <c r="G227" s="2"/>
      <c r="H227" s="7">
        <v>2333.1</v>
      </c>
      <c r="I227" s="2"/>
      <c r="J227" s="6">
        <f t="shared" si="110"/>
        <v>8.6315023628381622E-4</v>
      </c>
      <c r="K227" s="2"/>
      <c r="L227" s="7">
        <f t="shared" si="111"/>
        <v>-236.09999999999991</v>
      </c>
      <c r="M227" s="2"/>
      <c r="N227" s="6">
        <f t="shared" si="112"/>
        <v>-0.10119583386910116</v>
      </c>
      <c r="O227" s="11"/>
      <c r="P227" s="7">
        <v>4175.25</v>
      </c>
      <c r="Q227" s="2"/>
      <c r="R227" s="6">
        <f t="shared" si="113"/>
        <v>2.2881136854894968E-3</v>
      </c>
      <c r="S227" s="2"/>
      <c r="T227" s="7">
        <v>3827.37</v>
      </c>
      <c r="U227" s="2"/>
      <c r="V227" s="6">
        <f t="shared" si="114"/>
        <v>1.2528445406203453E-3</v>
      </c>
      <c r="W227" s="2"/>
      <c r="X227" s="7">
        <f t="shared" si="115"/>
        <v>347.88000000000011</v>
      </c>
      <c r="Y227" s="2"/>
      <c r="Z227" s="6">
        <f t="shared" si="116"/>
        <v>9.0892701776938242E-2</v>
      </c>
    </row>
    <row r="228" spans="1:26" s="28" customFormat="1" outlineLevel="1" collapsed="1" x14ac:dyDescent="0.25">
      <c r="A228" s="27"/>
      <c r="B228" s="14" t="str">
        <f>CONCATENATE("     ","Training                                          ")</f>
        <v xml:space="preserve">     Training                                          </v>
      </c>
      <c r="C228" s="14"/>
      <c r="D228" s="1">
        <f>SUM(OSRRefD22_22x_0)</f>
        <v>0</v>
      </c>
      <c r="E228" s="1"/>
      <c r="F228" s="5">
        <f t="shared" ref="F228:F233" si="117">IF(D$12=0,0,D228/D$12)</f>
        <v>0</v>
      </c>
      <c r="G228" s="1"/>
      <c r="H228" s="1">
        <f>SUM(OSRRefH22_22x_0)</f>
        <v>6530.86</v>
      </c>
      <c r="I228" s="1"/>
      <c r="J228" s="5">
        <f t="shared" ref="J228:J233" si="118">IF(H$12=0,0,H228/H$12)</f>
        <v>2.4161473370779324E-3</v>
      </c>
      <c r="K228" s="1"/>
      <c r="L228" s="1">
        <f t="shared" ref="L228:L233" si="119">+D228-H228</f>
        <v>-6530.86</v>
      </c>
      <c r="M228" s="1"/>
      <c r="N228" s="5">
        <f t="shared" ref="N228:N233" si="120">IF(H228=0,0,L228/H228)</f>
        <v>-1</v>
      </c>
      <c r="O228" s="14"/>
      <c r="P228" s="1">
        <f>SUM(OSRRefP22_22x_0)</f>
        <v>131.63</v>
      </c>
      <c r="Q228" s="1"/>
      <c r="R228" s="5">
        <f t="shared" ref="R228:R233" si="121">IF(P$12=0,0,P228/P$12)</f>
        <v>7.2135657606366672E-5</v>
      </c>
      <c r="S228" s="1"/>
      <c r="T228" s="1">
        <f>SUM(OSRRefT22_22x_0)</f>
        <v>7322.53</v>
      </c>
      <c r="U228" s="1"/>
      <c r="V228" s="5">
        <f t="shared" ref="V228:V233" si="122">IF(T$12=0,0,T228/T$12)</f>
        <v>2.3969440461801958E-3</v>
      </c>
      <c r="W228" s="1"/>
      <c r="X228" s="1">
        <f t="shared" ref="X228:X233" si="123">+P228-T228</f>
        <v>-7190.9</v>
      </c>
      <c r="Y228" s="1"/>
      <c r="Z228" s="5">
        <f t="shared" ref="Z228:Z233" si="124">IF(T228=0,0,X228/T228)</f>
        <v>-0.9820239725887091</v>
      </c>
    </row>
    <row r="229" spans="1:26" s="24" customFormat="1" hidden="1" outlineLevel="2" x14ac:dyDescent="0.25">
      <c r="A229" s="29"/>
      <c r="B229" s="11" t="str">
        <f>CONCATENATE("          ", "6376", " - ", "TRAINING")</f>
        <v xml:space="preserve">          6376 - TRAINING</v>
      </c>
      <c r="C229" s="11"/>
      <c r="D229" s="7"/>
      <c r="E229" s="2"/>
      <c r="F229" s="6">
        <f t="shared" si="117"/>
        <v>0</v>
      </c>
      <c r="G229" s="2"/>
      <c r="H229" s="7">
        <v>6530.86</v>
      </c>
      <c r="I229" s="2"/>
      <c r="J229" s="6">
        <f t="shared" si="118"/>
        <v>2.4161473370779324E-3</v>
      </c>
      <c r="K229" s="2"/>
      <c r="L229" s="7">
        <f t="shared" si="119"/>
        <v>-6530.86</v>
      </c>
      <c r="M229" s="2"/>
      <c r="N229" s="6">
        <f t="shared" si="120"/>
        <v>-1</v>
      </c>
      <c r="O229" s="11"/>
      <c r="P229" s="7">
        <v>131.63</v>
      </c>
      <c r="Q229" s="2"/>
      <c r="R229" s="6">
        <f t="shared" si="121"/>
        <v>7.2135657606366672E-5</v>
      </c>
      <c r="S229" s="2"/>
      <c r="T229" s="7">
        <v>7322.53</v>
      </c>
      <c r="U229" s="2"/>
      <c r="V229" s="6">
        <f t="shared" si="122"/>
        <v>2.3969440461801958E-3</v>
      </c>
      <c r="W229" s="2"/>
      <c r="X229" s="7">
        <f t="shared" si="123"/>
        <v>-7190.9</v>
      </c>
      <c r="Y229" s="2"/>
      <c r="Z229" s="6">
        <f t="shared" si="124"/>
        <v>-0.9820239725887091</v>
      </c>
    </row>
    <row r="230" spans="1:26" s="28" customFormat="1" outlineLevel="1" collapsed="1" x14ac:dyDescent="0.25">
      <c r="A230" s="27"/>
      <c r="B230" s="14" t="str">
        <f>CONCATENATE("     ","Travel                                            ")</f>
        <v xml:space="preserve">     Travel                                            </v>
      </c>
      <c r="C230" s="14"/>
      <c r="D230" s="1">
        <f>SUM(OSRRefD22_23x_0)</f>
        <v>25.76</v>
      </c>
      <c r="E230" s="1"/>
      <c r="F230" s="5">
        <f t="shared" si="117"/>
        <v>1.6129344216741916E-5</v>
      </c>
      <c r="G230" s="1"/>
      <c r="H230" s="1">
        <f>SUM(OSRRefH22_23x_0)</f>
        <v>184.35</v>
      </c>
      <c r="I230" s="1"/>
      <c r="J230" s="5">
        <f t="shared" si="118"/>
        <v>6.820185421067315E-5</v>
      </c>
      <c r="K230" s="1"/>
      <c r="L230" s="1">
        <f t="shared" si="119"/>
        <v>-158.59</v>
      </c>
      <c r="M230" s="1"/>
      <c r="N230" s="5">
        <f t="shared" si="120"/>
        <v>-0.8602657987523733</v>
      </c>
      <c r="O230" s="14"/>
      <c r="P230" s="1">
        <f>SUM(OSRRefP22_23x_0)</f>
        <v>300.96999999999997</v>
      </c>
      <c r="Q230" s="1"/>
      <c r="R230" s="5">
        <f t="shared" si="121"/>
        <v>1.6493708782031586E-4</v>
      </c>
      <c r="S230" s="1"/>
      <c r="T230" s="1">
        <f>SUM(OSRRefT22_23x_0)</f>
        <v>406.03</v>
      </c>
      <c r="U230" s="1"/>
      <c r="V230" s="5">
        <f t="shared" si="122"/>
        <v>1.3290914357067091E-4</v>
      </c>
      <c r="W230" s="1"/>
      <c r="X230" s="1">
        <f t="shared" si="123"/>
        <v>-105.06</v>
      </c>
      <c r="Y230" s="1"/>
      <c r="Z230" s="5">
        <f t="shared" si="124"/>
        <v>-0.25874935349604711</v>
      </c>
    </row>
    <row r="231" spans="1:26" s="24" customFormat="1" hidden="1" outlineLevel="2" x14ac:dyDescent="0.25">
      <c r="A231" s="29"/>
      <c r="B231" s="11" t="str">
        <f>CONCATENATE("          ", "6292", " - ", "TRAVEL/CONFERENCE")</f>
        <v xml:space="preserve">          6292 - TRAVEL/CONFERENCE</v>
      </c>
      <c r="C231" s="11"/>
      <c r="D231" s="7"/>
      <c r="E231" s="2"/>
      <c r="F231" s="6">
        <f t="shared" si="117"/>
        <v>0</v>
      </c>
      <c r="G231" s="2"/>
      <c r="H231" s="7">
        <v>100.16</v>
      </c>
      <c r="I231" s="2"/>
      <c r="J231" s="6">
        <f t="shared" si="118"/>
        <v>3.7055045932959168E-5</v>
      </c>
      <c r="K231" s="2"/>
      <c r="L231" s="7">
        <f t="shared" si="119"/>
        <v>-100.16</v>
      </c>
      <c r="M231" s="2"/>
      <c r="N231" s="6">
        <f t="shared" si="120"/>
        <v>-1</v>
      </c>
      <c r="O231" s="11"/>
      <c r="P231" s="7">
        <v>0.16</v>
      </c>
      <c r="Q231" s="2"/>
      <c r="R231" s="6">
        <f t="shared" si="121"/>
        <v>8.7682938669138259E-8</v>
      </c>
      <c r="S231" s="2"/>
      <c r="T231" s="7">
        <v>250.64</v>
      </c>
      <c r="U231" s="2"/>
      <c r="V231" s="6">
        <f t="shared" si="122"/>
        <v>8.2044055228808115E-5</v>
      </c>
      <c r="W231" s="2"/>
      <c r="X231" s="7">
        <f t="shared" si="123"/>
        <v>-250.48</v>
      </c>
      <c r="Y231" s="2"/>
      <c r="Z231" s="6">
        <f t="shared" si="124"/>
        <v>-0.999361634216406</v>
      </c>
    </row>
    <row r="232" spans="1:26" s="24" customFormat="1" hidden="1" outlineLevel="2" x14ac:dyDescent="0.25">
      <c r="A232" s="29"/>
      <c r="B232" s="11" t="str">
        <f>CONCATENATE("          ", "6294", " - ", "TRAVEL OPERATIONAL")</f>
        <v xml:space="preserve">          6294 - TRAVEL OPERATIONAL</v>
      </c>
      <c r="C232" s="11"/>
      <c r="D232" s="7">
        <v>25.76</v>
      </c>
      <c r="E232" s="2"/>
      <c r="F232" s="6">
        <f t="shared" si="117"/>
        <v>1.6129344216741916E-5</v>
      </c>
      <c r="G232" s="2"/>
      <c r="H232" s="7">
        <v>68.67</v>
      </c>
      <c r="I232" s="2"/>
      <c r="J232" s="6">
        <f t="shared" si="118"/>
        <v>2.5405051959028614E-5</v>
      </c>
      <c r="K232" s="2"/>
      <c r="L232" s="7">
        <f t="shared" si="119"/>
        <v>-42.91</v>
      </c>
      <c r="M232" s="2"/>
      <c r="N232" s="6">
        <f t="shared" si="120"/>
        <v>-0.62487257900101933</v>
      </c>
      <c r="O232" s="11"/>
      <c r="P232" s="7">
        <v>240.92</v>
      </c>
      <c r="Q232" s="2"/>
      <c r="R232" s="6">
        <f t="shared" si="121"/>
        <v>1.3202858490105493E-4</v>
      </c>
      <c r="S232" s="2"/>
      <c r="T232" s="7">
        <v>68.67</v>
      </c>
      <c r="U232" s="2"/>
      <c r="V232" s="6">
        <f t="shared" si="122"/>
        <v>2.2478316599753647E-5</v>
      </c>
      <c r="W232" s="2"/>
      <c r="X232" s="7">
        <f t="shared" si="123"/>
        <v>172.25</v>
      </c>
      <c r="Y232" s="2"/>
      <c r="Z232" s="6">
        <f t="shared" si="124"/>
        <v>2.5083733799330128</v>
      </c>
    </row>
    <row r="233" spans="1:26" s="24" customFormat="1" hidden="1" outlineLevel="2" x14ac:dyDescent="0.25">
      <c r="A233" s="29"/>
      <c r="B233" s="11" t="str">
        <f>CONCATENATE("          ", "6298", " - ", "VEHICLE MILEAGE")</f>
        <v xml:space="preserve">          6298 - VEHICLE MILEAGE</v>
      </c>
      <c r="C233" s="11"/>
      <c r="D233" s="7"/>
      <c r="E233" s="2"/>
      <c r="F233" s="6">
        <f t="shared" si="117"/>
        <v>0</v>
      </c>
      <c r="G233" s="2"/>
      <c r="H233" s="7">
        <v>15.52</v>
      </c>
      <c r="I233" s="2"/>
      <c r="J233" s="6">
        <f t="shared" si="118"/>
        <v>5.7417563186853657E-6</v>
      </c>
      <c r="K233" s="2"/>
      <c r="L233" s="7">
        <f t="shared" si="119"/>
        <v>-15.52</v>
      </c>
      <c r="M233" s="2"/>
      <c r="N233" s="6">
        <f t="shared" si="120"/>
        <v>-1</v>
      </c>
      <c r="O233" s="11"/>
      <c r="P233" s="7">
        <v>59.89</v>
      </c>
      <c r="Q233" s="2"/>
      <c r="R233" s="6">
        <f t="shared" si="121"/>
        <v>3.2820819980591816E-5</v>
      </c>
      <c r="S233" s="2"/>
      <c r="T233" s="7">
        <v>86.72</v>
      </c>
      <c r="U233" s="2"/>
      <c r="V233" s="6">
        <f t="shared" si="122"/>
        <v>2.8386771742109161E-5</v>
      </c>
      <c r="W233" s="2"/>
      <c r="X233" s="7">
        <f t="shared" si="123"/>
        <v>-26.83</v>
      </c>
      <c r="Y233" s="2"/>
      <c r="Z233" s="6">
        <f t="shared" si="124"/>
        <v>-0.30938653136531363</v>
      </c>
    </row>
    <row r="234" spans="1:26" s="28" customFormat="1" outlineLevel="1" collapsed="1" x14ac:dyDescent="0.25">
      <c r="A234" s="27"/>
      <c r="B234" s="14" t="str">
        <f>CONCATENATE("     ","Utilities                                         ")</f>
        <v xml:space="preserve">     Utilities                                         </v>
      </c>
      <c r="C234" s="14"/>
      <c r="D234" s="1">
        <f>SUM(OSRRefD22_24x_0)</f>
        <v>6159.91</v>
      </c>
      <c r="E234" s="1"/>
      <c r="F234" s="5">
        <f t="shared" ref="F234:F235" si="125">IF(D$12=0,0,D234/D$12)</f>
        <v>3.8569607427853532E-3</v>
      </c>
      <c r="G234" s="1"/>
      <c r="H234" s="1">
        <f>SUM(OSRRefH22_24x_0)</f>
        <v>53.78</v>
      </c>
      <c r="I234" s="1"/>
      <c r="J234" s="5">
        <f t="shared" ref="J234:J235" si="126">IF(H$12=0,0,H234/H$12)</f>
        <v>1.9896369511526998E-5</v>
      </c>
      <c r="K234" s="1"/>
      <c r="L234" s="1">
        <f t="shared" ref="L234:L235" si="127">+D234-H234</f>
        <v>6106.13</v>
      </c>
      <c r="M234" s="1"/>
      <c r="N234" s="5">
        <f t="shared" ref="N234:N235" si="128">IF(H234=0,0,L234/H234)</f>
        <v>113.53904797322424</v>
      </c>
      <c r="O234" s="14"/>
      <c r="P234" s="1">
        <f>SUM(OSRRefP22_24x_0)</f>
        <v>12321.37</v>
      </c>
      <c r="Q234" s="1"/>
      <c r="R234" s="5">
        <f t="shared" ref="R234:R235" si="129">IF(P$12=0,0,P234/P$12)</f>
        <v>6.7523370626860011E-3</v>
      </c>
      <c r="S234" s="1"/>
      <c r="T234" s="1">
        <f>SUM(OSRRefT22_24x_0)</f>
        <v>5689.78</v>
      </c>
      <c r="U234" s="1"/>
      <c r="V234" s="5">
        <f t="shared" ref="V234:V235" si="130">IF(T$12=0,0,T234/T$12)</f>
        <v>1.8624825429291727E-3</v>
      </c>
      <c r="W234" s="1"/>
      <c r="X234" s="1">
        <f t="shared" ref="X234:X235" si="131">+P234-T234</f>
        <v>6631.5900000000011</v>
      </c>
      <c r="Y234" s="1"/>
      <c r="Z234" s="5">
        <f t="shared" ref="Z234:Z235" si="132">IF(T234=0,0,X234/T234)</f>
        <v>1.1655266108707194</v>
      </c>
    </row>
    <row r="235" spans="1:26" s="24" customFormat="1" hidden="1" outlineLevel="2" x14ac:dyDescent="0.25">
      <c r="A235" s="29"/>
      <c r="B235" s="11" t="str">
        <f>CONCATENATE("          ", "6274", " - ", "UTILITIES")</f>
        <v xml:space="preserve">          6274 - UTILITIES</v>
      </c>
      <c r="C235" s="11"/>
      <c r="D235" s="7">
        <v>6159.91</v>
      </c>
      <c r="E235" s="2"/>
      <c r="F235" s="6">
        <f t="shared" si="125"/>
        <v>3.8569607427853532E-3</v>
      </c>
      <c r="G235" s="2"/>
      <c r="H235" s="7">
        <v>53.78</v>
      </c>
      <c r="I235" s="2"/>
      <c r="J235" s="6">
        <f t="shared" si="126"/>
        <v>1.9896369511526998E-5</v>
      </c>
      <c r="K235" s="2"/>
      <c r="L235" s="7">
        <f t="shared" si="127"/>
        <v>6106.13</v>
      </c>
      <c r="M235" s="2"/>
      <c r="N235" s="6">
        <f t="shared" si="128"/>
        <v>113.53904797322424</v>
      </c>
      <c r="O235" s="11"/>
      <c r="P235" s="7">
        <v>12321.37</v>
      </c>
      <c r="Q235" s="2"/>
      <c r="R235" s="6">
        <f t="shared" si="129"/>
        <v>6.7523370626860011E-3</v>
      </c>
      <c r="S235" s="2"/>
      <c r="T235" s="7">
        <v>5689.78</v>
      </c>
      <c r="U235" s="2"/>
      <c r="V235" s="6">
        <f t="shared" si="130"/>
        <v>1.8624825429291727E-3</v>
      </c>
      <c r="W235" s="2"/>
      <c r="X235" s="7">
        <f t="shared" si="131"/>
        <v>6631.5900000000011</v>
      </c>
      <c r="Y235" s="2"/>
      <c r="Z235" s="6">
        <f t="shared" si="132"/>
        <v>1.1655266108707194</v>
      </c>
    </row>
    <row r="236" spans="1:26" s="52" customFormat="1" x14ac:dyDescent="0.25">
      <c r="A236" s="37"/>
      <c r="B236" s="37"/>
      <c r="C236" s="37"/>
      <c r="D236" s="1"/>
      <c r="E236" s="1"/>
      <c r="F236" s="5"/>
      <c r="G236" s="1"/>
      <c r="H236" s="1"/>
      <c r="I236" s="1"/>
      <c r="J236" s="5"/>
      <c r="K236" s="1"/>
      <c r="L236" s="1"/>
      <c r="M236" s="1"/>
      <c r="N236" s="5"/>
      <c r="O236" s="37"/>
      <c r="P236" s="1"/>
      <c r="Q236" s="1"/>
      <c r="R236" s="5"/>
      <c r="S236" s="1"/>
      <c r="T236" s="1"/>
      <c r="U236" s="1"/>
      <c r="V236" s="5"/>
      <c r="W236" s="1"/>
      <c r="X236" s="1"/>
      <c r="Y236" s="1"/>
      <c r="Z236" s="5"/>
    </row>
    <row r="237" spans="1:26" s="23" customFormat="1" collapsed="1" x14ac:dyDescent="0.25">
      <c r="A237" s="10"/>
      <c r="B237" s="25" t="s">
        <v>0</v>
      </c>
      <c r="C237" s="10"/>
      <c r="D237" s="4">
        <f>SUM(OSRRefD25x_0)</f>
        <v>56868.1</v>
      </c>
      <c r="E237" s="4"/>
      <c r="F237" s="12">
        <f t="shared" ref="F237:F245" si="133">IF(D$12=0,0,D237/D$12)</f>
        <v>3.5607343161960438E-2</v>
      </c>
      <c r="G237" s="4"/>
      <c r="H237" s="4">
        <f>SUM(OSRRefH25x_0)</f>
        <v>50335.740000000005</v>
      </c>
      <c r="I237" s="4"/>
      <c r="J237" s="12">
        <f t="shared" ref="J237:J245" si="134">IF(H$12=0,0,H237/H$12)</f>
        <v>1.862213615983916E-2</v>
      </c>
      <c r="K237" s="4"/>
      <c r="L237" s="4">
        <f t="shared" ref="L237:L245" si="135">+D237-H237</f>
        <v>6532.3599999999933</v>
      </c>
      <c r="M237" s="4"/>
      <c r="N237" s="12">
        <f t="shared" ref="N237:N245" si="136">IF(H237=0,0,L237/H237)</f>
        <v>0.12977578158183414</v>
      </c>
      <c r="O237" s="10"/>
      <c r="P237" s="4">
        <f>SUM(OSRRefP25x_0)</f>
        <v>254740.65</v>
      </c>
      <c r="Q237" s="4"/>
      <c r="R237" s="12">
        <f t="shared" ref="R237:R245" si="137">IF(P$12=0,0,P237/P$12)</f>
        <v>0.13960255494054008</v>
      </c>
      <c r="S237" s="4"/>
      <c r="T237" s="4">
        <f>SUM(OSRRefT25x_0)</f>
        <v>121202.85</v>
      </c>
      <c r="U237" s="4"/>
      <c r="V237" s="12">
        <f t="shared" ref="V237:V245" si="138">IF(T$12=0,0,T237/T$12)</f>
        <v>3.9674327000035696E-2</v>
      </c>
      <c r="W237" s="4"/>
      <c r="X237" s="4">
        <f t="shared" ref="X237:X245" si="139">+P237-T237</f>
        <v>133537.79999999999</v>
      </c>
      <c r="Y237" s="4"/>
      <c r="Z237" s="12">
        <f t="shared" ref="Z237:Z245" si="140">IF(T237=0,0,X237/T237)</f>
        <v>1.1017711217186723</v>
      </c>
    </row>
    <row r="238" spans="1:26" s="24" customFormat="1" hidden="1" outlineLevel="1" x14ac:dyDescent="0.25">
      <c r="A238" s="44"/>
      <c r="B238" s="11" t="str">
        <f>CONCATENATE("          ", "4098", " - ", "TAXABLE SALES-GRAD RENTALS")</f>
        <v xml:space="preserve">          4098 - TAXABLE SALES-GRAD RENTALS</v>
      </c>
      <c r="C238" s="11"/>
      <c r="D238" s="2">
        <f t="shared" ref="D238:D240" si="141">0</f>
        <v>0</v>
      </c>
      <c r="E238" s="2"/>
      <c r="F238" s="19">
        <f t="shared" si="133"/>
        <v>0</v>
      </c>
      <c r="G238" s="2"/>
      <c r="H238" s="2">
        <f>--1552.15</f>
        <v>1552.15</v>
      </c>
      <c r="I238" s="2"/>
      <c r="J238" s="19">
        <f t="shared" si="134"/>
        <v>5.7423112564738987E-4</v>
      </c>
      <c r="K238" s="2"/>
      <c r="L238" s="2">
        <f t="shared" si="135"/>
        <v>-1552.15</v>
      </c>
      <c r="M238" s="2"/>
      <c r="N238" s="19">
        <f t="shared" si="136"/>
        <v>-1</v>
      </c>
      <c r="O238" s="11"/>
      <c r="P238" s="2">
        <f t="shared" ref="P238:P240" si="142">0</f>
        <v>0</v>
      </c>
      <c r="Q238" s="2"/>
      <c r="R238" s="19">
        <f t="shared" si="137"/>
        <v>0</v>
      </c>
      <c r="S238" s="2"/>
      <c r="T238" s="2">
        <f>--1626.85</f>
        <v>1626.85</v>
      </c>
      <c r="U238" s="2"/>
      <c r="V238" s="19">
        <f t="shared" si="138"/>
        <v>5.3253020766432521E-4</v>
      </c>
      <c r="W238" s="2"/>
      <c r="X238" s="2">
        <f t="shared" si="139"/>
        <v>-1626.85</v>
      </c>
      <c r="Y238" s="2"/>
      <c r="Z238" s="19">
        <f t="shared" si="140"/>
        <v>-1</v>
      </c>
    </row>
    <row r="239" spans="1:26" s="24" customFormat="1" hidden="1" outlineLevel="1" x14ac:dyDescent="0.25">
      <c r="A239" s="44"/>
      <c r="B239" s="11" t="str">
        <f>CONCATENATE("          ", "4197", " - ", "NON-TAXABLE SALES-RETURNED CHE")</f>
        <v xml:space="preserve">          4197 - NON-TAXABLE SALES-RETURNED CHE</v>
      </c>
      <c r="C239" s="11"/>
      <c r="D239" s="2">
        <f t="shared" si="141"/>
        <v>0</v>
      </c>
      <c r="E239" s="2"/>
      <c r="F239" s="19">
        <f t="shared" si="133"/>
        <v>0</v>
      </c>
      <c r="G239" s="2"/>
      <c r="H239" s="2">
        <f>--30</f>
        <v>30</v>
      </c>
      <c r="I239" s="2"/>
      <c r="J239" s="19">
        <f t="shared" si="134"/>
        <v>1.1098755770654702E-5</v>
      </c>
      <c r="K239" s="2"/>
      <c r="L239" s="2">
        <f t="shared" si="135"/>
        <v>-30</v>
      </c>
      <c r="M239" s="2"/>
      <c r="N239" s="19">
        <f t="shared" si="136"/>
        <v>-1</v>
      </c>
      <c r="O239" s="11"/>
      <c r="P239" s="2">
        <f t="shared" si="142"/>
        <v>0</v>
      </c>
      <c r="Q239" s="2"/>
      <c r="R239" s="19">
        <f t="shared" si="137"/>
        <v>0</v>
      </c>
      <c r="S239" s="2"/>
      <c r="T239" s="2">
        <f>--30</f>
        <v>30</v>
      </c>
      <c r="U239" s="2"/>
      <c r="V239" s="19">
        <f t="shared" si="138"/>
        <v>9.8201470510063975E-6</v>
      </c>
      <c r="W239" s="2"/>
      <c r="X239" s="2">
        <f t="shared" si="139"/>
        <v>-30</v>
      </c>
      <c r="Y239" s="2"/>
      <c r="Z239" s="19">
        <f t="shared" si="140"/>
        <v>-1</v>
      </c>
    </row>
    <row r="240" spans="1:26" s="24" customFormat="1" hidden="1" outlineLevel="1" x14ac:dyDescent="0.25">
      <c r="A240" s="44"/>
      <c r="B240" s="11" t="str">
        <f>CONCATENATE("          ", "4198", " - ", "NON-TAXABLE SALES-GRAD RENTALS")</f>
        <v xml:space="preserve">          4198 - NON-TAXABLE SALES-GRAD RENTALS</v>
      </c>
      <c r="C240" s="11"/>
      <c r="D240" s="2">
        <f t="shared" si="141"/>
        <v>0</v>
      </c>
      <c r="E240" s="2"/>
      <c r="F240" s="19">
        <f t="shared" si="133"/>
        <v>0</v>
      </c>
      <c r="G240" s="2"/>
      <c r="H240" s="2">
        <f>--210</f>
        <v>210</v>
      </c>
      <c r="I240" s="2"/>
      <c r="J240" s="19">
        <f t="shared" si="134"/>
        <v>7.7691290394582918E-5</v>
      </c>
      <c r="K240" s="2"/>
      <c r="L240" s="2">
        <f t="shared" si="135"/>
        <v>-210</v>
      </c>
      <c r="M240" s="2"/>
      <c r="N240" s="19">
        <f t="shared" si="136"/>
        <v>-1</v>
      </c>
      <c r="O240" s="11"/>
      <c r="P240" s="2">
        <f t="shared" si="142"/>
        <v>0</v>
      </c>
      <c r="Q240" s="2"/>
      <c r="R240" s="19">
        <f t="shared" si="137"/>
        <v>0</v>
      </c>
      <c r="S240" s="2"/>
      <c r="T240" s="2">
        <f>--465</f>
        <v>465</v>
      </c>
      <c r="U240" s="2"/>
      <c r="V240" s="19">
        <f t="shared" si="138"/>
        <v>1.5221227929059918E-4</v>
      </c>
      <c r="W240" s="2"/>
      <c r="X240" s="2">
        <f t="shared" si="139"/>
        <v>-465</v>
      </c>
      <c r="Y240" s="2"/>
      <c r="Z240" s="19">
        <f t="shared" si="140"/>
        <v>-1</v>
      </c>
    </row>
    <row r="241" spans="1:26" s="24" customFormat="1" hidden="1" outlineLevel="1" x14ac:dyDescent="0.25">
      <c r="A241" s="44"/>
      <c r="B241" s="11" t="str">
        <f>CONCATENATE("          ", "9150", " - ", "MISC. INCOME")</f>
        <v xml:space="preserve">          9150 - MISC. INCOME</v>
      </c>
      <c r="C241" s="11"/>
      <c r="D241" s="2">
        <f>--56796.1</f>
        <v>56796.1</v>
      </c>
      <c r="E241" s="2"/>
      <c r="F241" s="19">
        <f t="shared" si="133"/>
        <v>3.5562261143963339E-2</v>
      </c>
      <c r="G241" s="2"/>
      <c r="H241" s="2">
        <f>--27536.18</f>
        <v>27536.18</v>
      </c>
      <c r="I241" s="2"/>
      <c r="J241" s="19">
        <f t="shared" si="134"/>
        <v>1.0187244555892887E-2</v>
      </c>
      <c r="K241" s="2"/>
      <c r="L241" s="2">
        <f t="shared" si="135"/>
        <v>29259.919999999998</v>
      </c>
      <c r="M241" s="2"/>
      <c r="N241" s="19">
        <f t="shared" si="136"/>
        <v>1.0625990968972456</v>
      </c>
      <c r="O241" s="11"/>
      <c r="P241" s="2">
        <f>--92530.36</f>
        <v>92530.36</v>
      </c>
      <c r="Q241" s="2"/>
      <c r="R241" s="19">
        <f t="shared" si="137"/>
        <v>5.0708336755708024E-2</v>
      </c>
      <c r="S241" s="2"/>
      <c r="T241" s="2">
        <f>--98168.08</f>
        <v>98168.08</v>
      </c>
      <c r="U241" s="2"/>
      <c r="V241" s="19">
        <f t="shared" si="138"/>
        <v>3.2134166043832006E-2</v>
      </c>
      <c r="W241" s="2"/>
      <c r="X241" s="2">
        <f t="shared" si="139"/>
        <v>-5637.7200000000012</v>
      </c>
      <c r="Y241" s="2"/>
      <c r="Z241" s="19">
        <f t="shared" si="140"/>
        <v>-5.7429258064332127E-2</v>
      </c>
    </row>
    <row r="242" spans="1:26" s="24" customFormat="1" hidden="1" outlineLevel="1" x14ac:dyDescent="0.25">
      <c r="A242" s="44"/>
      <c r="B242" s="11" t="str">
        <f>CONCATENATE("          ", "9151", " - ", "MISC. INCOME")</f>
        <v xml:space="preserve">          9151 - MISC. INCOME</v>
      </c>
      <c r="C242" s="11"/>
      <c r="D242" s="2">
        <f>0</f>
        <v>0</v>
      </c>
      <c r="E242" s="2"/>
      <c r="F242" s="19">
        <f t="shared" si="133"/>
        <v>0</v>
      </c>
      <c r="G242" s="2"/>
      <c r="H242" s="2">
        <f>-170.02</f>
        <v>-170.02</v>
      </c>
      <c r="I242" s="2"/>
      <c r="J242" s="19">
        <f t="shared" si="134"/>
        <v>-6.2900348537557089E-5</v>
      </c>
      <c r="K242" s="2"/>
      <c r="L242" s="2">
        <f t="shared" si="135"/>
        <v>170.02</v>
      </c>
      <c r="M242" s="2"/>
      <c r="N242" s="19">
        <f t="shared" si="136"/>
        <v>-1</v>
      </c>
      <c r="O242" s="11"/>
      <c r="P242" s="2">
        <f>0</f>
        <v>0</v>
      </c>
      <c r="Q242" s="2"/>
      <c r="R242" s="19">
        <f t="shared" si="137"/>
        <v>0</v>
      </c>
      <c r="S242" s="2"/>
      <c r="T242" s="2">
        <f>-264.51</f>
        <v>-264.51</v>
      </c>
      <c r="U242" s="2"/>
      <c r="V242" s="19">
        <f t="shared" si="138"/>
        <v>-8.6584236548723409E-5</v>
      </c>
      <c r="W242" s="2"/>
      <c r="X242" s="2">
        <f t="shared" si="139"/>
        <v>264.51</v>
      </c>
      <c r="Y242" s="2"/>
      <c r="Z242" s="19">
        <f t="shared" si="140"/>
        <v>-1</v>
      </c>
    </row>
    <row r="243" spans="1:26" s="24" customFormat="1" hidden="1" outlineLevel="1" x14ac:dyDescent="0.25">
      <c r="A243" s="44"/>
      <c r="B243" s="11" t="str">
        <f>CONCATENATE("          ", "9152", " - ", "MISC. INCOME")</f>
        <v xml:space="preserve">          9152 - MISC. INCOME</v>
      </c>
      <c r="C243" s="11"/>
      <c r="D243" s="2">
        <f>--72</f>
        <v>72</v>
      </c>
      <c r="E243" s="2"/>
      <c r="F243" s="19">
        <f t="shared" si="133"/>
        <v>4.5082017997104735E-5</v>
      </c>
      <c r="G243" s="2"/>
      <c r="H243" s="2">
        <f>--7.43</f>
        <v>7.43</v>
      </c>
      <c r="I243" s="2"/>
      <c r="J243" s="19">
        <f t="shared" si="134"/>
        <v>2.7487918458654811E-6</v>
      </c>
      <c r="K243" s="2"/>
      <c r="L243" s="2">
        <f t="shared" si="135"/>
        <v>64.569999999999993</v>
      </c>
      <c r="M243" s="2"/>
      <c r="N243" s="19">
        <f t="shared" si="136"/>
        <v>8.6904441453566612</v>
      </c>
      <c r="O243" s="11"/>
      <c r="P243" s="2">
        <f>--1546.39</f>
        <v>1546.39</v>
      </c>
      <c r="Q243" s="2"/>
      <c r="R243" s="19">
        <f t="shared" si="137"/>
        <v>8.4745012205355446E-4</v>
      </c>
      <c r="S243" s="2"/>
      <c r="T243" s="2">
        <f>--7.43</f>
        <v>7.43</v>
      </c>
      <c r="U243" s="2"/>
      <c r="V243" s="19">
        <f t="shared" si="138"/>
        <v>2.4321230862992513E-6</v>
      </c>
      <c r="W243" s="2"/>
      <c r="X243" s="2">
        <f t="shared" si="139"/>
        <v>1538.96</v>
      </c>
      <c r="Y243" s="2"/>
      <c r="Z243" s="19">
        <f t="shared" si="140"/>
        <v>207.12786002691792</v>
      </c>
    </row>
    <row r="244" spans="1:26" s="24" customFormat="1" hidden="1" outlineLevel="1" x14ac:dyDescent="0.25">
      <c r="A244" s="44"/>
      <c r="B244" s="11" t="str">
        <f>CONCATENATE("          ", "9160", " - ", "MISC. INCOME")</f>
        <v xml:space="preserve">          9160 - MISC. INCOME</v>
      </c>
      <c r="C244" s="11"/>
      <c r="D244" s="2">
        <f t="shared" ref="D244:D245" si="143">0</f>
        <v>0</v>
      </c>
      <c r="E244" s="2"/>
      <c r="F244" s="19">
        <f t="shared" si="133"/>
        <v>0</v>
      </c>
      <c r="G244" s="2"/>
      <c r="H244" s="2">
        <f>--21170</f>
        <v>21170</v>
      </c>
      <c r="I244" s="2"/>
      <c r="J244" s="19">
        <f t="shared" si="134"/>
        <v>7.8320219888253356E-3</v>
      </c>
      <c r="K244" s="2"/>
      <c r="L244" s="2">
        <f t="shared" si="135"/>
        <v>-21170</v>
      </c>
      <c r="M244" s="2"/>
      <c r="N244" s="19">
        <f t="shared" si="136"/>
        <v>-1</v>
      </c>
      <c r="O244" s="11"/>
      <c r="P244" s="2">
        <f>0</f>
        <v>0</v>
      </c>
      <c r="Q244" s="2"/>
      <c r="R244" s="19">
        <f t="shared" si="137"/>
        <v>0</v>
      </c>
      <c r="S244" s="2"/>
      <c r="T244" s="2">
        <f>--21170</f>
        <v>21170</v>
      </c>
      <c r="U244" s="2"/>
      <c r="V244" s="19">
        <f t="shared" si="138"/>
        <v>6.9297504356601817E-3</v>
      </c>
      <c r="W244" s="2"/>
      <c r="X244" s="2">
        <f t="shared" si="139"/>
        <v>-21170</v>
      </c>
      <c r="Y244" s="2"/>
      <c r="Z244" s="19">
        <f t="shared" si="140"/>
        <v>-1</v>
      </c>
    </row>
    <row r="245" spans="1:26" s="24" customFormat="1" hidden="1" outlineLevel="1" x14ac:dyDescent="0.25">
      <c r="A245" s="44"/>
      <c r="B245" s="11" t="str">
        <f>CONCATENATE("          ", "9163", " - ", "MISC. INCOME")</f>
        <v xml:space="preserve">          9163 - MISC. INCOME</v>
      </c>
      <c r="C245" s="11"/>
      <c r="D245" s="2">
        <f t="shared" si="143"/>
        <v>0</v>
      </c>
      <c r="E245" s="2"/>
      <c r="F245" s="19">
        <f t="shared" si="133"/>
        <v>0</v>
      </c>
      <c r="G245" s="2"/>
      <c r="H245" s="2">
        <f>0</f>
        <v>0</v>
      </c>
      <c r="I245" s="2"/>
      <c r="J245" s="19">
        <f t="shared" si="134"/>
        <v>0</v>
      </c>
      <c r="K245" s="2"/>
      <c r="L245" s="2">
        <f t="shared" si="135"/>
        <v>0</v>
      </c>
      <c r="M245" s="2"/>
      <c r="N245" s="19">
        <f t="shared" si="136"/>
        <v>0</v>
      </c>
      <c r="O245" s="11"/>
      <c r="P245" s="2">
        <f>--160663.9</f>
        <v>160663.9</v>
      </c>
      <c r="Q245" s="2"/>
      <c r="R245" s="19">
        <f t="shared" si="137"/>
        <v>8.8046768062778516E-2</v>
      </c>
      <c r="S245" s="2"/>
      <c r="T245" s="2">
        <f>0</f>
        <v>0</v>
      </c>
      <c r="U245" s="2"/>
      <c r="V245" s="19">
        <f t="shared" si="138"/>
        <v>0</v>
      </c>
      <c r="W245" s="2"/>
      <c r="X245" s="2">
        <f t="shared" si="139"/>
        <v>160663.9</v>
      </c>
      <c r="Y245" s="2"/>
      <c r="Z245" s="19">
        <f t="shared" si="140"/>
        <v>0</v>
      </c>
    </row>
    <row r="246" spans="1:26" x14ac:dyDescent="0.25">
      <c r="A246" s="9"/>
      <c r="B246" s="10"/>
      <c r="C246" s="10"/>
      <c r="D246" s="3"/>
      <c r="E246" s="3"/>
      <c r="F246" s="8"/>
      <c r="G246" s="3"/>
      <c r="H246" s="3"/>
      <c r="I246" s="3"/>
      <c r="J246" s="8"/>
      <c r="K246" s="3"/>
      <c r="L246" s="3"/>
      <c r="M246" s="3"/>
      <c r="N246" s="8"/>
      <c r="O246" s="10"/>
      <c r="P246" s="3"/>
      <c r="Q246" s="3"/>
      <c r="R246" s="8"/>
      <c r="S246" s="3"/>
      <c r="T246" s="3"/>
      <c r="U246" s="3"/>
      <c r="V246" s="8"/>
      <c r="W246" s="3"/>
      <c r="X246" s="3"/>
      <c r="Y246" s="3"/>
      <c r="Z246" s="8"/>
    </row>
    <row r="247" spans="1:26" s="23" customFormat="1" x14ac:dyDescent="0.25">
      <c r="A247" s="10"/>
      <c r="B247" s="26" t="s">
        <v>3</v>
      </c>
      <c r="C247" s="26"/>
      <c r="D247" s="22">
        <f>+D147-D149+D237</f>
        <v>348646.25000000023</v>
      </c>
      <c r="E247" s="13"/>
      <c r="F247" s="21">
        <f>IF(D$12=0,0,D247/D$12)</f>
        <v>0.21830106273782066</v>
      </c>
      <c r="G247" s="13"/>
      <c r="H247" s="22">
        <f>+H147-H149+H237</f>
        <v>572719.15000000037</v>
      </c>
      <c r="I247" s="13"/>
      <c r="J247" s="21">
        <f>IF(H$12=0,0,H247/H$12)</f>
        <v>0.21188233236756535</v>
      </c>
      <c r="K247" s="16"/>
      <c r="L247" s="22">
        <f>+D247-H247</f>
        <v>-224072.90000000014</v>
      </c>
      <c r="M247" s="16"/>
      <c r="N247" s="21">
        <f>IF(H247=0,0,L247/H247)</f>
        <v>-0.39124394565818166</v>
      </c>
      <c r="O247" s="25"/>
      <c r="P247" s="22">
        <f>+P147-P149+P237</f>
        <v>314189.98</v>
      </c>
      <c r="Q247" s="13"/>
      <c r="R247" s="21">
        <f>IF(P$12=0,0,P247/P$12)</f>
        <v>0.17218187966748608</v>
      </c>
      <c r="S247" s="13"/>
      <c r="T247" s="22">
        <f>+T147-T149+T237</f>
        <v>445836.92000000051</v>
      </c>
      <c r="U247" s="13"/>
      <c r="V247" s="21">
        <f>IF(T$12=0,0,T247/T$12)</f>
        <v>0.14593947050559267</v>
      </c>
      <c r="W247" s="16"/>
      <c r="X247" s="22">
        <f>+P247-T247</f>
        <v>-131646.94000000053</v>
      </c>
      <c r="Y247" s="16"/>
      <c r="Z247" s="21">
        <f>IF(T247=0,0,X247/T247)</f>
        <v>-0.29528048058469536</v>
      </c>
    </row>
    <row r="248" spans="1:26" x14ac:dyDescent="0.25">
      <c r="A248" s="9"/>
      <c r="B248" s="10"/>
      <c r="C248" s="9"/>
      <c r="D248" s="3"/>
      <c r="E248" s="3"/>
      <c r="F248" s="8"/>
      <c r="G248" s="3"/>
      <c r="H248" s="3"/>
      <c r="I248" s="3"/>
      <c r="J248" s="8"/>
      <c r="K248" s="3"/>
      <c r="L248" s="3"/>
      <c r="M248" s="3"/>
      <c r="N248" s="8"/>
      <c r="P248" s="3"/>
      <c r="Q248" s="3"/>
      <c r="R248" s="8"/>
      <c r="S248" s="3"/>
      <c r="T248" s="3"/>
      <c r="U248" s="3"/>
      <c r="V248" s="8"/>
      <c r="W248" s="3"/>
      <c r="X248" s="3"/>
      <c r="Y248" s="3"/>
      <c r="Z248" s="8"/>
    </row>
    <row r="249" spans="1:26" s="23" customFormat="1" x14ac:dyDescent="0.25">
      <c r="A249" s="51"/>
      <c r="B249" s="10" t="s">
        <v>13</v>
      </c>
      <c r="C249" s="10"/>
      <c r="D249" s="4">
        <v>193432.62</v>
      </c>
      <c r="E249" s="4"/>
      <c r="F249" s="12">
        <f>IF(D$12=0,0,D249/D$12)</f>
        <v>0.12111573411204335</v>
      </c>
      <c r="G249" s="4"/>
      <c r="H249" s="4">
        <v>307717.44</v>
      </c>
      <c r="I249" s="4"/>
      <c r="J249" s="12">
        <f>IF(H$12=0,0,H249/H$12)</f>
        <v>0.11384269043103641</v>
      </c>
      <c r="K249" s="4"/>
      <c r="L249" s="4">
        <f>+D249-H249</f>
        <v>-114284.82</v>
      </c>
      <c r="M249" s="4"/>
      <c r="N249" s="12">
        <f>IF(H249=0,0,L249/H249)</f>
        <v>-0.37139532942949222</v>
      </c>
      <c r="O249" s="10"/>
      <c r="P249" s="4">
        <v>308085.87</v>
      </c>
      <c r="Q249" s="4"/>
      <c r="R249" s="12">
        <f>IF(P$12=0,0,P249/P$12)</f>
        <v>0.16883671527523814</v>
      </c>
      <c r="S249" s="4"/>
      <c r="T249" s="4">
        <v>380895.81</v>
      </c>
      <c r="U249" s="4"/>
      <c r="V249" s="12">
        <f>IF(T$12=0,0,T249/T$12)</f>
        <v>0.12468176217707311</v>
      </c>
      <c r="W249" s="4"/>
      <c r="X249" s="4">
        <f>+P249-T249</f>
        <v>-72809.94</v>
      </c>
      <c r="Y249" s="4"/>
      <c r="Z249" s="12">
        <f>IF(T249=0,0,X249/T249)</f>
        <v>-0.19115447870114402</v>
      </c>
    </row>
    <row r="250" spans="1:26" x14ac:dyDescent="0.25">
      <c r="A250" s="9"/>
      <c r="B250" s="10"/>
      <c r="C250" s="10"/>
      <c r="D250" s="3"/>
      <c r="E250" s="3"/>
      <c r="F250" s="8"/>
      <c r="G250" s="3"/>
      <c r="H250" s="3"/>
      <c r="I250" s="3"/>
      <c r="J250" s="8"/>
      <c r="K250" s="3"/>
      <c r="L250" s="3"/>
      <c r="M250" s="3"/>
      <c r="N250" s="8"/>
      <c r="O250" s="10"/>
      <c r="P250" s="3"/>
      <c r="Q250" s="3"/>
      <c r="R250" s="8"/>
      <c r="S250" s="3"/>
      <c r="T250" s="3"/>
      <c r="U250" s="3"/>
      <c r="V250" s="8"/>
      <c r="W250" s="3"/>
      <c r="X250" s="3"/>
      <c r="Y250" s="3"/>
      <c r="Z250" s="8"/>
    </row>
    <row r="251" spans="1:26" s="23" customFormat="1" ht="15.75" thickBot="1" x14ac:dyDescent="0.3">
      <c r="A251" s="10"/>
      <c r="B251" s="26" t="s">
        <v>4</v>
      </c>
      <c r="C251" s="26"/>
      <c r="D251" s="36">
        <f>+D247-D249</f>
        <v>155213.63000000024</v>
      </c>
      <c r="E251" s="13"/>
      <c r="F251" s="34">
        <f>IF(D$12=0,0,D251/D$12)</f>
        <v>9.7185328625777306E-2</v>
      </c>
      <c r="G251" s="13"/>
      <c r="H251" s="36">
        <f>+H247-H249</f>
        <v>265001.71000000037</v>
      </c>
      <c r="I251" s="13"/>
      <c r="J251" s="34">
        <f>IF(H$12=0,0,H251/H$12)</f>
        <v>9.8039641936528935E-2</v>
      </c>
      <c r="K251" s="16"/>
      <c r="L251" s="36">
        <f>D251-H251</f>
        <v>-109788.08000000013</v>
      </c>
      <c r="M251" s="16"/>
      <c r="N251" s="34">
        <f>IF(H251=0,0,L251/H251)</f>
        <v>-0.41429196815371483</v>
      </c>
      <c r="O251" s="25"/>
      <c r="P251" s="36">
        <f>+P247-P249</f>
        <v>6104.109999999986</v>
      </c>
      <c r="Q251" s="13"/>
      <c r="R251" s="34">
        <f>IF(P$12=0,0,P251/P$12)</f>
        <v>3.3451643922479519E-3</v>
      </c>
      <c r="S251" s="13"/>
      <c r="T251" s="36">
        <f>+T247-T249</f>
        <v>64941.11000000051</v>
      </c>
      <c r="U251" s="13"/>
      <c r="V251" s="34">
        <f>IF(T$12=0,0,T251/T$12)</f>
        <v>2.1257708328519569E-2</v>
      </c>
      <c r="W251" s="16"/>
      <c r="X251" s="36">
        <f>P251-T251</f>
        <v>-58837.000000000524</v>
      </c>
      <c r="Y251" s="16"/>
      <c r="Z251" s="34">
        <f>IF(T251=0,0,X251/T251)</f>
        <v>-0.90600545632804952</v>
      </c>
    </row>
    <row r="252" spans="1:26" ht="15.75" thickTop="1" x14ac:dyDescent="0.25">
      <c r="A252" s="9"/>
      <c r="B252" s="9"/>
      <c r="C252" s="9"/>
      <c r="D252" s="3"/>
      <c r="E252" s="3"/>
      <c r="F252" s="8"/>
      <c r="G252" s="3"/>
      <c r="H252" s="3"/>
      <c r="I252" s="3"/>
      <c r="J252" s="8"/>
      <c r="K252" s="3"/>
      <c r="L252" s="3"/>
      <c r="M252" s="3"/>
      <c r="N252" s="8"/>
      <c r="P252" s="3"/>
      <c r="Q252" s="3"/>
      <c r="R252" s="8"/>
      <c r="S252" s="3"/>
      <c r="T252" s="3"/>
      <c r="U252" s="3"/>
      <c r="V252" s="8"/>
      <c r="W252" s="3"/>
      <c r="X252" s="3"/>
      <c r="Y252" s="3"/>
      <c r="Z252" s="8"/>
    </row>
    <row r="253" spans="1:26" x14ac:dyDescent="0.25">
      <c r="A253" s="9"/>
      <c r="B253" s="9"/>
      <c r="C253" s="9"/>
      <c r="D253" s="3"/>
      <c r="E253" s="3"/>
      <c r="F253" s="8"/>
      <c r="G253" s="3"/>
      <c r="H253" s="3"/>
      <c r="I253" s="3"/>
      <c r="J253" s="8"/>
      <c r="K253" s="3"/>
      <c r="L253" s="3"/>
      <c r="M253" s="3"/>
      <c r="N253" s="8"/>
      <c r="P253" s="3"/>
      <c r="Q253" s="3"/>
      <c r="R253" s="8"/>
      <c r="S253" s="3"/>
      <c r="T253" s="3"/>
      <c r="U253" s="3"/>
      <c r="V253" s="8"/>
      <c r="W253" s="3"/>
      <c r="X253" s="3"/>
      <c r="Y253" s="3"/>
      <c r="Z253" s="8"/>
    </row>
    <row r="254" spans="1:26" s="23" customFormat="1" ht="15.75" thickBot="1" x14ac:dyDescent="0.3">
      <c r="A254" s="10"/>
      <c r="B254" s="26" t="s">
        <v>5</v>
      </c>
      <c r="C254" s="26"/>
      <c r="D254" s="30">
        <f>SUM(D251:D253)</f>
        <v>155213.63000000024</v>
      </c>
      <c r="E254" s="13"/>
      <c r="F254" s="31">
        <f>IF(D$12=0,0,D254/D$12)</f>
        <v>9.7185328625777306E-2</v>
      </c>
      <c r="G254" s="13"/>
      <c r="H254" s="30">
        <f>SUM(H251:H253)</f>
        <v>265001.71000000037</v>
      </c>
      <c r="I254" s="13"/>
      <c r="J254" s="31">
        <f>IF(H$12=0,0,H254/H$12)</f>
        <v>9.8039641936528935E-2</v>
      </c>
      <c r="K254" s="16"/>
      <c r="L254" s="30">
        <f>+D254-H254</f>
        <v>-109788.08000000013</v>
      </c>
      <c r="M254" s="16"/>
      <c r="N254" s="31">
        <f>IF(H254=0,0,L254/H254)</f>
        <v>-0.41429196815371483</v>
      </c>
      <c r="O254" s="25"/>
      <c r="P254" s="30">
        <f>SUM(P251:P253)</f>
        <v>6104.109999999986</v>
      </c>
      <c r="Q254" s="13"/>
      <c r="R254" s="31">
        <f>IF(P$12=0,0,P254/P$12)</f>
        <v>3.3451643922479519E-3</v>
      </c>
      <c r="S254" s="13"/>
      <c r="T254" s="30">
        <f>SUM(T251:T253)</f>
        <v>64941.11000000051</v>
      </c>
      <c r="U254" s="13"/>
      <c r="V254" s="31">
        <f>IF(T$12=0,0,T254/T$12)</f>
        <v>2.1257708328519569E-2</v>
      </c>
      <c r="W254" s="16"/>
      <c r="X254" s="30">
        <f>+P254-T254</f>
        <v>-58837.000000000524</v>
      </c>
      <c r="Y254" s="16"/>
      <c r="Z254" s="31">
        <f>IF(T254=0,0,X254/T254)</f>
        <v>-0.90600545632804952</v>
      </c>
    </row>
    <row r="255" spans="1:26" ht="15.75" thickTop="1" x14ac:dyDescent="0.25">
      <c r="A255" s="9"/>
      <c r="C255" s="9"/>
      <c r="D255" s="18"/>
      <c r="E255" s="18"/>
      <c r="G255" s="18"/>
      <c r="H255" s="18"/>
      <c r="I255" s="18"/>
      <c r="J255" s="43"/>
      <c r="K255" s="18"/>
      <c r="L255" s="18"/>
      <c r="M255" s="18"/>
      <c r="P255" s="18"/>
      <c r="Q255" s="18"/>
      <c r="R255" s="43"/>
      <c r="S255" s="18"/>
      <c r="T255" s="18"/>
      <c r="U255" s="18"/>
      <c r="V255" s="43"/>
      <c r="W255" s="18"/>
      <c r="X255" s="18"/>
    </row>
    <row r="256" spans="1:26" x14ac:dyDescent="0.25">
      <c r="A256" s="9"/>
      <c r="B256" s="61">
        <v>44113.695646643515</v>
      </c>
      <c r="D256" s="18"/>
      <c r="E256" s="18"/>
      <c r="G256" s="18"/>
      <c r="H256" s="18"/>
      <c r="I256" s="18"/>
      <c r="J256" s="43"/>
      <c r="K256" s="18"/>
      <c r="L256" s="18"/>
      <c r="M256" s="18"/>
      <c r="P256" s="18"/>
      <c r="Q256" s="18"/>
      <c r="R256" s="43"/>
      <c r="S256" s="18"/>
      <c r="T256" s="18"/>
      <c r="U256" s="18"/>
      <c r="V256" s="43"/>
      <c r="W256" s="18"/>
      <c r="X256" s="18"/>
    </row>
    <row r="257" spans="1:24" x14ac:dyDescent="0.25">
      <c r="A257" s="9"/>
      <c r="B257" s="56" t="s">
        <v>313</v>
      </c>
      <c r="D257" s="18"/>
      <c r="E257" s="18"/>
      <c r="G257" s="18"/>
      <c r="H257" s="18"/>
      <c r="I257" s="18"/>
      <c r="J257" s="43"/>
      <c r="K257" s="18"/>
      <c r="L257" s="18"/>
      <c r="M257" s="18"/>
      <c r="P257" s="18"/>
      <c r="Q257" s="18"/>
      <c r="R257" s="43"/>
      <c r="S257" s="18"/>
      <c r="T257" s="18"/>
      <c r="U257" s="18"/>
      <c r="V257" s="43"/>
      <c r="W257" s="18"/>
      <c r="X257" s="18"/>
    </row>
    <row r="258" spans="1:24" x14ac:dyDescent="0.25">
      <c r="A258" s="9"/>
      <c r="B258" s="58"/>
      <c r="D258" s="18"/>
      <c r="E258" s="18"/>
      <c r="G258" s="18"/>
      <c r="H258" s="18"/>
      <c r="I258" s="18"/>
      <c r="J258" s="43"/>
      <c r="K258" s="18"/>
      <c r="L258" s="18"/>
      <c r="M258" s="18"/>
      <c r="P258" s="18"/>
      <c r="Q258" s="18"/>
      <c r="R258" s="43"/>
      <c r="S258" s="18"/>
      <c r="T258" s="18"/>
      <c r="U258" s="18"/>
      <c r="V258" s="43"/>
      <c r="W258" s="18"/>
      <c r="X258" s="18"/>
    </row>
    <row r="259" spans="1:24" x14ac:dyDescent="0.25">
      <c r="D259" s="18"/>
      <c r="E259" s="18"/>
      <c r="G259" s="18"/>
      <c r="H259" s="18"/>
      <c r="I259" s="18"/>
      <c r="J259" s="43"/>
      <c r="K259" s="18"/>
      <c r="L259" s="18"/>
      <c r="M259" s="18"/>
      <c r="P259" s="18"/>
      <c r="Q259" s="18"/>
      <c r="R259" s="43"/>
      <c r="S259" s="18"/>
      <c r="T259" s="18"/>
      <c r="U259" s="18"/>
      <c r="V259" s="43"/>
      <c r="W259" s="18"/>
      <c r="X259" s="18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28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311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2088760.2300000009</v>
      </c>
      <c r="E12" s="4"/>
      <c r="F12" s="12"/>
      <c r="G12" s="4"/>
      <c r="H12" s="4">
        <f>SUM(OSRRefH13x_0)</f>
        <v>3204520.7900000005</v>
      </c>
      <c r="I12" s="4"/>
      <c r="J12" s="12"/>
      <c r="K12" s="4"/>
      <c r="L12" s="4">
        <f t="shared" ref="L12:L115" si="0">+D12-H12</f>
        <v>-1115760.5599999996</v>
      </c>
      <c r="M12" s="4"/>
      <c r="N12" s="12">
        <f t="shared" ref="N12:N115" si="1">IF(H12=0,0,L12/H12)</f>
        <v>-0.34818328015902789</v>
      </c>
      <c r="O12" s="10"/>
      <c r="P12" s="4">
        <f>SUM(OSRRefP13x_0)</f>
        <v>2524394.5500000007</v>
      </c>
      <c r="Q12" s="4"/>
      <c r="R12" s="12"/>
      <c r="S12" s="4"/>
      <c r="T12" s="4">
        <f>SUM(OSRRefT13x_0)</f>
        <v>3926796.540000001</v>
      </c>
      <c r="U12" s="4"/>
      <c r="V12" s="12"/>
      <c r="W12" s="4"/>
      <c r="X12" s="4">
        <f t="shared" ref="X12:X115" si="2">+P12-T12</f>
        <v>-1402401.9900000002</v>
      </c>
      <c r="Y12" s="4"/>
      <c r="Z12" s="12">
        <f t="shared" ref="Z12:Z115" si="3">IF(T12=0,0,X12/T12)</f>
        <v>-0.35713640259039237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-18033.67</f>
        <v>-18033.669999999998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-18033.669999999998</v>
      </c>
      <c r="M13" s="2"/>
      <c r="N13" s="19">
        <f t="shared" si="1"/>
        <v>0</v>
      </c>
      <c r="O13" s="11"/>
      <c r="P13" s="2">
        <f>-29128.04</f>
        <v>-29128.04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-29128.04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19"/>
      <c r="G14" s="2"/>
      <c r="H14" s="2">
        <f>--1090909.72</f>
        <v>1090909.72</v>
      </c>
      <c r="I14" s="2"/>
      <c r="J14" s="19"/>
      <c r="K14" s="2"/>
      <c r="L14" s="2">
        <f t="shared" si="0"/>
        <v>-518660.25</v>
      </c>
      <c r="M14" s="2"/>
      <c r="N14" s="19">
        <f t="shared" si="1"/>
        <v>-0.4754382883305871</v>
      </c>
      <c r="O14" s="11"/>
      <c r="P14" s="2">
        <f>--584197.32</f>
        <v>584197.31999999995</v>
      </c>
      <c r="Q14" s="2"/>
      <c r="R14" s="19"/>
      <c r="S14" s="2"/>
      <c r="T14" s="2">
        <f>--1127221.97</f>
        <v>1127221.97</v>
      </c>
      <c r="U14" s="2"/>
      <c r="V14" s="19"/>
      <c r="W14" s="2"/>
      <c r="X14" s="2">
        <f t="shared" si="2"/>
        <v>-543024.65</v>
      </c>
      <c r="Y14" s="2"/>
      <c r="Z14" s="19">
        <f t="shared" si="3"/>
        <v>-0.48173710631278777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19"/>
      <c r="G15" s="2"/>
      <c r="H15" s="2">
        <f>--533666.11</f>
        <v>533666.11</v>
      </c>
      <c r="I15" s="2"/>
      <c r="J15" s="19"/>
      <c r="K15" s="2"/>
      <c r="L15" s="2">
        <f t="shared" si="0"/>
        <v>-268083.28999999998</v>
      </c>
      <c r="M15" s="2"/>
      <c r="N15" s="19">
        <f t="shared" si="1"/>
        <v>-0.50234272886468279</v>
      </c>
      <c r="O15" s="11"/>
      <c r="P15" s="2">
        <f>--278612.16</f>
        <v>278612.15999999997</v>
      </c>
      <c r="Q15" s="2"/>
      <c r="R15" s="19"/>
      <c r="S15" s="2"/>
      <c r="T15" s="2">
        <f>--555460.92</f>
        <v>555460.92000000004</v>
      </c>
      <c r="U15" s="2"/>
      <c r="V15" s="19"/>
      <c r="W15" s="2"/>
      <c r="X15" s="2">
        <f t="shared" si="2"/>
        <v>-276848.76000000007</v>
      </c>
      <c r="Y15" s="2"/>
      <c r="Z15" s="19">
        <f t="shared" si="3"/>
        <v>-0.49841266960779174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19"/>
      <c r="G16" s="2"/>
      <c r="H16" s="2">
        <f>--12302.07</f>
        <v>12302.07</v>
      </c>
      <c r="I16" s="2"/>
      <c r="J16" s="19"/>
      <c r="K16" s="2"/>
      <c r="L16" s="2">
        <f t="shared" si="0"/>
        <v>-3246.2299999999996</v>
      </c>
      <c r="M16" s="2"/>
      <c r="N16" s="19">
        <f t="shared" si="1"/>
        <v>-0.26387672968858084</v>
      </c>
      <c r="O16" s="11"/>
      <c r="P16" s="2">
        <f>--9055.84</f>
        <v>9055.84</v>
      </c>
      <c r="Q16" s="2"/>
      <c r="R16" s="19"/>
      <c r="S16" s="2"/>
      <c r="T16" s="2">
        <f>--12736.05</f>
        <v>12736.05</v>
      </c>
      <c r="U16" s="2"/>
      <c r="V16" s="19"/>
      <c r="W16" s="2"/>
      <c r="X16" s="2">
        <f t="shared" si="2"/>
        <v>-3680.2099999999991</v>
      </c>
      <c r="Y16" s="2"/>
      <c r="Z16" s="19">
        <f t="shared" si="3"/>
        <v>-0.28896007788914141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19"/>
      <c r="G17" s="2"/>
      <c r="H17" s="2">
        <f>--22276.72</f>
        <v>22276.720000000001</v>
      </c>
      <c r="I17" s="2"/>
      <c r="J17" s="19"/>
      <c r="K17" s="2"/>
      <c r="L17" s="2">
        <f t="shared" si="0"/>
        <v>-20455.830000000002</v>
      </c>
      <c r="M17" s="2"/>
      <c r="N17" s="19">
        <f t="shared" si="1"/>
        <v>-0.91826040817499166</v>
      </c>
      <c r="O17" s="11"/>
      <c r="P17" s="2">
        <f>--1820.89</f>
        <v>1820.89</v>
      </c>
      <c r="Q17" s="2"/>
      <c r="R17" s="19"/>
      <c r="S17" s="2"/>
      <c r="T17" s="2">
        <f>--22410.07</f>
        <v>22410.07</v>
      </c>
      <c r="U17" s="2"/>
      <c r="V17" s="19"/>
      <c r="W17" s="2"/>
      <c r="X17" s="2">
        <f t="shared" si="2"/>
        <v>-20589.18</v>
      </c>
      <c r="Y17" s="2"/>
      <c r="Z17" s="19">
        <f t="shared" si="3"/>
        <v>-0.9187467955254045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19"/>
      <c r="G18" s="2"/>
      <c r="H18" s="2">
        <f>--70.86</f>
        <v>70.86</v>
      </c>
      <c r="I18" s="2"/>
      <c r="J18" s="19"/>
      <c r="K18" s="2"/>
      <c r="L18" s="2">
        <f t="shared" si="0"/>
        <v>-30.96</v>
      </c>
      <c r="M18" s="2"/>
      <c r="N18" s="19">
        <f t="shared" si="1"/>
        <v>-0.436917866215072</v>
      </c>
      <c r="O18" s="11"/>
      <c r="P18" s="2">
        <f>--39.9</f>
        <v>39.9</v>
      </c>
      <c r="Q18" s="2"/>
      <c r="R18" s="19"/>
      <c r="S18" s="2"/>
      <c r="T18" s="2">
        <f>--110.81</f>
        <v>110.81</v>
      </c>
      <c r="U18" s="2"/>
      <c r="V18" s="19"/>
      <c r="W18" s="2"/>
      <c r="X18" s="2">
        <f t="shared" si="2"/>
        <v>-70.91</v>
      </c>
      <c r="Y18" s="2"/>
      <c r="Z18" s="19">
        <f t="shared" si="3"/>
        <v>-0.63992419456727723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19"/>
      <c r="G19" s="2"/>
      <c r="H19" s="2">
        <f>--175</f>
        <v>175</v>
      </c>
      <c r="I19" s="2"/>
      <c r="J19" s="19"/>
      <c r="K19" s="2"/>
      <c r="L19" s="2">
        <f t="shared" si="0"/>
        <v>9.0000000000003411E-2</v>
      </c>
      <c r="M19" s="2"/>
      <c r="N19" s="19">
        <f t="shared" si="1"/>
        <v>5.1428571428573382E-4</v>
      </c>
      <c r="O19" s="11"/>
      <c r="P19" s="2">
        <f>--206.93</f>
        <v>206.93</v>
      </c>
      <c r="Q19" s="2"/>
      <c r="R19" s="19"/>
      <c r="S19" s="2"/>
      <c r="T19" s="2">
        <f>--425.65</f>
        <v>425.65</v>
      </c>
      <c r="U19" s="2"/>
      <c r="V19" s="19"/>
      <c r="W19" s="2"/>
      <c r="X19" s="2">
        <f t="shared" si="2"/>
        <v>-218.71999999999997</v>
      </c>
      <c r="Y19" s="2"/>
      <c r="Z19" s="19">
        <f t="shared" si="3"/>
        <v>-0.51384940678961588</v>
      </c>
    </row>
    <row r="20" spans="1:26" s="24" customFormat="1" hidden="1" outlineLevel="1" x14ac:dyDescent="0.25">
      <c r="A20" s="44"/>
      <c r="B20" s="11" t="str">
        <f>CONCATENATE("          ", "4017", " - ", "TAXABLE SALES-DORM/HOUSEWARES")</f>
        <v xml:space="preserve">          4017 - TAXABLE SALES-DORM/HOUSEWARES</v>
      </c>
      <c r="C20" s="11"/>
      <c r="D20" s="2">
        <f>0</f>
        <v>0</v>
      </c>
      <c r="E20" s="2"/>
      <c r="F20" s="19"/>
      <c r="G20" s="2"/>
      <c r="H20" s="2">
        <f>--152.83</f>
        <v>152.83000000000001</v>
      </c>
      <c r="I20" s="2"/>
      <c r="J20" s="19"/>
      <c r="K20" s="2"/>
      <c r="L20" s="2">
        <f t="shared" si="0"/>
        <v>-152.83000000000001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--157.3</f>
        <v>157.30000000000001</v>
      </c>
      <c r="U20" s="2"/>
      <c r="V20" s="19"/>
      <c r="W20" s="2"/>
      <c r="X20" s="2">
        <f t="shared" si="2"/>
        <v>-157.30000000000001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"4018", " - ", "TAXABLE SALES-STUDY GUIDES")</f>
        <v xml:space="preserve">          4018 - TAXABLE SALES-STUDY GUIDES</v>
      </c>
      <c r="C21" s="11"/>
      <c r="D21" s="2">
        <f>--118.03</f>
        <v>118.03</v>
      </c>
      <c r="E21" s="2"/>
      <c r="F21" s="19"/>
      <c r="G21" s="2"/>
      <c r="H21" s="2">
        <f>--1184.84</f>
        <v>1184.8399999999999</v>
      </c>
      <c r="I21" s="2"/>
      <c r="J21" s="19"/>
      <c r="K21" s="2"/>
      <c r="L21" s="2">
        <f t="shared" si="0"/>
        <v>-1066.81</v>
      </c>
      <c r="M21" s="2"/>
      <c r="N21" s="19">
        <f t="shared" si="1"/>
        <v>-0.90038317409945645</v>
      </c>
      <c r="O21" s="11"/>
      <c r="P21" s="2">
        <f>--135.02</f>
        <v>135.02000000000001</v>
      </c>
      <c r="Q21" s="2"/>
      <c r="R21" s="19"/>
      <c r="S21" s="2"/>
      <c r="T21" s="2">
        <f>--1364.13</f>
        <v>1364.13</v>
      </c>
      <c r="U21" s="2"/>
      <c r="V21" s="19"/>
      <c r="W21" s="2"/>
      <c r="X21" s="2">
        <f t="shared" si="2"/>
        <v>-1229.1100000000001</v>
      </c>
      <c r="Y21" s="2"/>
      <c r="Z21" s="19">
        <f t="shared" si="3"/>
        <v>-0.90102116367208407</v>
      </c>
    </row>
    <row r="22" spans="1:26" s="24" customFormat="1" hidden="1" outlineLevel="1" x14ac:dyDescent="0.25">
      <c r="A22" s="44"/>
      <c r="B22" s="11" t="str">
        <f>CONCATENATE("          ", "4019", " - ", "TAXABLE SALES-BOOK RELATED")</f>
        <v xml:space="preserve">          4019 - TAXABLE SALES-BOOK RELATED</v>
      </c>
      <c r="C22" s="11"/>
      <c r="D22" s="2">
        <f t="shared" ref="D22:D24" si="4">0</f>
        <v>0</v>
      </c>
      <c r="E22" s="2"/>
      <c r="F22" s="19"/>
      <c r="G22" s="2"/>
      <c r="H22" s="2">
        <f>--14.95</f>
        <v>14.95</v>
      </c>
      <c r="I22" s="2"/>
      <c r="J22" s="19"/>
      <c r="K22" s="2"/>
      <c r="L22" s="2">
        <f t="shared" si="0"/>
        <v>-14.95</v>
      </c>
      <c r="M22" s="2"/>
      <c r="N22" s="19">
        <f t="shared" si="1"/>
        <v>-1</v>
      </c>
      <c r="O22" s="11"/>
      <c r="P22" s="2">
        <f t="shared" ref="P22:P23" si="5">0</f>
        <v>0</v>
      </c>
      <c r="Q22" s="2"/>
      <c r="R22" s="19"/>
      <c r="S22" s="2"/>
      <c r="T22" s="2">
        <f>--14.95</f>
        <v>14.95</v>
      </c>
      <c r="U22" s="2"/>
      <c r="V22" s="19"/>
      <c r="W22" s="2"/>
      <c r="X22" s="2">
        <f t="shared" si="2"/>
        <v>-14.95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"4025", " - ", "TAXABLE SALES-TEST FORMS")</f>
        <v xml:space="preserve">          4025 - TAXABLE SALES-TEST FORMS</v>
      </c>
      <c r="C23" s="11"/>
      <c r="D23" s="2">
        <f t="shared" si="4"/>
        <v>0</v>
      </c>
      <c r="E23" s="2"/>
      <c r="F23" s="19"/>
      <c r="G23" s="2"/>
      <c r="H23" s="2">
        <f>--4066.24</f>
        <v>4066.24</v>
      </c>
      <c r="I23" s="2"/>
      <c r="J23" s="19"/>
      <c r="K23" s="2"/>
      <c r="L23" s="2">
        <f t="shared" si="0"/>
        <v>-4066.24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--4458.53</f>
        <v>4458.53</v>
      </c>
      <c r="U23" s="2"/>
      <c r="V23" s="19"/>
      <c r="W23" s="2"/>
      <c r="X23" s="2">
        <f t="shared" si="2"/>
        <v>-4458.53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"4026", " - ", "TAXABLE SALES-WRITING INSTRUME")</f>
        <v xml:space="preserve">          4026 - TAXABLE SALES-WRITING INSTRUME</v>
      </c>
      <c r="C24" s="11"/>
      <c r="D24" s="2">
        <f t="shared" si="4"/>
        <v>0</v>
      </c>
      <c r="E24" s="2"/>
      <c r="F24" s="19"/>
      <c r="G24" s="2"/>
      <c r="H24" s="2">
        <f>--10841.03</f>
        <v>10841.03</v>
      </c>
      <c r="I24" s="2"/>
      <c r="J24" s="19"/>
      <c r="K24" s="2"/>
      <c r="L24" s="2">
        <f t="shared" si="0"/>
        <v>-10841.03</v>
      </c>
      <c r="M24" s="2"/>
      <c r="N24" s="19">
        <f t="shared" si="1"/>
        <v>-1</v>
      </c>
      <c r="O24" s="11"/>
      <c r="P24" s="2">
        <f>--236.56</f>
        <v>236.56</v>
      </c>
      <c r="Q24" s="2"/>
      <c r="R24" s="19"/>
      <c r="S24" s="2"/>
      <c r="T24" s="2">
        <f>--12776.54</f>
        <v>12776.54</v>
      </c>
      <c r="U24" s="2"/>
      <c r="V24" s="19"/>
      <c r="W24" s="2"/>
      <c r="X24" s="2">
        <f t="shared" si="2"/>
        <v>-12539.980000000001</v>
      </c>
      <c r="Y24" s="2"/>
      <c r="Z24" s="19">
        <f t="shared" si="3"/>
        <v>-0.98148481513774466</v>
      </c>
    </row>
    <row r="25" spans="1:26" s="24" customFormat="1" hidden="1" outlineLevel="1" x14ac:dyDescent="0.25">
      <c r="A25" s="44"/>
      <c r="B25" s="11" t="str">
        <f>CONCATENATE("          ", "4027", " - ", "TAXABLE SALES-SCHOOL SUPPLIES")</f>
        <v xml:space="preserve">          4027 - TAXABLE SALES-SCHOOL SUPPLIES</v>
      </c>
      <c r="C25" s="11"/>
      <c r="D25" s="2">
        <f>--20247.89</f>
        <v>20247.89</v>
      </c>
      <c r="E25" s="2"/>
      <c r="F25" s="19"/>
      <c r="G25" s="2"/>
      <c r="H25" s="2">
        <f>--65949.25</f>
        <v>65949.25</v>
      </c>
      <c r="I25" s="2"/>
      <c r="J25" s="19"/>
      <c r="K25" s="2"/>
      <c r="L25" s="2">
        <f t="shared" si="0"/>
        <v>-45701.36</v>
      </c>
      <c r="M25" s="2"/>
      <c r="N25" s="19">
        <f t="shared" si="1"/>
        <v>-0.69297770634237688</v>
      </c>
      <c r="O25" s="11"/>
      <c r="P25" s="2">
        <f>--21901.06</f>
        <v>21901.06</v>
      </c>
      <c r="Q25" s="2"/>
      <c r="R25" s="19"/>
      <c r="S25" s="2"/>
      <c r="T25" s="2">
        <f>--79099.25</f>
        <v>79099.25</v>
      </c>
      <c r="U25" s="2"/>
      <c r="V25" s="19"/>
      <c r="W25" s="2"/>
      <c r="X25" s="2">
        <f t="shared" si="2"/>
        <v>-57198.19</v>
      </c>
      <c r="Y25" s="2"/>
      <c r="Z25" s="19">
        <f t="shared" si="3"/>
        <v>-0.72311924575770314</v>
      </c>
    </row>
    <row r="26" spans="1:26" s="24" customFormat="1" hidden="1" outlineLevel="1" x14ac:dyDescent="0.25">
      <c r="A26" s="44"/>
      <c r="B26" s="11" t="str">
        <f>CONCATENATE("          ", "4028", " - ", "TAXABLE SALES-ART/TECH")</f>
        <v xml:space="preserve">          4028 - TAXABLE SALES-ART/TECH</v>
      </c>
      <c r="C26" s="11"/>
      <c r="D26" s="2">
        <f>--9671.25</f>
        <v>9671.25</v>
      </c>
      <c r="E26" s="2"/>
      <c r="F26" s="19"/>
      <c r="G26" s="2"/>
      <c r="H26" s="2">
        <f>--46631.39</f>
        <v>46631.39</v>
      </c>
      <c r="I26" s="2"/>
      <c r="J26" s="19"/>
      <c r="K26" s="2"/>
      <c r="L26" s="2">
        <f t="shared" si="0"/>
        <v>-36960.14</v>
      </c>
      <c r="M26" s="2"/>
      <c r="N26" s="19">
        <f t="shared" si="1"/>
        <v>-0.79260215061142292</v>
      </c>
      <c r="O26" s="11"/>
      <c r="P26" s="2">
        <f>--9691.1</f>
        <v>9691.1</v>
      </c>
      <c r="Q26" s="2"/>
      <c r="R26" s="19"/>
      <c r="S26" s="2"/>
      <c r="T26" s="2">
        <f>--48915.55</f>
        <v>48915.55</v>
      </c>
      <c r="U26" s="2"/>
      <c r="V26" s="19"/>
      <c r="W26" s="2"/>
      <c r="X26" s="2">
        <f t="shared" si="2"/>
        <v>-39224.450000000004</v>
      </c>
      <c r="Y26" s="2"/>
      <c r="Z26" s="19">
        <f t="shared" si="3"/>
        <v>-0.80188099694268999</v>
      </c>
    </row>
    <row r="27" spans="1:26" s="24" customFormat="1" hidden="1" outlineLevel="1" x14ac:dyDescent="0.25">
      <c r="A27" s="44"/>
      <c r="B27" s="11" t="str">
        <f>CONCATENATE("          ", "4031", " - ", "TAXABLE SALES-FOOD")</f>
        <v xml:space="preserve">          4031 - TAXABLE SALES-FOOD</v>
      </c>
      <c r="C27" s="11"/>
      <c r="D27" s="2">
        <f>--532.51</f>
        <v>532.51</v>
      </c>
      <c r="E27" s="2"/>
      <c r="F27" s="19"/>
      <c r="G27" s="2"/>
      <c r="H27" s="2">
        <f>--30.82</f>
        <v>30.82</v>
      </c>
      <c r="I27" s="2"/>
      <c r="J27" s="19"/>
      <c r="K27" s="2"/>
      <c r="L27" s="2">
        <f t="shared" si="0"/>
        <v>501.69</v>
      </c>
      <c r="M27" s="2"/>
      <c r="N27" s="19">
        <f t="shared" si="1"/>
        <v>16.278066190785204</v>
      </c>
      <c r="O27" s="11"/>
      <c r="P27" s="2">
        <f>--552.26</f>
        <v>552.26</v>
      </c>
      <c r="Q27" s="2"/>
      <c r="R27" s="19"/>
      <c r="S27" s="2"/>
      <c r="T27" s="2">
        <f>--32.34</f>
        <v>32.340000000000003</v>
      </c>
      <c r="U27" s="2"/>
      <c r="V27" s="19"/>
      <c r="W27" s="2"/>
      <c r="X27" s="2">
        <f t="shared" si="2"/>
        <v>519.91999999999996</v>
      </c>
      <c r="Y27" s="2"/>
      <c r="Z27" s="19">
        <f t="shared" si="3"/>
        <v>16.076685219542359</v>
      </c>
    </row>
    <row r="28" spans="1:26" s="24" customFormat="1" hidden="1" outlineLevel="1" x14ac:dyDescent="0.25">
      <c r="A28" s="44"/>
      <c r="B28" s="11" t="str">
        <f>CONCATENATE("          ", "4032", " - ", "TAXABLE SALES-JUICE")</f>
        <v xml:space="preserve">          4032 - TAXABLE SALES-JUICE</v>
      </c>
      <c r="C28" s="11"/>
      <c r="D28" s="2">
        <f t="shared" ref="D28:D32" si="6">0</f>
        <v>0</v>
      </c>
      <c r="E28" s="2"/>
      <c r="F28" s="19"/>
      <c r="G28" s="2"/>
      <c r="H28" s="2">
        <f>--2.34</f>
        <v>2.34</v>
      </c>
      <c r="I28" s="2"/>
      <c r="J28" s="19"/>
      <c r="K28" s="2"/>
      <c r="L28" s="2">
        <f t="shared" si="0"/>
        <v>-2.34</v>
      </c>
      <c r="M28" s="2"/>
      <c r="N28" s="19">
        <f t="shared" si="1"/>
        <v>-1</v>
      </c>
      <c r="O28" s="11"/>
      <c r="P28" s="2">
        <f t="shared" ref="P28:P29" si="7">0</f>
        <v>0</v>
      </c>
      <c r="Q28" s="2"/>
      <c r="R28" s="19"/>
      <c r="S28" s="2"/>
      <c r="T28" s="2">
        <f>--3.81</f>
        <v>3.81</v>
      </c>
      <c r="U28" s="2"/>
      <c r="V28" s="19"/>
      <c r="W28" s="2"/>
      <c r="X28" s="2">
        <f t="shared" si="2"/>
        <v>-3.81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"4033", " - ", "TAXABLE SALES-CANDY")</f>
        <v xml:space="preserve">          4033 - TAXABLE SALES-CANDY</v>
      </c>
      <c r="C29" s="11"/>
      <c r="D29" s="2">
        <f t="shared" si="6"/>
        <v>0</v>
      </c>
      <c r="E29" s="2"/>
      <c r="F29" s="19"/>
      <c r="G29" s="2"/>
      <c r="H29" s="2">
        <f>--9.83</f>
        <v>9.83</v>
      </c>
      <c r="I29" s="2"/>
      <c r="J29" s="19"/>
      <c r="K29" s="2"/>
      <c r="L29" s="2">
        <f t="shared" si="0"/>
        <v>-9.83</v>
      </c>
      <c r="M29" s="2"/>
      <c r="N29" s="19">
        <f t="shared" si="1"/>
        <v>-1</v>
      </c>
      <c r="O29" s="11"/>
      <c r="P29" s="2">
        <f t="shared" si="7"/>
        <v>0</v>
      </c>
      <c r="Q29" s="2"/>
      <c r="R29" s="19"/>
      <c r="S29" s="2"/>
      <c r="T29" s="2">
        <f>--13</f>
        <v>13</v>
      </c>
      <c r="U29" s="2"/>
      <c r="V29" s="19"/>
      <c r="W29" s="2"/>
      <c r="X29" s="2">
        <f t="shared" si="2"/>
        <v>-13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"4034", " - ", "TAXABLE SALES-SODA")</f>
        <v xml:space="preserve">          4034 - TAXABLE SALES-SODA</v>
      </c>
      <c r="C30" s="11"/>
      <c r="D30" s="2">
        <f t="shared" si="6"/>
        <v>0</v>
      </c>
      <c r="E30" s="2"/>
      <c r="F30" s="19"/>
      <c r="G30" s="2"/>
      <c r="H30" s="2">
        <f>--280.8</f>
        <v>280.8</v>
      </c>
      <c r="I30" s="2"/>
      <c r="J30" s="19"/>
      <c r="K30" s="2"/>
      <c r="L30" s="2">
        <f t="shared" si="0"/>
        <v>-280.8</v>
      </c>
      <c r="M30" s="2"/>
      <c r="N30" s="19">
        <f t="shared" si="1"/>
        <v>-1</v>
      </c>
      <c r="O30" s="11"/>
      <c r="P30" s="2">
        <f>--6.78</f>
        <v>6.78</v>
      </c>
      <c r="Q30" s="2"/>
      <c r="R30" s="19"/>
      <c r="S30" s="2"/>
      <c r="T30" s="2">
        <f>--315.54</f>
        <v>315.54000000000002</v>
      </c>
      <c r="U30" s="2"/>
      <c r="V30" s="19"/>
      <c r="W30" s="2"/>
      <c r="X30" s="2">
        <f t="shared" si="2"/>
        <v>-308.76000000000005</v>
      </c>
      <c r="Y30" s="2"/>
      <c r="Z30" s="19">
        <f t="shared" si="3"/>
        <v>-0.97851302528997919</v>
      </c>
    </row>
    <row r="31" spans="1:26" s="24" customFormat="1" hidden="1" outlineLevel="1" x14ac:dyDescent="0.25">
      <c r="A31" s="44"/>
      <c r="B31" s="11" t="str">
        <f>CONCATENATE("          ", "4035", " - ", "TAXABLE SALES-HEALTH &amp; BEAUTY")</f>
        <v xml:space="preserve">          4035 - TAXABLE SALES-HEALTH &amp; BEAUTY</v>
      </c>
      <c r="C31" s="11"/>
      <c r="D31" s="2">
        <f t="shared" si="6"/>
        <v>0</v>
      </c>
      <c r="E31" s="2"/>
      <c r="F31" s="19"/>
      <c r="G31" s="2"/>
      <c r="H31" s="2">
        <f>--92.48</f>
        <v>92.48</v>
      </c>
      <c r="I31" s="2"/>
      <c r="J31" s="19"/>
      <c r="K31" s="2"/>
      <c r="L31" s="2">
        <f t="shared" si="0"/>
        <v>-92.48</v>
      </c>
      <c r="M31" s="2"/>
      <c r="N31" s="19">
        <f t="shared" si="1"/>
        <v>-1</v>
      </c>
      <c r="O31" s="11"/>
      <c r="P31" s="2">
        <f t="shared" ref="P31:P32" si="8">0</f>
        <v>0</v>
      </c>
      <c r="Q31" s="2"/>
      <c r="R31" s="19"/>
      <c r="S31" s="2"/>
      <c r="T31" s="2">
        <f>--98.45</f>
        <v>98.45</v>
      </c>
      <c r="U31" s="2"/>
      <c r="V31" s="19"/>
      <c r="W31" s="2"/>
      <c r="X31" s="2">
        <f t="shared" si="2"/>
        <v>-98.45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"4037", " - ", "TAXABLE SALES-WATER")</f>
        <v xml:space="preserve">          4037 - TAXABLE SALES-WATER</v>
      </c>
      <c r="C32" s="11"/>
      <c r="D32" s="2">
        <f t="shared" si="6"/>
        <v>0</v>
      </c>
      <c r="E32" s="2"/>
      <c r="F32" s="19"/>
      <c r="G32" s="2"/>
      <c r="H32" s="2">
        <f>--36.88</f>
        <v>36.880000000000003</v>
      </c>
      <c r="I32" s="2"/>
      <c r="J32" s="19"/>
      <c r="K32" s="2"/>
      <c r="L32" s="2">
        <f t="shared" si="0"/>
        <v>-36.880000000000003</v>
      </c>
      <c r="M32" s="2"/>
      <c r="N32" s="19">
        <f t="shared" si="1"/>
        <v>-1</v>
      </c>
      <c r="O32" s="11"/>
      <c r="P32" s="2">
        <f t="shared" si="8"/>
        <v>0</v>
      </c>
      <c r="Q32" s="2"/>
      <c r="R32" s="19"/>
      <c r="S32" s="2"/>
      <c r="T32" s="2">
        <f>--42.17</f>
        <v>42.17</v>
      </c>
      <c r="U32" s="2"/>
      <c r="V32" s="19"/>
      <c r="W32" s="2"/>
      <c r="X32" s="2">
        <f t="shared" si="2"/>
        <v>-42.17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"4040", " - ", "TAXABLE SALES-LOGO CLOTHING")</f>
        <v xml:space="preserve">          4040 - TAXABLE SALES-LOGO CLOTHING</v>
      </c>
      <c r="C33" s="11"/>
      <c r="D33" s="2">
        <f>--177286.09</f>
        <v>177286.09</v>
      </c>
      <c r="E33" s="2"/>
      <c r="F33" s="19"/>
      <c r="G33" s="2"/>
      <c r="H33" s="2">
        <f>--219441.66</f>
        <v>219441.66</v>
      </c>
      <c r="I33" s="2"/>
      <c r="J33" s="19"/>
      <c r="K33" s="2"/>
      <c r="L33" s="2">
        <f t="shared" si="0"/>
        <v>-42155.570000000007</v>
      </c>
      <c r="M33" s="2"/>
      <c r="N33" s="19">
        <f t="shared" si="1"/>
        <v>-0.19210376917491423</v>
      </c>
      <c r="O33" s="11"/>
      <c r="P33" s="2">
        <f>--249578.35</f>
        <v>249578.35</v>
      </c>
      <c r="Q33" s="2"/>
      <c r="R33" s="19"/>
      <c r="S33" s="2"/>
      <c r="T33" s="2">
        <f>--389753.68</f>
        <v>389753.68</v>
      </c>
      <c r="U33" s="2"/>
      <c r="V33" s="19"/>
      <c r="W33" s="2"/>
      <c r="X33" s="2">
        <f t="shared" si="2"/>
        <v>-140175.32999999999</v>
      </c>
      <c r="Y33" s="2"/>
      <c r="Z33" s="19">
        <f t="shared" si="3"/>
        <v>-0.35965107500716859</v>
      </c>
    </row>
    <row r="34" spans="1:26" s="24" customFormat="1" hidden="1" outlineLevel="1" x14ac:dyDescent="0.25">
      <c r="A34" s="44"/>
      <c r="B34" s="11" t="str">
        <f>CONCATENATE("          ", "4041", " - ", "TAXABLE SALES-LOGO GIFTS")</f>
        <v xml:space="preserve">          4041 - TAXABLE SALES-LOGO GIFTS</v>
      </c>
      <c r="C34" s="11"/>
      <c r="D34" s="2">
        <f>--82120.65</f>
        <v>82120.649999999994</v>
      </c>
      <c r="E34" s="2"/>
      <c r="F34" s="19"/>
      <c r="G34" s="2"/>
      <c r="H34" s="2">
        <f>--120650.82</f>
        <v>120650.82</v>
      </c>
      <c r="I34" s="2"/>
      <c r="J34" s="19"/>
      <c r="K34" s="2"/>
      <c r="L34" s="2">
        <f t="shared" si="0"/>
        <v>-38530.170000000013</v>
      </c>
      <c r="M34" s="2"/>
      <c r="N34" s="19">
        <f t="shared" si="1"/>
        <v>-0.3193527404123736</v>
      </c>
      <c r="O34" s="11"/>
      <c r="P34" s="2">
        <f>--103309.56</f>
        <v>103309.56</v>
      </c>
      <c r="Q34" s="2"/>
      <c r="R34" s="19"/>
      <c r="S34" s="2"/>
      <c r="T34" s="2">
        <f>--151692.41</f>
        <v>151692.41</v>
      </c>
      <c r="U34" s="2"/>
      <c r="V34" s="19"/>
      <c r="W34" s="2"/>
      <c r="X34" s="2">
        <f t="shared" si="2"/>
        <v>-48382.850000000006</v>
      </c>
      <c r="Y34" s="2"/>
      <c r="Z34" s="19">
        <f t="shared" si="3"/>
        <v>-0.31895366419453686</v>
      </c>
    </row>
    <row r="35" spans="1:26" s="24" customFormat="1" hidden="1" outlineLevel="1" x14ac:dyDescent="0.25">
      <c r="A35" s="44"/>
      <c r="B35" s="11" t="str">
        <f>CONCATENATE("          ", "4042", " - ", "TAXABLE SALES-EVERYDAY GIFTS")</f>
        <v xml:space="preserve">          4042 - TAXABLE SALES-EVERYDAY GIFTS</v>
      </c>
      <c r="C35" s="11"/>
      <c r="D35" s="2">
        <f>--30421.14</f>
        <v>30421.14</v>
      </c>
      <c r="E35" s="2"/>
      <c r="F35" s="19"/>
      <c r="G35" s="2"/>
      <c r="H35" s="2">
        <f>--44445.92</f>
        <v>44445.919999999998</v>
      </c>
      <c r="I35" s="2"/>
      <c r="J35" s="19"/>
      <c r="K35" s="2"/>
      <c r="L35" s="2">
        <f t="shared" si="0"/>
        <v>-14024.779999999999</v>
      </c>
      <c r="M35" s="2"/>
      <c r="N35" s="19">
        <f t="shared" si="1"/>
        <v>-0.31554707383714858</v>
      </c>
      <c r="O35" s="11"/>
      <c r="P35" s="2">
        <f>--39925.04</f>
        <v>39925.040000000001</v>
      </c>
      <c r="Q35" s="2"/>
      <c r="R35" s="19"/>
      <c r="S35" s="2"/>
      <c r="T35" s="2">
        <f>--60038.97</f>
        <v>60038.97</v>
      </c>
      <c r="U35" s="2"/>
      <c r="V35" s="19"/>
      <c r="W35" s="2"/>
      <c r="X35" s="2">
        <f t="shared" si="2"/>
        <v>-20113.93</v>
      </c>
      <c r="Y35" s="2"/>
      <c r="Z35" s="19">
        <f t="shared" si="3"/>
        <v>-0.33501457470039875</v>
      </c>
    </row>
    <row r="36" spans="1:26" s="24" customFormat="1" hidden="1" outlineLevel="1" x14ac:dyDescent="0.25">
      <c r="A36" s="44"/>
      <c r="B36" s="11" t="str">
        <f>CONCATENATE("          ", "4043", " - ", "TAXABLE SALES-CARDS")</f>
        <v xml:space="preserve">          4043 - TAXABLE SALES-CARDS</v>
      </c>
      <c r="C36" s="11"/>
      <c r="D36" s="2">
        <f>--6768.27</f>
        <v>6768.27</v>
      </c>
      <c r="E36" s="2"/>
      <c r="F36" s="19"/>
      <c r="G36" s="2"/>
      <c r="H36" s="2">
        <f>--129.05</f>
        <v>129.05000000000001</v>
      </c>
      <c r="I36" s="2"/>
      <c r="J36" s="19"/>
      <c r="K36" s="2"/>
      <c r="L36" s="2">
        <f t="shared" si="0"/>
        <v>6639.22</v>
      </c>
      <c r="M36" s="2"/>
      <c r="N36" s="19">
        <f t="shared" si="1"/>
        <v>51.446881053855094</v>
      </c>
      <c r="O36" s="11"/>
      <c r="P36" s="2">
        <f>--6985.63</f>
        <v>6985.63</v>
      </c>
      <c r="Q36" s="2"/>
      <c r="R36" s="19"/>
      <c r="S36" s="2"/>
      <c r="T36" s="2">
        <f>--185.45</f>
        <v>185.45</v>
      </c>
      <c r="U36" s="2"/>
      <c r="V36" s="19"/>
      <c r="W36" s="2"/>
      <c r="X36" s="2">
        <f t="shared" si="2"/>
        <v>6800.18</v>
      </c>
      <c r="Y36" s="2"/>
      <c r="Z36" s="19">
        <f t="shared" si="3"/>
        <v>36.668535993529254</v>
      </c>
    </row>
    <row r="37" spans="1:26" s="24" customFormat="1" hidden="1" outlineLevel="1" x14ac:dyDescent="0.25">
      <c r="A37" s="44"/>
      <c r="B37" s="11" t="str">
        <f>CONCATENATE("          ", "4044", " - ", "TAXABLE SALES-ACCESSORIES")</f>
        <v xml:space="preserve">          4044 - TAXABLE SALES-ACCESSORIES</v>
      </c>
      <c r="C37" s="11"/>
      <c r="D37" s="2">
        <f>--6568.52</f>
        <v>6568.52</v>
      </c>
      <c r="E37" s="2"/>
      <c r="F37" s="19"/>
      <c r="G37" s="2"/>
      <c r="H37" s="2">
        <f>--19434.42</f>
        <v>19434.419999999998</v>
      </c>
      <c r="I37" s="2"/>
      <c r="J37" s="19"/>
      <c r="K37" s="2"/>
      <c r="L37" s="2">
        <f t="shared" si="0"/>
        <v>-12865.899999999998</v>
      </c>
      <c r="M37" s="2"/>
      <c r="N37" s="19">
        <f t="shared" si="1"/>
        <v>-0.66201615484279952</v>
      </c>
      <c r="O37" s="11"/>
      <c r="P37" s="2">
        <f>--8369.2</f>
        <v>8369.2000000000007</v>
      </c>
      <c r="Q37" s="2"/>
      <c r="R37" s="19"/>
      <c r="S37" s="2"/>
      <c r="T37" s="2">
        <f>--21777.07</f>
        <v>21777.07</v>
      </c>
      <c r="U37" s="2"/>
      <c r="V37" s="19"/>
      <c r="W37" s="2"/>
      <c r="X37" s="2">
        <f t="shared" si="2"/>
        <v>-13407.869999999999</v>
      </c>
      <c r="Y37" s="2"/>
      <c r="Z37" s="19">
        <f t="shared" si="3"/>
        <v>-0.61568750984406995</v>
      </c>
    </row>
    <row r="38" spans="1:26" s="24" customFormat="1" hidden="1" outlineLevel="1" x14ac:dyDescent="0.25">
      <c r="A38" s="44"/>
      <c r="B38" s="11" t="str">
        <f>CONCATENATE("          ", "4045", " - ", "TAXABLE SALES-SPECIAL ORDERS")</f>
        <v xml:space="preserve">          4045 - TAXABLE SALES-SPECIAL ORDERS</v>
      </c>
      <c r="C38" s="11"/>
      <c r="D38" s="2">
        <f>--46004.35</f>
        <v>46004.35</v>
      </c>
      <c r="E38" s="2"/>
      <c r="F38" s="19"/>
      <c r="G38" s="2"/>
      <c r="H38" s="2">
        <f>--6103.32</f>
        <v>6103.32</v>
      </c>
      <c r="I38" s="2"/>
      <c r="J38" s="19"/>
      <c r="K38" s="2"/>
      <c r="L38" s="2">
        <f t="shared" si="0"/>
        <v>39901.03</v>
      </c>
      <c r="M38" s="2"/>
      <c r="N38" s="19">
        <f t="shared" si="1"/>
        <v>6.5375942929422024</v>
      </c>
      <c r="O38" s="11"/>
      <c r="P38" s="2">
        <f>--89431.08</f>
        <v>89431.08</v>
      </c>
      <c r="Q38" s="2"/>
      <c r="R38" s="19"/>
      <c r="S38" s="2"/>
      <c r="T38" s="2">
        <f>--25524.04</f>
        <v>25524.04</v>
      </c>
      <c r="U38" s="2"/>
      <c r="V38" s="19"/>
      <c r="W38" s="2"/>
      <c r="X38" s="2">
        <f t="shared" si="2"/>
        <v>63907.040000000001</v>
      </c>
      <c r="Y38" s="2"/>
      <c r="Z38" s="19">
        <f t="shared" si="3"/>
        <v>2.5037979880927939</v>
      </c>
    </row>
    <row r="39" spans="1:26" s="24" customFormat="1" hidden="1" outlineLevel="1" x14ac:dyDescent="0.25">
      <c r="A39" s="44"/>
      <c r="B39" s="11" t="str">
        <f>CONCATENATE("          ", "4047", " - ", "TAXABLE SALES-MISC")</f>
        <v xml:space="preserve">          4047 - TAXABLE SALES-MISC</v>
      </c>
      <c r="C39" s="11"/>
      <c r="D39" s="2">
        <f>0</f>
        <v>0</v>
      </c>
      <c r="E39" s="2"/>
      <c r="F39" s="19"/>
      <c r="G39" s="2"/>
      <c r="H39" s="2">
        <f>--442.38</f>
        <v>442.38</v>
      </c>
      <c r="I39" s="2"/>
      <c r="J39" s="19"/>
      <c r="K39" s="2"/>
      <c r="L39" s="2">
        <f t="shared" si="0"/>
        <v>-442.38</v>
      </c>
      <c r="M39" s="2"/>
      <c r="N39" s="19">
        <f t="shared" si="1"/>
        <v>-1</v>
      </c>
      <c r="O39" s="11"/>
      <c r="P39" s="2">
        <f>0</f>
        <v>0</v>
      </c>
      <c r="Q39" s="2"/>
      <c r="R39" s="19"/>
      <c r="S39" s="2"/>
      <c r="T39" s="2">
        <f>--482.38</f>
        <v>482.38</v>
      </c>
      <c r="U39" s="2"/>
      <c r="V39" s="19"/>
      <c r="W39" s="2"/>
      <c r="X39" s="2">
        <f t="shared" si="2"/>
        <v>-482.38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"4081", " - ", "TAXABLE SALES-ELECTRONICS")</f>
        <v xml:space="preserve">          4081 - TAXABLE SALES-ELECTRONICS</v>
      </c>
      <c r="C40" s="11"/>
      <c r="D40" s="2">
        <f>--16305.86</f>
        <v>16305.86</v>
      </c>
      <c r="E40" s="2"/>
      <c r="F40" s="19"/>
      <c r="G40" s="2"/>
      <c r="H40" s="2">
        <f>--88736.22</f>
        <v>88736.22</v>
      </c>
      <c r="I40" s="2"/>
      <c r="J40" s="19"/>
      <c r="K40" s="2"/>
      <c r="L40" s="2">
        <f t="shared" si="0"/>
        <v>-72430.36</v>
      </c>
      <c r="M40" s="2"/>
      <c r="N40" s="19">
        <f t="shared" si="1"/>
        <v>-0.81624346856334429</v>
      </c>
      <c r="O40" s="11"/>
      <c r="P40" s="2">
        <f>--37863.02</f>
        <v>37863.019999999997</v>
      </c>
      <c r="Q40" s="2"/>
      <c r="R40" s="19"/>
      <c r="S40" s="2"/>
      <c r="T40" s="2">
        <f>--109688.79</f>
        <v>109688.79</v>
      </c>
      <c r="U40" s="2"/>
      <c r="V40" s="19"/>
      <c r="W40" s="2"/>
      <c r="X40" s="2">
        <f t="shared" si="2"/>
        <v>-71825.76999999999</v>
      </c>
      <c r="Y40" s="2"/>
      <c r="Z40" s="19">
        <f t="shared" si="3"/>
        <v>-0.65481413369588626</v>
      </c>
    </row>
    <row r="41" spans="1:26" s="24" customFormat="1" hidden="1" outlineLevel="1" x14ac:dyDescent="0.25">
      <c r="A41" s="44"/>
      <c r="B41" s="11" t="str">
        <f>CONCATENATE("          ", "4082", " - ", "TAXABLE SALES-COMPUTER HARDWAR")</f>
        <v xml:space="preserve">          4082 - TAXABLE SALES-COMPUTER HARDWAR</v>
      </c>
      <c r="C41" s="11"/>
      <c r="D41" s="2">
        <f>--403983.14</f>
        <v>403983.14</v>
      </c>
      <c r="E41" s="2"/>
      <c r="F41" s="19"/>
      <c r="G41" s="2"/>
      <c r="H41" s="2">
        <f>--414784.04</f>
        <v>414784.04</v>
      </c>
      <c r="I41" s="2"/>
      <c r="J41" s="19"/>
      <c r="K41" s="2"/>
      <c r="L41" s="2">
        <f t="shared" si="0"/>
        <v>-10800.899999999965</v>
      </c>
      <c r="M41" s="2"/>
      <c r="N41" s="19">
        <f t="shared" si="1"/>
        <v>-2.603981580390597E-2</v>
      </c>
      <c r="O41" s="11"/>
      <c r="P41" s="2">
        <f>--541212.01</f>
        <v>541212.01</v>
      </c>
      <c r="Q41" s="2"/>
      <c r="R41" s="19"/>
      <c r="S41" s="2"/>
      <c r="T41" s="2">
        <f>--813572.78</f>
        <v>813572.78</v>
      </c>
      <c r="U41" s="2"/>
      <c r="V41" s="19"/>
      <c r="W41" s="2"/>
      <c r="X41" s="2">
        <f t="shared" si="2"/>
        <v>-272360.77</v>
      </c>
      <c r="Y41" s="2"/>
      <c r="Z41" s="19">
        <f t="shared" si="3"/>
        <v>-0.33477124197788427</v>
      </c>
    </row>
    <row r="42" spans="1:26" s="24" customFormat="1" hidden="1" outlineLevel="1" x14ac:dyDescent="0.25">
      <c r="A42" s="44"/>
      <c r="B42" s="11" t="str">
        <f>CONCATENATE("          ", "4083", " - ", "TAXABLE SALES-COMPUTER EQUIPME")</f>
        <v xml:space="preserve">          4083 - TAXABLE SALES-COMPUTER EQUIPME</v>
      </c>
      <c r="C42" s="11"/>
      <c r="D42" s="2">
        <f>--42925.21</f>
        <v>42925.21</v>
      </c>
      <c r="E42" s="2"/>
      <c r="F42" s="19"/>
      <c r="G42" s="2"/>
      <c r="H42" s="2">
        <f>--15701.67</f>
        <v>15701.67</v>
      </c>
      <c r="I42" s="2"/>
      <c r="J42" s="19"/>
      <c r="K42" s="2"/>
      <c r="L42" s="2">
        <f t="shared" si="0"/>
        <v>27223.54</v>
      </c>
      <c r="M42" s="2"/>
      <c r="N42" s="19">
        <f t="shared" si="1"/>
        <v>1.7337990162829815</v>
      </c>
      <c r="O42" s="11"/>
      <c r="P42" s="2">
        <f>--49715.36</f>
        <v>49715.360000000001</v>
      </c>
      <c r="Q42" s="2"/>
      <c r="R42" s="19"/>
      <c r="S42" s="2"/>
      <c r="T42" s="2">
        <f>--23607.77</f>
        <v>23607.77</v>
      </c>
      <c r="U42" s="2"/>
      <c r="V42" s="19"/>
      <c r="W42" s="2"/>
      <c r="X42" s="2">
        <f t="shared" si="2"/>
        <v>26107.59</v>
      </c>
      <c r="Y42" s="2"/>
      <c r="Z42" s="19">
        <f t="shared" si="3"/>
        <v>1.1058897134290955</v>
      </c>
    </row>
    <row r="43" spans="1:26" s="24" customFormat="1" hidden="1" outlineLevel="1" x14ac:dyDescent="0.25">
      <c r="A43" s="44"/>
      <c r="B43" s="11" t="str">
        <f>CONCATENATE("          ", "4084", " - ", "TAXABLE SALES-SOFTWARE LICENSE")</f>
        <v xml:space="preserve">          4084 - TAXABLE SALES-SOFTWARE LICENSE</v>
      </c>
      <c r="C43" s="11"/>
      <c r="D43" s="2">
        <f>0</f>
        <v>0</v>
      </c>
      <c r="E43" s="2"/>
      <c r="F43" s="19"/>
      <c r="G43" s="2"/>
      <c r="H43" s="2">
        <f t="shared" ref="H43:H44" si="9"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>0</f>
        <v>0</v>
      </c>
      <c r="Q43" s="2"/>
      <c r="R43" s="19"/>
      <c r="S43" s="2"/>
      <c r="T43" s="2">
        <f>--129</f>
        <v>129</v>
      </c>
      <c r="U43" s="2"/>
      <c r="V43" s="19"/>
      <c r="W43" s="2"/>
      <c r="X43" s="2">
        <f t="shared" si="2"/>
        <v>-129</v>
      </c>
      <c r="Y43" s="2"/>
      <c r="Z43" s="19">
        <f t="shared" si="3"/>
        <v>-1</v>
      </c>
    </row>
    <row r="44" spans="1:26" s="24" customFormat="1" hidden="1" outlineLevel="1" x14ac:dyDescent="0.25">
      <c r="A44" s="44"/>
      <c r="B44" s="11" t="str">
        <f>CONCATENATE("          ", "4085", " - ", "TAXABLE SALES-SOFTWARE")</f>
        <v xml:space="preserve">          4085 - TAXABLE SALES-SOFTWARE</v>
      </c>
      <c r="C44" s="11"/>
      <c r="D44" s="2">
        <f>--129</f>
        <v>129</v>
      </c>
      <c r="E44" s="2"/>
      <c r="F44" s="19"/>
      <c r="G44" s="2"/>
      <c r="H44" s="2">
        <f t="shared" si="9"/>
        <v>0</v>
      </c>
      <c r="I44" s="2"/>
      <c r="J44" s="19"/>
      <c r="K44" s="2"/>
      <c r="L44" s="2">
        <f t="shared" si="0"/>
        <v>129</v>
      </c>
      <c r="M44" s="2"/>
      <c r="N44" s="19">
        <f t="shared" si="1"/>
        <v>0</v>
      </c>
      <c r="O44" s="11"/>
      <c r="P44" s="2">
        <f>--129</f>
        <v>129</v>
      </c>
      <c r="Q44" s="2"/>
      <c r="R44" s="19"/>
      <c r="S44" s="2"/>
      <c r="T44" s="2">
        <f>--493.95</f>
        <v>493.95</v>
      </c>
      <c r="U44" s="2"/>
      <c r="V44" s="19"/>
      <c r="W44" s="2"/>
      <c r="X44" s="2">
        <f t="shared" si="2"/>
        <v>-364.95</v>
      </c>
      <c r="Y44" s="2"/>
      <c r="Z44" s="19">
        <f t="shared" si="3"/>
        <v>-0.73883996355906467</v>
      </c>
    </row>
    <row r="45" spans="1:26" s="24" customFormat="1" hidden="1" outlineLevel="1" x14ac:dyDescent="0.25">
      <c r="A45" s="44"/>
      <c r="B45" s="11" t="str">
        <f>CONCATENATE("          ", "4086", " - ", "TAXABLE SALES-COMPUTER SUPPLIE")</f>
        <v xml:space="preserve">          4086 - TAXABLE SALES-COMPUTER SUPPLIE</v>
      </c>
      <c r="C45" s="11"/>
      <c r="D45" s="2">
        <f>--1308.27</f>
        <v>1308.27</v>
      </c>
      <c r="E45" s="2"/>
      <c r="F45" s="19"/>
      <c r="G45" s="2"/>
      <c r="H45" s="2">
        <f>--7672.23</f>
        <v>7672.23</v>
      </c>
      <c r="I45" s="2"/>
      <c r="J45" s="19"/>
      <c r="K45" s="2"/>
      <c r="L45" s="2">
        <f t="shared" si="0"/>
        <v>-6363.9599999999991</v>
      </c>
      <c r="M45" s="2"/>
      <c r="N45" s="19">
        <f t="shared" si="1"/>
        <v>-0.8294798252919946</v>
      </c>
      <c r="O45" s="11"/>
      <c r="P45" s="2">
        <f>--27267.48</f>
        <v>27267.48</v>
      </c>
      <c r="Q45" s="2"/>
      <c r="R45" s="19"/>
      <c r="S45" s="2"/>
      <c r="T45" s="2">
        <f>--9667.55</f>
        <v>9667.5499999999993</v>
      </c>
      <c r="U45" s="2"/>
      <c r="V45" s="19"/>
      <c r="W45" s="2"/>
      <c r="X45" s="2">
        <f t="shared" si="2"/>
        <v>17599.93</v>
      </c>
      <c r="Y45" s="2"/>
      <c r="Z45" s="19">
        <f t="shared" si="3"/>
        <v>1.820516056291408</v>
      </c>
    </row>
    <row r="46" spans="1:26" s="24" customFormat="1" hidden="1" outlineLevel="1" x14ac:dyDescent="0.25">
      <c r="A46" s="44"/>
      <c r="B46" s="11" t="str">
        <f>CONCATENATE("          ", "4088", " - ", "TAXABLE SALES-MUSIC")</f>
        <v xml:space="preserve">          4088 - TAXABLE SALES-MUSIC</v>
      </c>
      <c r="C46" s="11"/>
      <c r="D46" s="2">
        <f t="shared" ref="D46:D48" si="10">0</f>
        <v>0</v>
      </c>
      <c r="E46" s="2"/>
      <c r="F46" s="19"/>
      <c r="G46" s="2"/>
      <c r="H46" s="2">
        <f>--259.98</f>
        <v>259.98</v>
      </c>
      <c r="I46" s="2"/>
      <c r="J46" s="19"/>
      <c r="K46" s="2"/>
      <c r="L46" s="2">
        <f t="shared" si="0"/>
        <v>-259.98</v>
      </c>
      <c r="M46" s="2"/>
      <c r="N46" s="19">
        <f t="shared" si="1"/>
        <v>-1</v>
      </c>
      <c r="O46" s="11"/>
      <c r="P46" s="2">
        <f t="shared" ref="P46:P48" si="11">0</f>
        <v>0</v>
      </c>
      <c r="Q46" s="2"/>
      <c r="R46" s="19"/>
      <c r="S46" s="2"/>
      <c r="T46" s="2">
        <f>--518.97</f>
        <v>518.97</v>
      </c>
      <c r="U46" s="2"/>
      <c r="V46" s="19"/>
      <c r="W46" s="2"/>
      <c r="X46" s="2">
        <f t="shared" si="2"/>
        <v>-518.97</v>
      </c>
      <c r="Y46" s="2"/>
      <c r="Z46" s="19">
        <f t="shared" si="3"/>
        <v>-1</v>
      </c>
    </row>
    <row r="47" spans="1:26" s="24" customFormat="1" hidden="1" outlineLevel="1" x14ac:dyDescent="0.25">
      <c r="A47" s="44"/>
      <c r="B47" s="11" t="str">
        <f>CONCATENATE("          ", "4092", " - ", "TAXABLE SALES-GRAD MERCH")</f>
        <v xml:space="preserve">          4092 - TAXABLE SALES-GRAD MERCH</v>
      </c>
      <c r="C47" s="11"/>
      <c r="D47" s="2">
        <f t="shared" si="10"/>
        <v>0</v>
      </c>
      <c r="E47" s="2"/>
      <c r="F47" s="19"/>
      <c r="G47" s="2"/>
      <c r="H47" s="2">
        <f>--1694.1</f>
        <v>1694.1</v>
      </c>
      <c r="I47" s="2"/>
      <c r="J47" s="19"/>
      <c r="K47" s="2"/>
      <c r="L47" s="2">
        <f t="shared" si="0"/>
        <v>-1694.1</v>
      </c>
      <c r="M47" s="2"/>
      <c r="N47" s="19">
        <f t="shared" si="1"/>
        <v>-1</v>
      </c>
      <c r="O47" s="11"/>
      <c r="P47" s="2">
        <f t="shared" si="11"/>
        <v>0</v>
      </c>
      <c r="Q47" s="2"/>
      <c r="R47" s="19"/>
      <c r="S47" s="2"/>
      <c r="T47" s="2">
        <f>--3822.73</f>
        <v>3822.73</v>
      </c>
      <c r="U47" s="2"/>
      <c r="V47" s="19"/>
      <c r="W47" s="2"/>
      <c r="X47" s="2">
        <f t="shared" si="2"/>
        <v>-3822.73</v>
      </c>
      <c r="Y47" s="2"/>
      <c r="Z47" s="19">
        <f t="shared" si="3"/>
        <v>-1</v>
      </c>
    </row>
    <row r="48" spans="1:26" s="24" customFormat="1" hidden="1" outlineLevel="1" x14ac:dyDescent="0.25">
      <c r="A48" s="44"/>
      <c r="B48" s="11" t="str">
        <f>CONCATENATE("          ", "4095", " - ", "TAXABLE SALES-CUSTOMER SERVICE")</f>
        <v xml:space="preserve">          4095 - TAXABLE SALES-CUSTOMER SERVICE</v>
      </c>
      <c r="C48" s="11"/>
      <c r="D48" s="2">
        <f t="shared" si="10"/>
        <v>0</v>
      </c>
      <c r="E48" s="2"/>
      <c r="F48" s="19"/>
      <c r="G48" s="2"/>
      <c r="H48" s="2">
        <f>--127.49</f>
        <v>127.49</v>
      </c>
      <c r="I48" s="2"/>
      <c r="J48" s="19"/>
      <c r="K48" s="2"/>
      <c r="L48" s="2">
        <f t="shared" si="0"/>
        <v>-127.49</v>
      </c>
      <c r="M48" s="2"/>
      <c r="N48" s="19">
        <f t="shared" si="1"/>
        <v>-1</v>
      </c>
      <c r="O48" s="11"/>
      <c r="P48" s="2">
        <f t="shared" si="11"/>
        <v>0</v>
      </c>
      <c r="Q48" s="2"/>
      <c r="R48" s="19"/>
      <c r="S48" s="2"/>
      <c r="T48" s="2">
        <f>--174.02</f>
        <v>174.02</v>
      </c>
      <c r="U48" s="2"/>
      <c r="V48" s="19"/>
      <c r="W48" s="2"/>
      <c r="X48" s="2">
        <f t="shared" si="2"/>
        <v>-174.02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"4100", " - ", "NON-TAXABLE SALES")</f>
        <v xml:space="preserve">          4100 - NON-TAXABLE SALES</v>
      </c>
      <c r="C49" s="11"/>
      <c r="D49" s="2">
        <f>--150360.03</f>
        <v>150360.03</v>
      </c>
      <c r="E49" s="2"/>
      <c r="F49" s="19"/>
      <c r="G49" s="2"/>
      <c r="H49" s="2">
        <f>--261252.23</f>
        <v>261252.23</v>
      </c>
      <c r="I49" s="2"/>
      <c r="J49" s="19"/>
      <c r="K49" s="2"/>
      <c r="L49" s="2">
        <f t="shared" si="0"/>
        <v>-110892.20000000001</v>
      </c>
      <c r="M49" s="2"/>
      <c r="N49" s="19">
        <f t="shared" si="1"/>
        <v>-0.42446412801911781</v>
      </c>
      <c r="O49" s="11"/>
      <c r="P49" s="2">
        <f>--153398.33</f>
        <v>153398.32999999999</v>
      </c>
      <c r="Q49" s="2"/>
      <c r="R49" s="19"/>
      <c r="S49" s="2"/>
      <c r="T49" s="2">
        <f>--265514.43</f>
        <v>265514.43</v>
      </c>
      <c r="U49" s="2"/>
      <c r="V49" s="19"/>
      <c r="W49" s="2"/>
      <c r="X49" s="2">
        <f t="shared" si="2"/>
        <v>-112116.1</v>
      </c>
      <c r="Y49" s="2"/>
      <c r="Z49" s="19">
        <f t="shared" si="3"/>
        <v>-0.42225991257800943</v>
      </c>
    </row>
    <row r="50" spans="1:26" s="24" customFormat="1" hidden="1" outlineLevel="1" x14ac:dyDescent="0.25">
      <c r="A50" s="44"/>
      <c r="B50" s="11" t="str">
        <f>CONCATENATE("          ", "4101", " - ", "NON-TAXABLE SALES-NEW TEXT")</f>
        <v xml:space="preserve">          4101 - NON-TAXABLE SALES-NEW TEXT</v>
      </c>
      <c r="C50" s="11"/>
      <c r="D50" s="2">
        <f>--41238.82</f>
        <v>41238.82</v>
      </c>
      <c r="E50" s="2"/>
      <c r="F50" s="19"/>
      <c r="G50" s="2"/>
      <c r="H50" s="2">
        <f>--48156.44</f>
        <v>48156.44</v>
      </c>
      <c r="I50" s="2"/>
      <c r="J50" s="19"/>
      <c r="K50" s="2"/>
      <c r="L50" s="2">
        <f t="shared" si="0"/>
        <v>-6917.6200000000026</v>
      </c>
      <c r="M50" s="2"/>
      <c r="N50" s="19">
        <f t="shared" si="1"/>
        <v>-0.14364890760197394</v>
      </c>
      <c r="O50" s="11"/>
      <c r="P50" s="2">
        <f>--51580.68</f>
        <v>51580.68</v>
      </c>
      <c r="Q50" s="2"/>
      <c r="R50" s="19"/>
      <c r="S50" s="2"/>
      <c r="T50" s="2">
        <f>--55893.02</f>
        <v>55893.02</v>
      </c>
      <c r="U50" s="2"/>
      <c r="V50" s="19"/>
      <c r="W50" s="2"/>
      <c r="X50" s="2">
        <f t="shared" si="2"/>
        <v>-4312.3399999999965</v>
      </c>
      <c r="Y50" s="2"/>
      <c r="Z50" s="19">
        <f t="shared" si="3"/>
        <v>-7.7153462095982589E-2</v>
      </c>
    </row>
    <row r="51" spans="1:26" s="24" customFormat="1" hidden="1" outlineLevel="1" x14ac:dyDescent="0.25">
      <c r="A51" s="44"/>
      <c r="B51" s="11" t="str">
        <f>CONCATENATE("          ", "4102", " - ", "NON-TAXABLE SALES-USED TEXT")</f>
        <v xml:space="preserve">          4102 - NON-TAXABLE SALES-USED TEXT</v>
      </c>
      <c r="C51" s="11"/>
      <c r="D51" s="2">
        <f>--17373.3</f>
        <v>17373.3</v>
      </c>
      <c r="E51" s="2"/>
      <c r="F51" s="19"/>
      <c r="G51" s="2"/>
      <c r="H51" s="2">
        <f>--27115.09</f>
        <v>27115.09</v>
      </c>
      <c r="I51" s="2"/>
      <c r="J51" s="19"/>
      <c r="K51" s="2"/>
      <c r="L51" s="2">
        <f t="shared" si="0"/>
        <v>-9741.7900000000009</v>
      </c>
      <c r="M51" s="2"/>
      <c r="N51" s="19">
        <f t="shared" si="1"/>
        <v>-0.35927559156174665</v>
      </c>
      <c r="O51" s="11"/>
      <c r="P51" s="2">
        <f>--21563.74</f>
        <v>21563.74</v>
      </c>
      <c r="Q51" s="2"/>
      <c r="R51" s="19"/>
      <c r="S51" s="2"/>
      <c r="T51" s="2">
        <f>--32474.33</f>
        <v>32474.33</v>
      </c>
      <c r="U51" s="2"/>
      <c r="V51" s="19"/>
      <c r="W51" s="2"/>
      <c r="X51" s="2">
        <f t="shared" si="2"/>
        <v>-10910.59</v>
      </c>
      <c r="Y51" s="2"/>
      <c r="Z51" s="19">
        <f t="shared" si="3"/>
        <v>-0.33597583075616955</v>
      </c>
    </row>
    <row r="52" spans="1:26" s="24" customFormat="1" hidden="1" outlineLevel="1" x14ac:dyDescent="0.25">
      <c r="A52" s="44"/>
      <c r="B52" s="11" t="str">
        <f>CONCATENATE("          ", "4103", " - ", "NON-TAXABLE SALES-RENTAL TEXT")</f>
        <v xml:space="preserve">          4103 - NON-TAXABLE SALES-RENTAL TEXT</v>
      </c>
      <c r="C52" s="11"/>
      <c r="D52" s="2">
        <f>0</f>
        <v>0</v>
      </c>
      <c r="E52" s="2"/>
      <c r="F52" s="19"/>
      <c r="G52" s="2"/>
      <c r="H52" s="2">
        <f>--474.97</f>
        <v>474.97</v>
      </c>
      <c r="I52" s="2"/>
      <c r="J52" s="19"/>
      <c r="K52" s="2"/>
      <c r="L52" s="2">
        <f t="shared" si="0"/>
        <v>-474.97</v>
      </c>
      <c r="M52" s="2"/>
      <c r="N52" s="19">
        <f t="shared" si="1"/>
        <v>-1</v>
      </c>
      <c r="O52" s="11"/>
      <c r="P52" s="2">
        <f>0</f>
        <v>0</v>
      </c>
      <c r="Q52" s="2"/>
      <c r="R52" s="19"/>
      <c r="S52" s="2"/>
      <c r="T52" s="2">
        <f>--474.97</f>
        <v>474.97</v>
      </c>
      <c r="U52" s="2"/>
      <c r="V52" s="19"/>
      <c r="W52" s="2"/>
      <c r="X52" s="2">
        <f t="shared" si="2"/>
        <v>-474.97</v>
      </c>
      <c r="Y52" s="2"/>
      <c r="Z52" s="19">
        <f t="shared" si="3"/>
        <v>-1</v>
      </c>
    </row>
    <row r="53" spans="1:26" s="24" customFormat="1" hidden="1" outlineLevel="1" x14ac:dyDescent="0.25">
      <c r="A53" s="44"/>
      <c r="B53" s="11" t="str">
        <f>CONCATENATE("          ", "4104", " - ", "NON-TAXABLE SALES-DIGITAL TEXT")</f>
        <v xml:space="preserve">          4104 - NON-TAXABLE SALES-DIGITAL TEXT</v>
      </c>
      <c r="C53" s="11"/>
      <c r="D53" s="2">
        <f>--205404.66</f>
        <v>205404.66</v>
      </c>
      <c r="E53" s="2"/>
      <c r="F53" s="19"/>
      <c r="G53" s="2"/>
      <c r="H53" s="2">
        <f>--246443.9</f>
        <v>246443.9</v>
      </c>
      <c r="I53" s="2"/>
      <c r="J53" s="19"/>
      <c r="K53" s="2"/>
      <c r="L53" s="2">
        <f t="shared" si="0"/>
        <v>-41039.239999999991</v>
      </c>
      <c r="M53" s="2"/>
      <c r="N53" s="19">
        <f t="shared" si="1"/>
        <v>-0.16652568799633505</v>
      </c>
      <c r="O53" s="11"/>
      <c r="P53" s="2">
        <f>--212890.18</f>
        <v>212890.18</v>
      </c>
      <c r="Q53" s="2"/>
      <c r="R53" s="19"/>
      <c r="S53" s="2"/>
      <c r="T53" s="2">
        <f>--259868.07</f>
        <v>259868.07</v>
      </c>
      <c r="U53" s="2"/>
      <c r="V53" s="19"/>
      <c r="W53" s="2"/>
      <c r="X53" s="2">
        <f t="shared" si="2"/>
        <v>-46977.890000000014</v>
      </c>
      <c r="Y53" s="2"/>
      <c r="Z53" s="19">
        <f t="shared" si="3"/>
        <v>-0.18077592218235974</v>
      </c>
    </row>
    <row r="54" spans="1:26" s="24" customFormat="1" hidden="1" outlineLevel="1" x14ac:dyDescent="0.25">
      <c r="A54" s="44"/>
      <c r="B54" s="11" t="str">
        <f>CONCATENATE("          ", "4111", " - ", "NON-TAXABLE SALES-NO VALUE TEX")</f>
        <v xml:space="preserve">          4111 - NON-TAXABLE SALES-NO VALUE TEX</v>
      </c>
      <c r="C54" s="11"/>
      <c r="D54" s="2">
        <f t="shared" ref="D54:D55" si="12">0</f>
        <v>0</v>
      </c>
      <c r="E54" s="2"/>
      <c r="F54" s="19"/>
      <c r="G54" s="2"/>
      <c r="H54" s="2">
        <f>--3067.16</f>
        <v>3067.16</v>
      </c>
      <c r="I54" s="2"/>
      <c r="J54" s="19"/>
      <c r="K54" s="2"/>
      <c r="L54" s="2">
        <f t="shared" si="0"/>
        <v>-3067.16</v>
      </c>
      <c r="M54" s="2"/>
      <c r="N54" s="19">
        <f t="shared" si="1"/>
        <v>-1</v>
      </c>
      <c r="O54" s="11"/>
      <c r="P54" s="2">
        <f t="shared" ref="P54:P55" si="13">0</f>
        <v>0</v>
      </c>
      <c r="Q54" s="2"/>
      <c r="R54" s="19"/>
      <c r="S54" s="2"/>
      <c r="T54" s="2">
        <f>--5748.11</f>
        <v>5748.11</v>
      </c>
      <c r="U54" s="2"/>
      <c r="V54" s="19"/>
      <c r="W54" s="2"/>
      <c r="X54" s="2">
        <f t="shared" si="2"/>
        <v>-5748.11</v>
      </c>
      <c r="Y54" s="2"/>
      <c r="Z54" s="19">
        <f t="shared" si="3"/>
        <v>-1</v>
      </c>
    </row>
    <row r="55" spans="1:26" s="24" customFormat="1" hidden="1" outlineLevel="1" x14ac:dyDescent="0.25">
      <c r="A55" s="44"/>
      <c r="B55" s="11" t="str">
        <f>CONCATENATE("          ", "4113", " - ", "NON-TAXABLE SALES-TRADE BOOKS")</f>
        <v xml:space="preserve">          4113 - NON-TAXABLE SALES-TRADE BOOKS</v>
      </c>
      <c r="C55" s="11"/>
      <c r="D55" s="2">
        <f t="shared" si="12"/>
        <v>0</v>
      </c>
      <c r="E55" s="2"/>
      <c r="F55" s="19"/>
      <c r="G55" s="2"/>
      <c r="H55" s="2">
        <f>--12.72</f>
        <v>12.72</v>
      </c>
      <c r="I55" s="2"/>
      <c r="J55" s="19"/>
      <c r="K55" s="2"/>
      <c r="L55" s="2">
        <f t="shared" si="0"/>
        <v>-12.72</v>
      </c>
      <c r="M55" s="2"/>
      <c r="N55" s="19">
        <f t="shared" si="1"/>
        <v>-1</v>
      </c>
      <c r="O55" s="11"/>
      <c r="P55" s="2">
        <f t="shared" si="13"/>
        <v>0</v>
      </c>
      <c r="Q55" s="2"/>
      <c r="R55" s="19"/>
      <c r="S55" s="2"/>
      <c r="T55" s="2">
        <f>--1146.72</f>
        <v>1146.72</v>
      </c>
      <c r="U55" s="2"/>
      <c r="V55" s="19"/>
      <c r="W55" s="2"/>
      <c r="X55" s="2">
        <f t="shared" si="2"/>
        <v>-1146.72</v>
      </c>
      <c r="Y55" s="2"/>
      <c r="Z55" s="19">
        <f t="shared" si="3"/>
        <v>-1</v>
      </c>
    </row>
    <row r="56" spans="1:26" s="24" customFormat="1" hidden="1" outlineLevel="1" x14ac:dyDescent="0.25">
      <c r="A56" s="44"/>
      <c r="B56" s="11" t="str">
        <f>CONCATENATE("          ", "4118", " - ", "NON-TAXABLE SALES-STUDY GUIDES")</f>
        <v xml:space="preserve">          4118 - NON-TAXABLE SALES-STUDY GUIDES</v>
      </c>
      <c r="C56" s="11"/>
      <c r="D56" s="2">
        <f>--47.87</f>
        <v>47.87</v>
      </c>
      <c r="E56" s="2"/>
      <c r="F56" s="19"/>
      <c r="G56" s="2"/>
      <c r="H56" s="2">
        <f>--7.02</f>
        <v>7.02</v>
      </c>
      <c r="I56" s="2"/>
      <c r="J56" s="19"/>
      <c r="K56" s="2"/>
      <c r="L56" s="2">
        <f t="shared" si="0"/>
        <v>40.849999999999994</v>
      </c>
      <c r="M56" s="2"/>
      <c r="N56" s="19">
        <f t="shared" si="1"/>
        <v>5.8190883190883183</v>
      </c>
      <c r="O56" s="11"/>
      <c r="P56" s="2">
        <f>--101.83</f>
        <v>101.83</v>
      </c>
      <c r="Q56" s="2"/>
      <c r="R56" s="19"/>
      <c r="S56" s="2"/>
      <c r="T56" s="2">
        <f>--13.97</f>
        <v>13.97</v>
      </c>
      <c r="U56" s="2"/>
      <c r="V56" s="19"/>
      <c r="W56" s="2"/>
      <c r="X56" s="2">
        <f t="shared" si="2"/>
        <v>87.86</v>
      </c>
      <c r="Y56" s="2"/>
      <c r="Z56" s="19">
        <f t="shared" si="3"/>
        <v>6.289191123836793</v>
      </c>
    </row>
    <row r="57" spans="1:26" s="24" customFormat="1" hidden="1" outlineLevel="1" x14ac:dyDescent="0.25">
      <c r="A57" s="44"/>
      <c r="B57" s="11" t="str">
        <f>CONCATENATE("          ", "4125", " - ", "NON-TAXABLE SALES-TEST FORMS")</f>
        <v xml:space="preserve">          4125 - NON-TAXABLE SALES-TEST FORMS</v>
      </c>
      <c r="C57" s="11"/>
      <c r="D57" s="2">
        <f t="shared" ref="D57:D58" si="14">0</f>
        <v>0</v>
      </c>
      <c r="E57" s="2"/>
      <c r="F57" s="19"/>
      <c r="G57" s="2"/>
      <c r="H57" s="2">
        <f>--77.17</f>
        <v>77.17</v>
      </c>
      <c r="I57" s="2"/>
      <c r="J57" s="19"/>
      <c r="K57" s="2"/>
      <c r="L57" s="2">
        <f t="shared" si="0"/>
        <v>-77.17</v>
      </c>
      <c r="M57" s="2"/>
      <c r="N57" s="19">
        <f t="shared" si="1"/>
        <v>-1</v>
      </c>
      <c r="O57" s="11"/>
      <c r="P57" s="2">
        <f>0</f>
        <v>0</v>
      </c>
      <c r="Q57" s="2"/>
      <c r="R57" s="19"/>
      <c r="S57" s="2"/>
      <c r="T57" s="2">
        <f>--82.15</f>
        <v>82.15</v>
      </c>
      <c r="U57" s="2"/>
      <c r="V57" s="19"/>
      <c r="W57" s="2"/>
      <c r="X57" s="2">
        <f t="shared" si="2"/>
        <v>-82.15</v>
      </c>
      <c r="Y57" s="2"/>
      <c r="Z57" s="19">
        <f t="shared" si="3"/>
        <v>-1</v>
      </c>
    </row>
    <row r="58" spans="1:26" s="24" customFormat="1" hidden="1" outlineLevel="1" x14ac:dyDescent="0.25">
      <c r="A58" s="44"/>
      <c r="B58" s="11" t="str">
        <f>CONCATENATE("          ", "4126", " - ", "NON-TAXABLE SALES-WRITING INST")</f>
        <v xml:space="preserve">          4126 - NON-TAXABLE SALES-WRITING INST</v>
      </c>
      <c r="C58" s="11"/>
      <c r="D58" s="2">
        <f t="shared" si="14"/>
        <v>0</v>
      </c>
      <c r="E58" s="2"/>
      <c r="F58" s="19"/>
      <c r="G58" s="2"/>
      <c r="H58" s="2">
        <f>--844.09</f>
        <v>844.09</v>
      </c>
      <c r="I58" s="2"/>
      <c r="J58" s="19"/>
      <c r="K58" s="2"/>
      <c r="L58" s="2">
        <f t="shared" si="0"/>
        <v>-844.09</v>
      </c>
      <c r="M58" s="2"/>
      <c r="N58" s="19">
        <f t="shared" si="1"/>
        <v>-1</v>
      </c>
      <c r="O58" s="11"/>
      <c r="P58" s="2">
        <f>--52.68</f>
        <v>52.68</v>
      </c>
      <c r="Q58" s="2"/>
      <c r="R58" s="19"/>
      <c r="S58" s="2"/>
      <c r="T58" s="2">
        <f>--1011.12</f>
        <v>1011.12</v>
      </c>
      <c r="U58" s="2"/>
      <c r="V58" s="19"/>
      <c r="W58" s="2"/>
      <c r="X58" s="2">
        <f t="shared" si="2"/>
        <v>-958.44</v>
      </c>
      <c r="Y58" s="2"/>
      <c r="Z58" s="19">
        <f t="shared" si="3"/>
        <v>-0.94789935912651324</v>
      </c>
    </row>
    <row r="59" spans="1:26" s="24" customFormat="1" hidden="1" outlineLevel="1" x14ac:dyDescent="0.25">
      <c r="A59" s="44"/>
      <c r="B59" s="11" t="str">
        <f>CONCATENATE("          ", "4127", " - ", "NON-TAXABLE SALES-SCHOOL SUPPL")</f>
        <v xml:space="preserve">          4127 - NON-TAXABLE SALES-SCHOOL SUPPL</v>
      </c>
      <c r="C59" s="11"/>
      <c r="D59" s="2">
        <f>--1788.16</f>
        <v>1788.16</v>
      </c>
      <c r="E59" s="2"/>
      <c r="F59" s="19"/>
      <c r="G59" s="2"/>
      <c r="H59" s="2">
        <f>--1692.39</f>
        <v>1692.39</v>
      </c>
      <c r="I59" s="2"/>
      <c r="J59" s="19"/>
      <c r="K59" s="2"/>
      <c r="L59" s="2">
        <f t="shared" si="0"/>
        <v>95.769999999999982</v>
      </c>
      <c r="M59" s="2"/>
      <c r="N59" s="19">
        <f t="shared" si="1"/>
        <v>5.658861137208325E-2</v>
      </c>
      <c r="O59" s="11"/>
      <c r="P59" s="2">
        <f>--1860.41</f>
        <v>1860.41</v>
      </c>
      <c r="Q59" s="2"/>
      <c r="R59" s="19"/>
      <c r="S59" s="2"/>
      <c r="T59" s="2">
        <f>--1870.28</f>
        <v>1870.28</v>
      </c>
      <c r="U59" s="2"/>
      <c r="V59" s="19"/>
      <c r="W59" s="2"/>
      <c r="X59" s="2">
        <f t="shared" si="2"/>
        <v>-9.8699999999998909</v>
      </c>
      <c r="Y59" s="2"/>
      <c r="Z59" s="19">
        <f t="shared" si="3"/>
        <v>-5.2772846846460908E-3</v>
      </c>
    </row>
    <row r="60" spans="1:26" s="24" customFormat="1" hidden="1" outlineLevel="1" x14ac:dyDescent="0.25">
      <c r="A60" s="44"/>
      <c r="B60" s="11" t="str">
        <f>CONCATENATE("          ", "4128", " - ", "NON-TAXABLE SALES-ART/TECH")</f>
        <v xml:space="preserve">          4128 - NON-TAXABLE SALES-ART/TECH</v>
      </c>
      <c r="C60" s="11"/>
      <c r="D60" s="2">
        <f>0</f>
        <v>0</v>
      </c>
      <c r="E60" s="2"/>
      <c r="F60" s="19"/>
      <c r="G60" s="2"/>
      <c r="H60" s="2">
        <f>--128.61</f>
        <v>128.61000000000001</v>
      </c>
      <c r="I60" s="2"/>
      <c r="J60" s="19"/>
      <c r="K60" s="2"/>
      <c r="L60" s="2">
        <f t="shared" si="0"/>
        <v>-128.61000000000001</v>
      </c>
      <c r="M60" s="2"/>
      <c r="N60" s="19">
        <f t="shared" si="1"/>
        <v>-1</v>
      </c>
      <c r="O60" s="11"/>
      <c r="P60" s="2">
        <f>0</f>
        <v>0</v>
      </c>
      <c r="Q60" s="2"/>
      <c r="R60" s="19"/>
      <c r="S60" s="2"/>
      <c r="T60" s="2">
        <f>--130.1</f>
        <v>130.1</v>
      </c>
      <c r="U60" s="2"/>
      <c r="V60" s="19"/>
      <c r="W60" s="2"/>
      <c r="X60" s="2">
        <f t="shared" si="2"/>
        <v>-130.1</v>
      </c>
      <c r="Y60" s="2"/>
      <c r="Z60" s="19">
        <f t="shared" si="3"/>
        <v>-1</v>
      </c>
    </row>
    <row r="61" spans="1:26" s="24" customFormat="1" hidden="1" outlineLevel="1" x14ac:dyDescent="0.25">
      <c r="A61" s="44"/>
      <c r="B61" s="11" t="str">
        <f>CONCATENATE("          ", "4131", " - ", "NON-TAXABLE SALES-FOOD")</f>
        <v xml:space="preserve">          4131 - NON-TAXABLE SALES-FOOD</v>
      </c>
      <c r="C61" s="11"/>
      <c r="D61" s="2">
        <f>--1575.79</f>
        <v>1575.79</v>
      </c>
      <c r="E61" s="2"/>
      <c r="F61" s="19"/>
      <c r="G61" s="2"/>
      <c r="H61" s="2">
        <f>--2447.58</f>
        <v>2447.58</v>
      </c>
      <c r="I61" s="2"/>
      <c r="J61" s="19"/>
      <c r="K61" s="2"/>
      <c r="L61" s="2">
        <f t="shared" si="0"/>
        <v>-871.79</v>
      </c>
      <c r="M61" s="2"/>
      <c r="N61" s="19">
        <f t="shared" si="1"/>
        <v>-0.35618447609475479</v>
      </c>
      <c r="O61" s="11"/>
      <c r="P61" s="2">
        <f>--1835.22</f>
        <v>1835.22</v>
      </c>
      <c r="Q61" s="2"/>
      <c r="R61" s="19"/>
      <c r="S61" s="2"/>
      <c r="T61" s="2">
        <f>--2717.2</f>
        <v>2717.2</v>
      </c>
      <c r="U61" s="2"/>
      <c r="V61" s="19"/>
      <c r="W61" s="2"/>
      <c r="X61" s="2">
        <f t="shared" si="2"/>
        <v>-881.97999999999979</v>
      </c>
      <c r="Y61" s="2"/>
      <c r="Z61" s="19">
        <f t="shared" si="3"/>
        <v>-0.3245914912409833</v>
      </c>
    </row>
    <row r="62" spans="1:26" s="24" customFormat="1" hidden="1" outlineLevel="1" x14ac:dyDescent="0.25">
      <c r="A62" s="44"/>
      <c r="B62" s="11" t="str">
        <f>CONCATENATE("          ", "4132", " - ", "NON-TAXABLE SALES-JUICE")</f>
        <v xml:space="preserve">          4132 - NON-TAXABLE SALES-JUICE</v>
      </c>
      <c r="C62" s="11"/>
      <c r="D62" s="2">
        <f>0</f>
        <v>0</v>
      </c>
      <c r="E62" s="2"/>
      <c r="F62" s="19"/>
      <c r="G62" s="2"/>
      <c r="H62" s="2">
        <f>--713.6</f>
        <v>713.6</v>
      </c>
      <c r="I62" s="2"/>
      <c r="J62" s="19"/>
      <c r="K62" s="2"/>
      <c r="L62" s="2">
        <f t="shared" si="0"/>
        <v>-713.6</v>
      </c>
      <c r="M62" s="2"/>
      <c r="N62" s="19">
        <f t="shared" si="1"/>
        <v>-1</v>
      </c>
      <c r="O62" s="11"/>
      <c r="P62" s="2">
        <f>--22.49</f>
        <v>22.49</v>
      </c>
      <c r="Q62" s="2"/>
      <c r="R62" s="19"/>
      <c r="S62" s="2"/>
      <c r="T62" s="2">
        <f>--758.91</f>
        <v>758.91</v>
      </c>
      <c r="U62" s="2"/>
      <c r="V62" s="19"/>
      <c r="W62" s="2"/>
      <c r="X62" s="2">
        <f t="shared" si="2"/>
        <v>-736.42</v>
      </c>
      <c r="Y62" s="2"/>
      <c r="Z62" s="19">
        <f t="shared" si="3"/>
        <v>-0.97036539247078046</v>
      </c>
    </row>
    <row r="63" spans="1:26" s="24" customFormat="1" hidden="1" outlineLevel="1" x14ac:dyDescent="0.25">
      <c r="A63" s="44"/>
      <c r="B63" s="11" t="str">
        <f>CONCATENATE("          ", "4133", " - ", "NON-TAXABLE SALES-CANDY")</f>
        <v xml:space="preserve">          4133 - NON-TAXABLE SALES-CANDY</v>
      </c>
      <c r="C63" s="11"/>
      <c r="D63" s="2">
        <f>--12.43</f>
        <v>12.43</v>
      </c>
      <c r="E63" s="2"/>
      <c r="F63" s="19"/>
      <c r="G63" s="2"/>
      <c r="H63" s="2">
        <f>--900.13</f>
        <v>900.13</v>
      </c>
      <c r="I63" s="2"/>
      <c r="J63" s="19"/>
      <c r="K63" s="2"/>
      <c r="L63" s="2">
        <f t="shared" si="0"/>
        <v>-887.7</v>
      </c>
      <c r="M63" s="2"/>
      <c r="N63" s="19">
        <f t="shared" si="1"/>
        <v>-0.98619088353904438</v>
      </c>
      <c r="O63" s="11"/>
      <c r="P63" s="2">
        <f>--80.71</f>
        <v>80.709999999999994</v>
      </c>
      <c r="Q63" s="2"/>
      <c r="R63" s="19"/>
      <c r="S63" s="2"/>
      <c r="T63" s="2">
        <f>--1372.35</f>
        <v>1372.35</v>
      </c>
      <c r="U63" s="2"/>
      <c r="V63" s="19"/>
      <c r="W63" s="2"/>
      <c r="X63" s="2">
        <f t="shared" si="2"/>
        <v>-1291.6399999999999</v>
      </c>
      <c r="Y63" s="2"/>
      <c r="Z63" s="19">
        <f t="shared" si="3"/>
        <v>-0.94118847232848757</v>
      </c>
    </row>
    <row r="64" spans="1:26" s="24" customFormat="1" hidden="1" outlineLevel="1" x14ac:dyDescent="0.25">
      <c r="A64" s="44"/>
      <c r="B64" s="11" t="str">
        <f>CONCATENATE("          ", "4134", " - ", "NON-TAXABLE SALES-SODA")</f>
        <v xml:space="preserve">          4134 - NON-TAXABLE SALES-SODA</v>
      </c>
      <c r="C64" s="11"/>
      <c r="D64" s="2">
        <f t="shared" ref="D64:D66" si="15">0</f>
        <v>0</v>
      </c>
      <c r="E64" s="2"/>
      <c r="F64" s="19"/>
      <c r="G64" s="2"/>
      <c r="H64" s="2">
        <f>0</f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>--45.53</f>
        <v>45.53</v>
      </c>
      <c r="Q64" s="2"/>
      <c r="R64" s="19"/>
      <c r="S64" s="2"/>
      <c r="T64" s="2">
        <f>0</f>
        <v>0</v>
      </c>
      <c r="U64" s="2"/>
      <c r="V64" s="19"/>
      <c r="W64" s="2"/>
      <c r="X64" s="2">
        <f t="shared" si="2"/>
        <v>45.53</v>
      </c>
      <c r="Y64" s="2"/>
      <c r="Z64" s="19">
        <f t="shared" si="3"/>
        <v>0</v>
      </c>
    </row>
    <row r="65" spans="1:26" s="24" customFormat="1" hidden="1" outlineLevel="1" x14ac:dyDescent="0.25">
      <c r="A65" s="44"/>
      <c r="B65" s="11" t="str">
        <f>CONCATENATE("          ", "4135", " - ", "NON-TAXABLE SALES")</f>
        <v xml:space="preserve">          4135 - NON-TAXABLE SALES</v>
      </c>
      <c r="C65" s="11"/>
      <c r="D65" s="2">
        <f t="shared" si="15"/>
        <v>0</v>
      </c>
      <c r="E65" s="2"/>
      <c r="F65" s="19"/>
      <c r="G65" s="2"/>
      <c r="H65" s="2">
        <f>--32.21</f>
        <v>32.21</v>
      </c>
      <c r="I65" s="2"/>
      <c r="J65" s="19"/>
      <c r="K65" s="2"/>
      <c r="L65" s="2">
        <f t="shared" si="0"/>
        <v>-32.21</v>
      </c>
      <c r="M65" s="2"/>
      <c r="N65" s="19">
        <f t="shared" si="1"/>
        <v>-1</v>
      </c>
      <c r="O65" s="11"/>
      <c r="P65" s="2">
        <f>0</f>
        <v>0</v>
      </c>
      <c r="Q65" s="2"/>
      <c r="R65" s="19"/>
      <c r="S65" s="2"/>
      <c r="T65" s="2">
        <f>--53.75</f>
        <v>53.75</v>
      </c>
      <c r="U65" s="2"/>
      <c r="V65" s="19"/>
      <c r="W65" s="2"/>
      <c r="X65" s="2">
        <f t="shared" si="2"/>
        <v>-53.75</v>
      </c>
      <c r="Y65" s="2"/>
      <c r="Z65" s="19">
        <f t="shared" si="3"/>
        <v>-1</v>
      </c>
    </row>
    <row r="66" spans="1:26" s="24" customFormat="1" hidden="1" outlineLevel="1" x14ac:dyDescent="0.25">
      <c r="A66" s="44"/>
      <c r="B66" s="11" t="str">
        <f>CONCATENATE("          ", "4137", " - ", "NON-TAXABLE SALES-WATER")</f>
        <v xml:space="preserve">          4137 - NON-TAXABLE SALES-WATER</v>
      </c>
      <c r="C66" s="11"/>
      <c r="D66" s="2">
        <f t="shared" si="15"/>
        <v>0</v>
      </c>
      <c r="E66" s="2"/>
      <c r="F66" s="19"/>
      <c r="G66" s="2"/>
      <c r="H66" s="2">
        <f>--553.7</f>
        <v>553.70000000000005</v>
      </c>
      <c r="I66" s="2"/>
      <c r="J66" s="19"/>
      <c r="K66" s="2"/>
      <c r="L66" s="2">
        <f t="shared" si="0"/>
        <v>-553.70000000000005</v>
      </c>
      <c r="M66" s="2"/>
      <c r="N66" s="19">
        <f t="shared" si="1"/>
        <v>-1</v>
      </c>
      <c r="O66" s="11"/>
      <c r="P66" s="2">
        <f>--68.25</f>
        <v>68.25</v>
      </c>
      <c r="Q66" s="2"/>
      <c r="R66" s="19"/>
      <c r="S66" s="2"/>
      <c r="T66" s="2">
        <f>--606.72</f>
        <v>606.72</v>
      </c>
      <c r="U66" s="2"/>
      <c r="V66" s="19"/>
      <c r="W66" s="2"/>
      <c r="X66" s="2">
        <f t="shared" si="2"/>
        <v>-538.47</v>
      </c>
      <c r="Y66" s="2"/>
      <c r="Z66" s="19">
        <f t="shared" si="3"/>
        <v>-0.88750988924050633</v>
      </c>
    </row>
    <row r="67" spans="1:26" s="24" customFormat="1" hidden="1" outlineLevel="1" x14ac:dyDescent="0.25">
      <c r="A67" s="44"/>
      <c r="B67" s="11" t="str">
        <f>CONCATENATE("          ", "4140", " - ", "NON-TAXABLE SALES-LOGO CLOTHIN")</f>
        <v xml:space="preserve">          4140 - NON-TAXABLE SALES-LOGO CLOTHIN</v>
      </c>
      <c r="C67" s="11"/>
      <c r="D67" s="2">
        <f>--7266.5</f>
        <v>7266.5</v>
      </c>
      <c r="E67" s="2"/>
      <c r="F67" s="19"/>
      <c r="G67" s="2"/>
      <c r="H67" s="2">
        <f>--1979.29</f>
        <v>1979.29</v>
      </c>
      <c r="I67" s="2"/>
      <c r="J67" s="19"/>
      <c r="K67" s="2"/>
      <c r="L67" s="2">
        <f t="shared" si="0"/>
        <v>5287.21</v>
      </c>
      <c r="M67" s="2"/>
      <c r="N67" s="19">
        <f t="shared" si="1"/>
        <v>2.6712659590055021</v>
      </c>
      <c r="O67" s="11"/>
      <c r="P67" s="2">
        <f>--14112.74</f>
        <v>14112.74</v>
      </c>
      <c r="Q67" s="2"/>
      <c r="R67" s="19"/>
      <c r="S67" s="2"/>
      <c r="T67" s="2">
        <f>--5142.96</f>
        <v>5142.96</v>
      </c>
      <c r="U67" s="2"/>
      <c r="V67" s="19"/>
      <c r="W67" s="2"/>
      <c r="X67" s="2">
        <f t="shared" si="2"/>
        <v>8969.7799999999988</v>
      </c>
      <c r="Y67" s="2"/>
      <c r="Z67" s="19">
        <f t="shared" si="3"/>
        <v>1.7440890071087465</v>
      </c>
    </row>
    <row r="68" spans="1:26" s="24" customFormat="1" hidden="1" outlineLevel="1" x14ac:dyDescent="0.25">
      <c r="A68" s="44"/>
      <c r="B68" s="11" t="str">
        <f>CONCATENATE("          ", "4141", " - ", "NON-TAXABLE SALES-LOGO GIFTS")</f>
        <v xml:space="preserve">          4141 - NON-TAXABLE SALES-LOGO GIFTS</v>
      </c>
      <c r="C68" s="11"/>
      <c r="D68" s="2">
        <f>--1189.06</f>
        <v>1189.06</v>
      </c>
      <c r="E68" s="2"/>
      <c r="F68" s="19"/>
      <c r="G68" s="2"/>
      <c r="H68" s="2">
        <f>--432.15</f>
        <v>432.15</v>
      </c>
      <c r="I68" s="2"/>
      <c r="J68" s="19"/>
      <c r="K68" s="2"/>
      <c r="L68" s="2">
        <f t="shared" si="0"/>
        <v>756.91</v>
      </c>
      <c r="M68" s="2"/>
      <c r="N68" s="19">
        <f t="shared" si="1"/>
        <v>1.7514983223417795</v>
      </c>
      <c r="O68" s="11"/>
      <c r="P68" s="2">
        <f>--2389.25</f>
        <v>2389.25</v>
      </c>
      <c r="Q68" s="2"/>
      <c r="R68" s="19"/>
      <c r="S68" s="2"/>
      <c r="T68" s="2">
        <f>--694.3</f>
        <v>694.3</v>
      </c>
      <c r="U68" s="2"/>
      <c r="V68" s="19"/>
      <c r="W68" s="2"/>
      <c r="X68" s="2">
        <f t="shared" si="2"/>
        <v>1694.95</v>
      </c>
      <c r="Y68" s="2"/>
      <c r="Z68" s="19">
        <f t="shared" si="3"/>
        <v>2.4412357770416251</v>
      </c>
    </row>
    <row r="69" spans="1:26" s="24" customFormat="1" hidden="1" outlineLevel="1" x14ac:dyDescent="0.25">
      <c r="A69" s="44"/>
      <c r="B69" s="11" t="str">
        <f>CONCATENATE("          ", "4142", " - ", "NON-TAXABLE SALES-EVERYDAY GIF")</f>
        <v xml:space="preserve">          4142 - NON-TAXABLE SALES-EVERYDAY GIF</v>
      </c>
      <c r="C69" s="11"/>
      <c r="D69" s="2">
        <f>--339.4</f>
        <v>339.4</v>
      </c>
      <c r="E69" s="2"/>
      <c r="F69" s="19"/>
      <c r="G69" s="2"/>
      <c r="H69" s="2">
        <f>--577.66</f>
        <v>577.66</v>
      </c>
      <c r="I69" s="2"/>
      <c r="J69" s="19"/>
      <c r="K69" s="2"/>
      <c r="L69" s="2">
        <f t="shared" si="0"/>
        <v>-238.26</v>
      </c>
      <c r="M69" s="2"/>
      <c r="N69" s="19">
        <f t="shared" si="1"/>
        <v>-0.41245715472769451</v>
      </c>
      <c r="O69" s="11"/>
      <c r="P69" s="2">
        <f>--979.57</f>
        <v>979.57</v>
      </c>
      <c r="Q69" s="2"/>
      <c r="R69" s="19"/>
      <c r="S69" s="2"/>
      <c r="T69" s="2">
        <f>--920.1</f>
        <v>920.1</v>
      </c>
      <c r="U69" s="2"/>
      <c r="V69" s="19"/>
      <c r="W69" s="2"/>
      <c r="X69" s="2">
        <f t="shared" si="2"/>
        <v>59.470000000000027</v>
      </c>
      <c r="Y69" s="2"/>
      <c r="Z69" s="19">
        <f t="shared" si="3"/>
        <v>6.463427888273017E-2</v>
      </c>
    </row>
    <row r="70" spans="1:26" s="24" customFormat="1" hidden="1" outlineLevel="1" x14ac:dyDescent="0.25">
      <c r="A70" s="44"/>
      <c r="B70" s="11" t="str">
        <f>CONCATENATE("          ", "4143", " - ", "NON-TAXABLE SALES-CARDS")</f>
        <v xml:space="preserve">          4143 - NON-TAXABLE SALES-CARDS</v>
      </c>
      <c r="C70" s="11"/>
      <c r="D70" s="2">
        <f>--19.98</f>
        <v>19.98</v>
      </c>
      <c r="E70" s="2"/>
      <c r="F70" s="19"/>
      <c r="G70" s="2"/>
      <c r="H70" s="2">
        <f>0</f>
        <v>0</v>
      </c>
      <c r="I70" s="2"/>
      <c r="J70" s="19"/>
      <c r="K70" s="2"/>
      <c r="L70" s="2">
        <f t="shared" si="0"/>
        <v>19.98</v>
      </c>
      <c r="M70" s="2"/>
      <c r="N70" s="19">
        <f t="shared" si="1"/>
        <v>0</v>
      </c>
      <c r="O70" s="11"/>
      <c r="P70" s="2">
        <f>--19.98</f>
        <v>19.98</v>
      </c>
      <c r="Q70" s="2"/>
      <c r="R70" s="19"/>
      <c r="S70" s="2"/>
      <c r="T70" s="2">
        <f>0</f>
        <v>0</v>
      </c>
      <c r="U70" s="2"/>
      <c r="V70" s="19"/>
      <c r="W70" s="2"/>
      <c r="X70" s="2">
        <f t="shared" si="2"/>
        <v>19.98</v>
      </c>
      <c r="Y70" s="2"/>
      <c r="Z70" s="19">
        <f t="shared" si="3"/>
        <v>0</v>
      </c>
    </row>
    <row r="71" spans="1:26" s="24" customFormat="1" hidden="1" outlineLevel="1" x14ac:dyDescent="0.25">
      <c r="A71" s="44"/>
      <c r="B71" s="11" t="str">
        <f>CONCATENATE("          ", "4144", " - ", "NON-TAXABLE SALES-ACCESSORIES")</f>
        <v xml:space="preserve">          4144 - NON-TAXABLE SALES-ACCESSORIES</v>
      </c>
      <c r="C71" s="11"/>
      <c r="D71" s="2">
        <f>--107.95</f>
        <v>107.95</v>
      </c>
      <c r="E71" s="2"/>
      <c r="F71" s="19"/>
      <c r="G71" s="2"/>
      <c r="H71" s="2">
        <f>--117.86</f>
        <v>117.86</v>
      </c>
      <c r="I71" s="2"/>
      <c r="J71" s="19"/>
      <c r="K71" s="2"/>
      <c r="L71" s="2">
        <f t="shared" si="0"/>
        <v>-9.9099999999999966</v>
      </c>
      <c r="M71" s="2"/>
      <c r="N71" s="19">
        <f t="shared" si="1"/>
        <v>-8.4082810113694187E-2</v>
      </c>
      <c r="O71" s="11"/>
      <c r="P71" s="2">
        <f>--155.8</f>
        <v>155.80000000000001</v>
      </c>
      <c r="Q71" s="2"/>
      <c r="R71" s="19"/>
      <c r="S71" s="2"/>
      <c r="T71" s="2">
        <f>--139.76</f>
        <v>139.76</v>
      </c>
      <c r="U71" s="2"/>
      <c r="V71" s="19"/>
      <c r="W71" s="2"/>
      <c r="X71" s="2">
        <f t="shared" si="2"/>
        <v>16.04000000000002</v>
      </c>
      <c r="Y71" s="2"/>
      <c r="Z71" s="19">
        <f t="shared" si="3"/>
        <v>0.11476817401259318</v>
      </c>
    </row>
    <row r="72" spans="1:26" s="24" customFormat="1" hidden="1" outlineLevel="1" x14ac:dyDescent="0.25">
      <c r="A72" s="44"/>
      <c r="B72" s="11" t="str">
        <f>CONCATENATE("          ", "4145", " - ", "NON-TAXABLE SALES-SPECIAL ORDE")</f>
        <v xml:space="preserve">          4145 - NON-TAXABLE SALES-SPECIAL ORDE</v>
      </c>
      <c r="C72" s="11"/>
      <c r="D72" s="2">
        <f>--350</f>
        <v>350</v>
      </c>
      <c r="E72" s="2"/>
      <c r="F72" s="19"/>
      <c r="G72" s="2"/>
      <c r="H72" s="2">
        <f>--90</f>
        <v>90</v>
      </c>
      <c r="I72" s="2"/>
      <c r="J72" s="19"/>
      <c r="K72" s="2"/>
      <c r="L72" s="2">
        <f t="shared" si="0"/>
        <v>260</v>
      </c>
      <c r="M72" s="2"/>
      <c r="N72" s="19">
        <f t="shared" si="1"/>
        <v>2.8888888888888888</v>
      </c>
      <c r="O72" s="11"/>
      <c r="P72" s="2">
        <f>--35846</f>
        <v>35846</v>
      </c>
      <c r="Q72" s="2"/>
      <c r="R72" s="19"/>
      <c r="S72" s="2"/>
      <c r="T72" s="2">
        <f>--90</f>
        <v>90</v>
      </c>
      <c r="U72" s="2"/>
      <c r="V72" s="19"/>
      <c r="W72" s="2"/>
      <c r="X72" s="2">
        <f t="shared" si="2"/>
        <v>35756</v>
      </c>
      <c r="Y72" s="2"/>
      <c r="Z72" s="19">
        <f t="shared" si="3"/>
        <v>397.28888888888889</v>
      </c>
    </row>
    <row r="73" spans="1:26" s="24" customFormat="1" hidden="1" outlineLevel="1" x14ac:dyDescent="0.25">
      <c r="A73" s="44"/>
      <c r="B73" s="11" t="str">
        <f>CONCATENATE("          ", "4146", " - ", "NON-TAXABLE SALES-COIN OP MACH")</f>
        <v xml:space="preserve">          4146 - NON-TAXABLE SALES-COIN OP MACH</v>
      </c>
      <c r="C73" s="11"/>
      <c r="D73" s="2">
        <f>--15.5</f>
        <v>15.5</v>
      </c>
      <c r="E73" s="2"/>
      <c r="F73" s="19"/>
      <c r="G73" s="2"/>
      <c r="H73" s="2">
        <f>--13281.65</f>
        <v>13281.65</v>
      </c>
      <c r="I73" s="2"/>
      <c r="J73" s="19"/>
      <c r="K73" s="2"/>
      <c r="L73" s="2">
        <f t="shared" si="0"/>
        <v>-13266.15</v>
      </c>
      <c r="M73" s="2"/>
      <c r="N73" s="19">
        <f t="shared" si="1"/>
        <v>-0.99883297632447776</v>
      </c>
      <c r="O73" s="11"/>
      <c r="P73" s="2">
        <f>--15.5</f>
        <v>15.5</v>
      </c>
      <c r="Q73" s="2"/>
      <c r="R73" s="19"/>
      <c r="S73" s="2"/>
      <c r="T73" s="2">
        <f>--15348.75</f>
        <v>15348.75</v>
      </c>
      <c r="U73" s="2"/>
      <c r="V73" s="19"/>
      <c r="W73" s="2"/>
      <c r="X73" s="2">
        <f t="shared" si="2"/>
        <v>-15333.25</v>
      </c>
      <c r="Y73" s="2"/>
      <c r="Z73" s="19">
        <f t="shared" si="3"/>
        <v>-0.99899014577734346</v>
      </c>
    </row>
    <row r="74" spans="1:26" s="24" customFormat="1" hidden="1" outlineLevel="1" x14ac:dyDescent="0.25">
      <c r="A74" s="44"/>
      <c r="B74" s="11" t="str">
        <f>CONCATENATE("          ", "4147", " - ", "NON-TAXABLE SALES-MISC")</f>
        <v xml:space="preserve">          4147 - NON-TAXABLE SALES-MISC</v>
      </c>
      <c r="C74" s="11"/>
      <c r="D74" s="2">
        <f>--23</f>
        <v>23</v>
      </c>
      <c r="E74" s="2"/>
      <c r="F74" s="19"/>
      <c r="G74" s="2"/>
      <c r="H74" s="2">
        <f>--53.9</f>
        <v>53.9</v>
      </c>
      <c r="I74" s="2"/>
      <c r="J74" s="19"/>
      <c r="K74" s="2"/>
      <c r="L74" s="2">
        <f t="shared" si="0"/>
        <v>-30.9</v>
      </c>
      <c r="M74" s="2"/>
      <c r="N74" s="19">
        <f t="shared" si="1"/>
        <v>-0.57328385899814471</v>
      </c>
      <c r="O74" s="11"/>
      <c r="P74" s="2">
        <f>--24</f>
        <v>24</v>
      </c>
      <c r="Q74" s="2"/>
      <c r="R74" s="19"/>
      <c r="S74" s="2"/>
      <c r="T74" s="2">
        <f>--70.4</f>
        <v>70.400000000000006</v>
      </c>
      <c r="U74" s="2"/>
      <c r="V74" s="19"/>
      <c r="W74" s="2"/>
      <c r="X74" s="2">
        <f t="shared" si="2"/>
        <v>-46.400000000000006</v>
      </c>
      <c r="Y74" s="2"/>
      <c r="Z74" s="19">
        <f t="shared" si="3"/>
        <v>-0.65909090909090917</v>
      </c>
    </row>
    <row r="75" spans="1:26" s="24" customFormat="1" hidden="1" outlineLevel="1" x14ac:dyDescent="0.25">
      <c r="A75" s="44"/>
      <c r="B75" s="11" t="str">
        <f>CONCATENATE("          ", "4181", " - ", "NON-TAXABLE SALES-ELECTRONICS")</f>
        <v xml:space="preserve">          4181 - NON-TAXABLE SALES-ELECTRONICS</v>
      </c>
      <c r="C75" s="11"/>
      <c r="D75" s="2">
        <f>--2349.29</f>
        <v>2349.29</v>
      </c>
      <c r="E75" s="2"/>
      <c r="F75" s="19"/>
      <c r="G75" s="2"/>
      <c r="H75" s="2">
        <f>--87.95</f>
        <v>87.95</v>
      </c>
      <c r="I75" s="2"/>
      <c r="J75" s="19"/>
      <c r="K75" s="2"/>
      <c r="L75" s="2">
        <f t="shared" si="0"/>
        <v>2261.34</v>
      </c>
      <c r="M75" s="2"/>
      <c r="N75" s="19">
        <f t="shared" si="1"/>
        <v>25.711654349061966</v>
      </c>
      <c r="O75" s="11"/>
      <c r="P75" s="2">
        <f>--2639.27</f>
        <v>2639.27</v>
      </c>
      <c r="Q75" s="2"/>
      <c r="R75" s="19"/>
      <c r="S75" s="2"/>
      <c r="T75" s="2">
        <f>--1390.56</f>
        <v>1390.56</v>
      </c>
      <c r="U75" s="2"/>
      <c r="V75" s="19"/>
      <c r="W75" s="2"/>
      <c r="X75" s="2">
        <f t="shared" si="2"/>
        <v>1248.71</v>
      </c>
      <c r="Y75" s="2"/>
      <c r="Z75" s="19">
        <f t="shared" si="3"/>
        <v>0.89799073754458647</v>
      </c>
    </row>
    <row r="76" spans="1:26" s="24" customFormat="1" hidden="1" outlineLevel="1" x14ac:dyDescent="0.25">
      <c r="A76" s="44"/>
      <c r="B76" s="11" t="str">
        <f>CONCATENATE("          ", "4182", " - ", "NON-TAXABLE SALES-COMPUTER HAR")</f>
        <v xml:space="preserve">          4182 - NON-TAXABLE SALES-COMPUTER HAR</v>
      </c>
      <c r="C76" s="11"/>
      <c r="D76" s="2">
        <f>--46190.39</f>
        <v>46190.39</v>
      </c>
      <c r="E76" s="2"/>
      <c r="F76" s="19"/>
      <c r="G76" s="2"/>
      <c r="H76" s="2">
        <f>--19953</f>
        <v>19953</v>
      </c>
      <c r="I76" s="2"/>
      <c r="J76" s="19"/>
      <c r="K76" s="2"/>
      <c r="L76" s="2">
        <f t="shared" si="0"/>
        <v>26237.39</v>
      </c>
      <c r="M76" s="2"/>
      <c r="N76" s="19">
        <f t="shared" si="1"/>
        <v>1.3149596551896958</v>
      </c>
      <c r="O76" s="11"/>
      <c r="P76" s="2">
        <f>--82067.38</f>
        <v>82067.38</v>
      </c>
      <c r="Q76" s="2"/>
      <c r="R76" s="19"/>
      <c r="S76" s="2"/>
      <c r="T76" s="2">
        <f>--30571</f>
        <v>30571</v>
      </c>
      <c r="U76" s="2"/>
      <c r="V76" s="19"/>
      <c r="W76" s="2"/>
      <c r="X76" s="2">
        <f t="shared" si="2"/>
        <v>51496.380000000005</v>
      </c>
      <c r="Y76" s="2"/>
      <c r="Z76" s="19">
        <f t="shared" si="3"/>
        <v>1.6844846423080699</v>
      </c>
    </row>
    <row r="77" spans="1:26" s="24" customFormat="1" hidden="1" outlineLevel="1" x14ac:dyDescent="0.25">
      <c r="A77" s="44"/>
      <c r="B77" s="11" t="str">
        <f>CONCATENATE("          ", "4183", " - ", "NON-TAXABLE SALES-COMPUTER EQU")</f>
        <v xml:space="preserve">          4183 - NON-TAXABLE SALES-COMPUTER EQU</v>
      </c>
      <c r="C77" s="11"/>
      <c r="D77" s="2">
        <f>--1759.83</f>
        <v>1759.83</v>
      </c>
      <c r="E77" s="2"/>
      <c r="F77" s="19"/>
      <c r="G77" s="2"/>
      <c r="H77" s="2">
        <f>--974.39</f>
        <v>974.39</v>
      </c>
      <c r="I77" s="2"/>
      <c r="J77" s="19"/>
      <c r="K77" s="2"/>
      <c r="L77" s="2">
        <f t="shared" si="0"/>
        <v>785.43999999999994</v>
      </c>
      <c r="M77" s="2"/>
      <c r="N77" s="19">
        <f t="shared" si="1"/>
        <v>0.80608380627880005</v>
      </c>
      <c r="O77" s="11"/>
      <c r="P77" s="2">
        <f>--3119.68</f>
        <v>3119.68</v>
      </c>
      <c r="Q77" s="2"/>
      <c r="R77" s="19"/>
      <c r="S77" s="2"/>
      <c r="T77" s="2">
        <f>--1156.29</f>
        <v>1156.29</v>
      </c>
      <c r="U77" s="2"/>
      <c r="V77" s="19"/>
      <c r="W77" s="2"/>
      <c r="X77" s="2">
        <f t="shared" si="2"/>
        <v>1963.3899999999999</v>
      </c>
      <c r="Y77" s="2"/>
      <c r="Z77" s="19">
        <f t="shared" si="3"/>
        <v>1.698008285118785</v>
      </c>
    </row>
    <row r="78" spans="1:26" s="24" customFormat="1" hidden="1" outlineLevel="1" x14ac:dyDescent="0.25">
      <c r="A78" s="44"/>
      <c r="B78" s="11" t="str">
        <f>CONCATENATE("          ", "4184", " - ", "NON-TAXABLE SALES-SOFTWARE LIC")</f>
        <v xml:space="preserve">          4184 - NON-TAXABLE SALES-SOFTWARE LIC</v>
      </c>
      <c r="C78" s="11"/>
      <c r="D78" s="2">
        <f>0</f>
        <v>0</v>
      </c>
      <c r="E78" s="2"/>
      <c r="F78" s="19"/>
      <c r="G78" s="2"/>
      <c r="H78" s="2">
        <f>--1522</f>
        <v>1522</v>
      </c>
      <c r="I78" s="2"/>
      <c r="J78" s="19"/>
      <c r="K78" s="2"/>
      <c r="L78" s="2">
        <f t="shared" si="0"/>
        <v>-1522</v>
      </c>
      <c r="M78" s="2"/>
      <c r="N78" s="19">
        <f t="shared" si="1"/>
        <v>-1</v>
      </c>
      <c r="O78" s="11"/>
      <c r="P78" s="2">
        <f>0</f>
        <v>0</v>
      </c>
      <c r="Q78" s="2"/>
      <c r="R78" s="19"/>
      <c r="S78" s="2"/>
      <c r="T78" s="2">
        <f>--1522</f>
        <v>1522</v>
      </c>
      <c r="U78" s="2"/>
      <c r="V78" s="19"/>
      <c r="W78" s="2"/>
      <c r="X78" s="2">
        <f t="shared" si="2"/>
        <v>-1522</v>
      </c>
      <c r="Y78" s="2"/>
      <c r="Z78" s="19">
        <f t="shared" si="3"/>
        <v>-1</v>
      </c>
    </row>
    <row r="79" spans="1:26" s="24" customFormat="1" hidden="1" outlineLevel="1" x14ac:dyDescent="0.25">
      <c r="A79" s="44"/>
      <c r="B79" s="11" t="str">
        <f>CONCATENATE("          ", "4185", " - ", "NON-TAXABLE SALES-SOFTWARE")</f>
        <v xml:space="preserve">          4185 - NON-TAXABLE SALES-SOFTWARE</v>
      </c>
      <c r="C79" s="11"/>
      <c r="D79" s="2">
        <f>--4610.75</f>
        <v>4610.75</v>
      </c>
      <c r="E79" s="2"/>
      <c r="F79" s="19"/>
      <c r="G79" s="2"/>
      <c r="H79" s="2">
        <f>--3770</f>
        <v>3770</v>
      </c>
      <c r="I79" s="2"/>
      <c r="J79" s="19"/>
      <c r="K79" s="2"/>
      <c r="L79" s="2">
        <f t="shared" si="0"/>
        <v>840.75</v>
      </c>
      <c r="M79" s="2"/>
      <c r="N79" s="19">
        <f t="shared" si="1"/>
        <v>0.22301061007957559</v>
      </c>
      <c r="O79" s="11"/>
      <c r="P79" s="2">
        <f>--10798.49</f>
        <v>10798.49</v>
      </c>
      <c r="Q79" s="2"/>
      <c r="R79" s="19"/>
      <c r="S79" s="2"/>
      <c r="T79" s="2">
        <f>--4522</f>
        <v>4522</v>
      </c>
      <c r="U79" s="2"/>
      <c r="V79" s="19"/>
      <c r="W79" s="2"/>
      <c r="X79" s="2">
        <f t="shared" si="2"/>
        <v>6276.49</v>
      </c>
      <c r="Y79" s="2"/>
      <c r="Z79" s="19">
        <f t="shared" si="3"/>
        <v>1.3879898275099514</v>
      </c>
    </row>
    <row r="80" spans="1:26" s="24" customFormat="1" hidden="1" outlineLevel="1" x14ac:dyDescent="0.25">
      <c r="A80" s="44"/>
      <c r="B80" s="11" t="str">
        <f>CONCATENATE("          ", "4186", " - ", "NON-TAXABLE SALES-COMPUTER SUP")</f>
        <v xml:space="preserve">          4186 - NON-TAXABLE SALES-COMPUTER SUP</v>
      </c>
      <c r="C80" s="11"/>
      <c r="D80" s="2">
        <f>--257.95</f>
        <v>257.95</v>
      </c>
      <c r="E80" s="2"/>
      <c r="F80" s="19"/>
      <c r="G80" s="2"/>
      <c r="H80" s="2">
        <f>--194.93</f>
        <v>194.93</v>
      </c>
      <c r="I80" s="2"/>
      <c r="J80" s="19"/>
      <c r="K80" s="2"/>
      <c r="L80" s="2">
        <f t="shared" si="0"/>
        <v>63.019999999999982</v>
      </c>
      <c r="M80" s="2"/>
      <c r="N80" s="19">
        <f t="shared" si="1"/>
        <v>0.323295541989432</v>
      </c>
      <c r="O80" s="11"/>
      <c r="P80" s="2">
        <f>--412.9</f>
        <v>412.9</v>
      </c>
      <c r="Q80" s="2"/>
      <c r="R80" s="19"/>
      <c r="S80" s="2"/>
      <c r="T80" s="2">
        <f>--274.9</f>
        <v>274.89999999999998</v>
      </c>
      <c r="U80" s="2"/>
      <c r="V80" s="19"/>
      <c r="W80" s="2"/>
      <c r="X80" s="2">
        <f t="shared" si="2"/>
        <v>138</v>
      </c>
      <c r="Y80" s="2"/>
      <c r="Z80" s="19">
        <f t="shared" si="3"/>
        <v>0.50200072753728631</v>
      </c>
    </row>
    <row r="81" spans="1:26" s="24" customFormat="1" hidden="1" outlineLevel="1" x14ac:dyDescent="0.25">
      <c r="A81" s="44"/>
      <c r="B81" s="11" t="str">
        <f>CONCATENATE("          ", "4188", " - ", "NON-TAXABLE SALES-MUSIC")</f>
        <v xml:space="preserve">          4188 - NON-TAXABLE SALES-MUSIC</v>
      </c>
      <c r="C81" s="11"/>
      <c r="D81" s="2">
        <f>0</f>
        <v>0</v>
      </c>
      <c r="E81" s="2"/>
      <c r="F81" s="19"/>
      <c r="G81" s="2"/>
      <c r="H81" s="2">
        <f>0</f>
        <v>0</v>
      </c>
      <c r="I81" s="2"/>
      <c r="J81" s="19"/>
      <c r="K81" s="2"/>
      <c r="L81" s="2">
        <f t="shared" si="0"/>
        <v>0</v>
      </c>
      <c r="M81" s="2"/>
      <c r="N81" s="19">
        <f t="shared" si="1"/>
        <v>0</v>
      </c>
      <c r="O81" s="11"/>
      <c r="P81" s="2">
        <f>0</f>
        <v>0</v>
      </c>
      <c r="Q81" s="2"/>
      <c r="R81" s="19"/>
      <c r="S81" s="2"/>
      <c r="T81" s="2">
        <f>--99.98</f>
        <v>99.98</v>
      </c>
      <c r="U81" s="2"/>
      <c r="V81" s="19"/>
      <c r="W81" s="2"/>
      <c r="X81" s="2">
        <f t="shared" si="2"/>
        <v>-99.98</v>
      </c>
      <c r="Y81" s="2"/>
      <c r="Z81" s="19">
        <f t="shared" si="3"/>
        <v>-1</v>
      </c>
    </row>
    <row r="82" spans="1:26" s="24" customFormat="1" hidden="1" outlineLevel="1" x14ac:dyDescent="0.25">
      <c r="A82" s="44"/>
      <c r="B82" s="11" t="str">
        <f>CONCATENATE("          ", "4201", " - ", "SALES RETURN TAXABLE-NEW TEXT")</f>
        <v xml:space="preserve">          4201 - SALES RETURN TAXABLE-NEW TEXT</v>
      </c>
      <c r="C82" s="11"/>
      <c r="D82" s="2">
        <f>-18222.39</f>
        <v>-18222.39</v>
      </c>
      <c r="E82" s="2"/>
      <c r="F82" s="19"/>
      <c r="G82" s="2"/>
      <c r="H82" s="2">
        <f>-58563.26</f>
        <v>-58563.26</v>
      </c>
      <c r="I82" s="2"/>
      <c r="J82" s="19"/>
      <c r="K82" s="2"/>
      <c r="L82" s="2">
        <f t="shared" si="0"/>
        <v>40340.870000000003</v>
      </c>
      <c r="M82" s="2"/>
      <c r="N82" s="19">
        <f t="shared" si="1"/>
        <v>-0.68884262932084039</v>
      </c>
      <c r="O82" s="11"/>
      <c r="P82" s="2">
        <f>-18855.79</f>
        <v>-18855.79</v>
      </c>
      <c r="Q82" s="2"/>
      <c r="R82" s="19"/>
      <c r="S82" s="2"/>
      <c r="T82" s="2">
        <f>-59170.41</f>
        <v>-59170.41</v>
      </c>
      <c r="U82" s="2"/>
      <c r="V82" s="19"/>
      <c r="W82" s="2"/>
      <c r="X82" s="2">
        <f t="shared" si="2"/>
        <v>40314.620000000003</v>
      </c>
      <c r="Y82" s="2"/>
      <c r="Z82" s="19">
        <f t="shared" si="3"/>
        <v>-0.68133075298954326</v>
      </c>
    </row>
    <row r="83" spans="1:26" s="24" customFormat="1" hidden="1" outlineLevel="1" x14ac:dyDescent="0.25">
      <c r="A83" s="44"/>
      <c r="B83" s="11" t="str">
        <f>CONCATENATE("          ", "4202", " - ", "SALES RETURN TAXABLE-USED TEXT")</f>
        <v xml:space="preserve">          4202 - SALES RETURN TAXABLE-USED TEXT</v>
      </c>
      <c r="C83" s="11"/>
      <c r="D83" s="2">
        <f>-8869.4</f>
        <v>-8869.4</v>
      </c>
      <c r="E83" s="2"/>
      <c r="F83" s="19"/>
      <c r="G83" s="2"/>
      <c r="H83" s="2">
        <f>-20533</f>
        <v>-20533</v>
      </c>
      <c r="I83" s="2"/>
      <c r="J83" s="19"/>
      <c r="K83" s="2"/>
      <c r="L83" s="2">
        <f t="shared" si="0"/>
        <v>11663.6</v>
      </c>
      <c r="M83" s="2"/>
      <c r="N83" s="19">
        <f t="shared" si="1"/>
        <v>-0.56804168898845764</v>
      </c>
      <c r="O83" s="11"/>
      <c r="P83" s="2">
        <f>-9047.75</f>
        <v>-9047.75</v>
      </c>
      <c r="Q83" s="2"/>
      <c r="R83" s="19"/>
      <c r="S83" s="2"/>
      <c r="T83" s="2">
        <f>-21254.45</f>
        <v>-21254.45</v>
      </c>
      <c r="U83" s="2"/>
      <c r="V83" s="19"/>
      <c r="W83" s="2"/>
      <c r="X83" s="2">
        <f t="shared" si="2"/>
        <v>12206.7</v>
      </c>
      <c r="Y83" s="2"/>
      <c r="Z83" s="19">
        <f t="shared" si="3"/>
        <v>-0.57431267334605229</v>
      </c>
    </row>
    <row r="84" spans="1:26" s="24" customFormat="1" hidden="1" outlineLevel="1" x14ac:dyDescent="0.25">
      <c r="A84" s="44"/>
      <c r="B84" s="11" t="str">
        <f>CONCATENATE("          ", "4204", " - ", "SALES RETURN TAXABLE-DIGITAL T")</f>
        <v xml:space="preserve">          4204 - SALES RETURN TAXABLE-DIGITAL T</v>
      </c>
      <c r="C84" s="11"/>
      <c r="D84" s="2">
        <f>-1141.08</f>
        <v>-1141.08</v>
      </c>
      <c r="E84" s="2"/>
      <c r="F84" s="19"/>
      <c r="G84" s="2"/>
      <c r="H84" s="2">
        <f>-6848.37</f>
        <v>-6848.37</v>
      </c>
      <c r="I84" s="2"/>
      <c r="J84" s="19"/>
      <c r="K84" s="2"/>
      <c r="L84" s="2">
        <f t="shared" si="0"/>
        <v>5707.29</v>
      </c>
      <c r="M84" s="2"/>
      <c r="N84" s="19">
        <f t="shared" si="1"/>
        <v>-0.83337932967990924</v>
      </c>
      <c r="O84" s="11"/>
      <c r="P84" s="2">
        <f>-1141.08</f>
        <v>-1141.08</v>
      </c>
      <c r="Q84" s="2"/>
      <c r="R84" s="19"/>
      <c r="S84" s="2"/>
      <c r="T84" s="2">
        <f>-6848.37</f>
        <v>-6848.37</v>
      </c>
      <c r="U84" s="2"/>
      <c r="V84" s="19"/>
      <c r="W84" s="2"/>
      <c r="X84" s="2">
        <f t="shared" si="2"/>
        <v>5707.29</v>
      </c>
      <c r="Y84" s="2"/>
      <c r="Z84" s="19">
        <f t="shared" si="3"/>
        <v>-0.83337932967990924</v>
      </c>
    </row>
    <row r="85" spans="1:26" s="24" customFormat="1" hidden="1" outlineLevel="1" x14ac:dyDescent="0.25">
      <c r="A85" s="44"/>
      <c r="B85" s="11" t="str">
        <f>CONCATENATE("          ", "4218", " - ", "SALES RETURN TAXABLE-STUDY GUI")</f>
        <v xml:space="preserve">          4218 - SALES RETURN TAXABLE-STUDY GUI</v>
      </c>
      <c r="C85" s="11"/>
      <c r="D85" s="2">
        <f t="shared" ref="D85:D87" si="16">0</f>
        <v>0</v>
      </c>
      <c r="E85" s="2"/>
      <c r="F85" s="19"/>
      <c r="G85" s="2"/>
      <c r="H85" s="2">
        <f>-26.8</f>
        <v>-26.8</v>
      </c>
      <c r="I85" s="2"/>
      <c r="J85" s="19"/>
      <c r="K85" s="2"/>
      <c r="L85" s="2">
        <f t="shared" si="0"/>
        <v>26.8</v>
      </c>
      <c r="M85" s="2"/>
      <c r="N85" s="19">
        <f t="shared" si="1"/>
        <v>-1</v>
      </c>
      <c r="O85" s="11"/>
      <c r="P85" s="2">
        <f t="shared" ref="P85:P86" si="17">0</f>
        <v>0</v>
      </c>
      <c r="Q85" s="2"/>
      <c r="R85" s="19"/>
      <c r="S85" s="2"/>
      <c r="T85" s="2">
        <f>-26.8</f>
        <v>-26.8</v>
      </c>
      <c r="U85" s="2"/>
      <c r="V85" s="19"/>
      <c r="W85" s="2"/>
      <c r="X85" s="2">
        <f t="shared" si="2"/>
        <v>26.8</v>
      </c>
      <c r="Y85" s="2"/>
      <c r="Z85" s="19">
        <f t="shared" si="3"/>
        <v>-1</v>
      </c>
    </row>
    <row r="86" spans="1:26" s="24" customFormat="1" hidden="1" outlineLevel="1" x14ac:dyDescent="0.25">
      <c r="A86" s="44"/>
      <c r="B86" s="11" t="str">
        <f>CONCATENATE("          ", "4225", " - ", "SALES RETURN TAXABLE-TEST FORM")</f>
        <v xml:space="preserve">          4225 - SALES RETURN TAXABLE-TEST FORM</v>
      </c>
      <c r="C86" s="11"/>
      <c r="D86" s="2">
        <f t="shared" si="16"/>
        <v>0</v>
      </c>
      <c r="E86" s="2"/>
      <c r="F86" s="19"/>
      <c r="G86" s="2"/>
      <c r="H86" s="2">
        <f>-8.61</f>
        <v>-8.61</v>
      </c>
      <c r="I86" s="2"/>
      <c r="J86" s="19"/>
      <c r="K86" s="2"/>
      <c r="L86" s="2">
        <f t="shared" si="0"/>
        <v>8.61</v>
      </c>
      <c r="M86" s="2"/>
      <c r="N86" s="19">
        <f t="shared" si="1"/>
        <v>-1</v>
      </c>
      <c r="O86" s="11"/>
      <c r="P86" s="2">
        <f t="shared" si="17"/>
        <v>0</v>
      </c>
      <c r="Q86" s="2"/>
      <c r="R86" s="19"/>
      <c r="S86" s="2"/>
      <c r="T86" s="2">
        <f>-12.69</f>
        <v>-12.69</v>
      </c>
      <c r="U86" s="2"/>
      <c r="V86" s="19"/>
      <c r="W86" s="2"/>
      <c r="X86" s="2">
        <f t="shared" si="2"/>
        <v>12.69</v>
      </c>
      <c r="Y86" s="2"/>
      <c r="Z86" s="19">
        <f t="shared" si="3"/>
        <v>-1</v>
      </c>
    </row>
    <row r="87" spans="1:26" s="24" customFormat="1" hidden="1" outlineLevel="1" x14ac:dyDescent="0.25">
      <c r="A87" s="44"/>
      <c r="B87" s="11" t="str">
        <f>CONCATENATE("          ", "4226", " - ", "SALES RETURN TAXABLE-WRITING I")</f>
        <v xml:space="preserve">          4226 - SALES RETURN TAXABLE-WRITING I</v>
      </c>
      <c r="C87" s="11"/>
      <c r="D87" s="2">
        <f t="shared" si="16"/>
        <v>0</v>
      </c>
      <c r="E87" s="2"/>
      <c r="F87" s="19"/>
      <c r="G87" s="2"/>
      <c r="H87" s="2">
        <f>-60.28</f>
        <v>-60.28</v>
      </c>
      <c r="I87" s="2"/>
      <c r="J87" s="19"/>
      <c r="K87" s="2"/>
      <c r="L87" s="2">
        <f t="shared" si="0"/>
        <v>60.28</v>
      </c>
      <c r="M87" s="2"/>
      <c r="N87" s="19">
        <f t="shared" si="1"/>
        <v>-1</v>
      </c>
      <c r="O87" s="11"/>
      <c r="P87" s="2">
        <f>-6.38</f>
        <v>-6.38</v>
      </c>
      <c r="Q87" s="2"/>
      <c r="R87" s="19"/>
      <c r="S87" s="2"/>
      <c r="T87" s="2">
        <f>-124.21</f>
        <v>-124.21</v>
      </c>
      <c r="U87" s="2"/>
      <c r="V87" s="19"/>
      <c r="W87" s="2"/>
      <c r="X87" s="2">
        <f t="shared" si="2"/>
        <v>117.83</v>
      </c>
      <c r="Y87" s="2"/>
      <c r="Z87" s="19">
        <f t="shared" si="3"/>
        <v>-0.94863537557362532</v>
      </c>
    </row>
    <row r="88" spans="1:26" s="24" customFormat="1" hidden="1" outlineLevel="1" x14ac:dyDescent="0.25">
      <c r="A88" s="44"/>
      <c r="B88" s="11" t="str">
        <f>CONCATENATE("          ", "4227", " - ", "SALES RETURN TAXABLE-SCHOOL SU")</f>
        <v xml:space="preserve">          4227 - SALES RETURN TAXABLE-SCHOOL SU</v>
      </c>
      <c r="C88" s="11"/>
      <c r="D88" s="2">
        <f>-359.61</f>
        <v>-359.61</v>
      </c>
      <c r="E88" s="2"/>
      <c r="F88" s="19"/>
      <c r="G88" s="2"/>
      <c r="H88" s="2">
        <f>-1531.15</f>
        <v>-1531.15</v>
      </c>
      <c r="I88" s="2"/>
      <c r="J88" s="19"/>
      <c r="K88" s="2"/>
      <c r="L88" s="2">
        <f t="shared" si="0"/>
        <v>1171.54</v>
      </c>
      <c r="M88" s="2"/>
      <c r="N88" s="19">
        <f t="shared" si="1"/>
        <v>-0.76513731508996496</v>
      </c>
      <c r="O88" s="11"/>
      <c r="P88" s="2">
        <f>-416.38</f>
        <v>-416.38</v>
      </c>
      <c r="Q88" s="2"/>
      <c r="R88" s="19"/>
      <c r="S88" s="2"/>
      <c r="T88" s="2">
        <f>-1696.59</f>
        <v>-1696.59</v>
      </c>
      <c r="U88" s="2"/>
      <c r="V88" s="19"/>
      <c r="W88" s="2"/>
      <c r="X88" s="2">
        <f t="shared" si="2"/>
        <v>1280.21</v>
      </c>
      <c r="Y88" s="2"/>
      <c r="Z88" s="19">
        <f t="shared" si="3"/>
        <v>-0.75457830118060354</v>
      </c>
    </row>
    <row r="89" spans="1:26" s="24" customFormat="1" hidden="1" outlineLevel="1" x14ac:dyDescent="0.25">
      <c r="A89" s="44"/>
      <c r="B89" s="11" t="str">
        <f>CONCATENATE("          ", "4228", " - ", "SALES RETURN TAXABLE-ART/TECH")</f>
        <v xml:space="preserve">          4228 - SALES RETURN TAXABLE-ART/TECH</v>
      </c>
      <c r="C89" s="11"/>
      <c r="D89" s="2">
        <f>-164.44</f>
        <v>-164.44</v>
      </c>
      <c r="E89" s="2"/>
      <c r="F89" s="19"/>
      <c r="G89" s="2"/>
      <c r="H89" s="2">
        <f>-858.36</f>
        <v>-858.36</v>
      </c>
      <c r="I89" s="2"/>
      <c r="J89" s="19"/>
      <c r="K89" s="2"/>
      <c r="L89" s="2">
        <f t="shared" si="0"/>
        <v>693.92000000000007</v>
      </c>
      <c r="M89" s="2"/>
      <c r="N89" s="19">
        <f t="shared" si="1"/>
        <v>-0.80842536930891473</v>
      </c>
      <c r="O89" s="11"/>
      <c r="P89" s="2">
        <f>-164.44</f>
        <v>-164.44</v>
      </c>
      <c r="Q89" s="2"/>
      <c r="R89" s="19"/>
      <c r="S89" s="2"/>
      <c r="T89" s="2">
        <f>-868.73</f>
        <v>-868.73</v>
      </c>
      <c r="U89" s="2"/>
      <c r="V89" s="19"/>
      <c r="W89" s="2"/>
      <c r="X89" s="2">
        <f t="shared" si="2"/>
        <v>704.29</v>
      </c>
      <c r="Y89" s="2"/>
      <c r="Z89" s="19">
        <f t="shared" si="3"/>
        <v>-0.81071218905758979</v>
      </c>
    </row>
    <row r="90" spans="1:26" s="24" customFormat="1" hidden="1" outlineLevel="1" x14ac:dyDescent="0.25">
      <c r="A90" s="44"/>
      <c r="B90" s="11" t="str">
        <f>CONCATENATE("          ", "4240", " - ", "SALES RETURN TAXABLE-LOGO CLOT")</f>
        <v xml:space="preserve">          4240 - SALES RETURN TAXABLE-LOGO CLOT</v>
      </c>
      <c r="C90" s="11"/>
      <c r="D90" s="2">
        <f>-4788.72</f>
        <v>-4788.72</v>
      </c>
      <c r="E90" s="2"/>
      <c r="F90" s="19"/>
      <c r="G90" s="2"/>
      <c r="H90" s="2">
        <f>-6807.65</f>
        <v>-6807.65</v>
      </c>
      <c r="I90" s="2"/>
      <c r="J90" s="19"/>
      <c r="K90" s="2"/>
      <c r="L90" s="2">
        <f t="shared" si="0"/>
        <v>2018.9299999999994</v>
      </c>
      <c r="M90" s="2"/>
      <c r="N90" s="19">
        <f t="shared" si="1"/>
        <v>-0.29656783177748552</v>
      </c>
      <c r="O90" s="11"/>
      <c r="P90" s="2">
        <f>-8156.82</f>
        <v>-8156.82</v>
      </c>
      <c r="Q90" s="2"/>
      <c r="R90" s="19"/>
      <c r="S90" s="2"/>
      <c r="T90" s="2">
        <f>-11254.49</f>
        <v>-11254.49</v>
      </c>
      <c r="U90" s="2"/>
      <c r="V90" s="19"/>
      <c r="W90" s="2"/>
      <c r="X90" s="2">
        <f t="shared" si="2"/>
        <v>3097.67</v>
      </c>
      <c r="Y90" s="2"/>
      <c r="Z90" s="19">
        <f t="shared" si="3"/>
        <v>-0.27523859366350678</v>
      </c>
    </row>
    <row r="91" spans="1:26" s="24" customFormat="1" hidden="1" outlineLevel="1" x14ac:dyDescent="0.25">
      <c r="A91" s="44"/>
      <c r="B91" s="11" t="str">
        <f>CONCATENATE("          ", "4241", " - ", "SALES RETURN TAXABLE-LOGO GIFT")</f>
        <v xml:space="preserve">          4241 - SALES RETURN TAXABLE-LOGO GIFT</v>
      </c>
      <c r="C91" s="11"/>
      <c r="D91" s="2">
        <f>-986.21</f>
        <v>-986.21</v>
      </c>
      <c r="E91" s="2"/>
      <c r="F91" s="19"/>
      <c r="G91" s="2"/>
      <c r="H91" s="2">
        <f>-971.11</f>
        <v>-971.11</v>
      </c>
      <c r="I91" s="2"/>
      <c r="J91" s="19"/>
      <c r="K91" s="2"/>
      <c r="L91" s="2">
        <f t="shared" si="0"/>
        <v>-15.100000000000023</v>
      </c>
      <c r="M91" s="2"/>
      <c r="N91" s="19">
        <f t="shared" si="1"/>
        <v>1.5549216875534205E-2</v>
      </c>
      <c r="O91" s="11"/>
      <c r="P91" s="2">
        <f>-1328.19</f>
        <v>-1328.19</v>
      </c>
      <c r="Q91" s="2"/>
      <c r="R91" s="19"/>
      <c r="S91" s="2"/>
      <c r="T91" s="2">
        <f>-1690.01</f>
        <v>-1690.01</v>
      </c>
      <c r="U91" s="2"/>
      <c r="V91" s="19"/>
      <c r="W91" s="2"/>
      <c r="X91" s="2">
        <f t="shared" si="2"/>
        <v>361.81999999999994</v>
      </c>
      <c r="Y91" s="2"/>
      <c r="Z91" s="19">
        <f t="shared" si="3"/>
        <v>-0.21409340773131516</v>
      </c>
    </row>
    <row r="92" spans="1:26" s="24" customFormat="1" hidden="1" outlineLevel="1" x14ac:dyDescent="0.25">
      <c r="A92" s="44"/>
      <c r="B92" s="11" t="str">
        <f>CONCATENATE("          ", "4242", " - ", "SALES RETURN TAXABLE-EVERYDAY")</f>
        <v xml:space="preserve">          4242 - SALES RETURN TAXABLE-EVERYDAY</v>
      </c>
      <c r="C92" s="11"/>
      <c r="D92" s="2">
        <f>-470.53</f>
        <v>-470.53</v>
      </c>
      <c r="E92" s="2"/>
      <c r="F92" s="19"/>
      <c r="G92" s="2"/>
      <c r="H92" s="2">
        <f>-450.83</f>
        <v>-450.83</v>
      </c>
      <c r="I92" s="2"/>
      <c r="J92" s="19"/>
      <c r="K92" s="2"/>
      <c r="L92" s="2">
        <f t="shared" si="0"/>
        <v>-19.699999999999989</v>
      </c>
      <c r="M92" s="2"/>
      <c r="N92" s="19">
        <f t="shared" si="1"/>
        <v>4.3697180755495398E-2</v>
      </c>
      <c r="O92" s="11"/>
      <c r="P92" s="2">
        <f>-649.49</f>
        <v>-649.49</v>
      </c>
      <c r="Q92" s="2"/>
      <c r="R92" s="19"/>
      <c r="S92" s="2"/>
      <c r="T92" s="2">
        <f>-824.81</f>
        <v>-824.81</v>
      </c>
      <c r="U92" s="2"/>
      <c r="V92" s="19"/>
      <c r="W92" s="2"/>
      <c r="X92" s="2">
        <f t="shared" si="2"/>
        <v>175.31999999999994</v>
      </c>
      <c r="Y92" s="2"/>
      <c r="Z92" s="19">
        <f t="shared" si="3"/>
        <v>-0.21255804367066347</v>
      </c>
    </row>
    <row r="93" spans="1:26" s="24" customFormat="1" hidden="1" outlineLevel="1" x14ac:dyDescent="0.25">
      <c r="A93" s="44"/>
      <c r="B93" s="11" t="str">
        <f>CONCATENATE("          ", "4243", " - ", "SALES RETURN TAXABLE-CARDS")</f>
        <v xml:space="preserve">          4243 - SALES RETURN TAXABLE-CARDS</v>
      </c>
      <c r="C93" s="11"/>
      <c r="D93" s="2">
        <f>-93.43</f>
        <v>-93.43</v>
      </c>
      <c r="E93" s="2"/>
      <c r="F93" s="19"/>
      <c r="G93" s="2"/>
      <c r="H93" s="2">
        <f>0</f>
        <v>0</v>
      </c>
      <c r="I93" s="2"/>
      <c r="J93" s="19"/>
      <c r="K93" s="2"/>
      <c r="L93" s="2">
        <f t="shared" si="0"/>
        <v>-93.43</v>
      </c>
      <c r="M93" s="2"/>
      <c r="N93" s="19">
        <f t="shared" si="1"/>
        <v>0</v>
      </c>
      <c r="O93" s="11"/>
      <c r="P93" s="2">
        <f>-93.43</f>
        <v>-93.43</v>
      </c>
      <c r="Q93" s="2"/>
      <c r="R93" s="19"/>
      <c r="S93" s="2"/>
      <c r="T93" s="2">
        <f>0</f>
        <v>0</v>
      </c>
      <c r="U93" s="2"/>
      <c r="V93" s="19"/>
      <c r="W93" s="2"/>
      <c r="X93" s="2">
        <f t="shared" si="2"/>
        <v>-93.43</v>
      </c>
      <c r="Y93" s="2"/>
      <c r="Z93" s="19">
        <f t="shared" si="3"/>
        <v>0</v>
      </c>
    </row>
    <row r="94" spans="1:26" s="24" customFormat="1" hidden="1" outlineLevel="1" x14ac:dyDescent="0.25">
      <c r="A94" s="44"/>
      <c r="B94" s="11" t="str">
        <f>CONCATENATE("          ", "4244", " - ", "SALES RETURN TAXABLE-ACCESSORI")</f>
        <v xml:space="preserve">          4244 - SALES RETURN TAXABLE-ACCESSORI</v>
      </c>
      <c r="C94" s="11"/>
      <c r="D94" s="2">
        <f>-350.99</f>
        <v>-350.99</v>
      </c>
      <c r="E94" s="2"/>
      <c r="F94" s="19"/>
      <c r="G94" s="2"/>
      <c r="H94" s="2">
        <f>-443.68</f>
        <v>-443.68</v>
      </c>
      <c r="I94" s="2"/>
      <c r="J94" s="19"/>
      <c r="K94" s="2"/>
      <c r="L94" s="2">
        <f t="shared" si="0"/>
        <v>92.69</v>
      </c>
      <c r="M94" s="2"/>
      <c r="N94" s="19">
        <f t="shared" si="1"/>
        <v>-0.20891182834475297</v>
      </c>
      <c r="O94" s="11"/>
      <c r="P94" s="2">
        <f>-350.99</f>
        <v>-350.99</v>
      </c>
      <c r="Q94" s="2"/>
      <c r="R94" s="19"/>
      <c r="S94" s="2"/>
      <c r="T94" s="2">
        <f>-550.47</f>
        <v>-550.47</v>
      </c>
      <c r="U94" s="2"/>
      <c r="V94" s="19"/>
      <c r="W94" s="2"/>
      <c r="X94" s="2">
        <f t="shared" si="2"/>
        <v>199.48000000000002</v>
      </c>
      <c r="Y94" s="2"/>
      <c r="Z94" s="19">
        <f t="shared" si="3"/>
        <v>-0.36238123785129073</v>
      </c>
    </row>
    <row r="95" spans="1:26" s="24" customFormat="1" hidden="1" outlineLevel="1" x14ac:dyDescent="0.25">
      <c r="A95" s="44"/>
      <c r="B95" s="11" t="str">
        <f>CONCATENATE("          ", "4245", " - ", "SALES RETURN TAXABLE-SPECIAL O")</f>
        <v xml:space="preserve">          4245 - SALES RETURN TAXABLE-SPECIAL O</v>
      </c>
      <c r="C95" s="11"/>
      <c r="D95" s="2">
        <f>-57.96</f>
        <v>-57.96</v>
      </c>
      <c r="E95" s="2"/>
      <c r="F95" s="19"/>
      <c r="G95" s="2"/>
      <c r="H95" s="2">
        <f>-19.98</f>
        <v>-19.98</v>
      </c>
      <c r="I95" s="2"/>
      <c r="J95" s="19"/>
      <c r="K95" s="2"/>
      <c r="L95" s="2">
        <f t="shared" si="0"/>
        <v>-37.980000000000004</v>
      </c>
      <c r="M95" s="2"/>
      <c r="N95" s="19">
        <f t="shared" si="1"/>
        <v>1.900900900900901</v>
      </c>
      <c r="O95" s="11"/>
      <c r="P95" s="2">
        <f>-1178.96</f>
        <v>-1178.96</v>
      </c>
      <c r="Q95" s="2"/>
      <c r="R95" s="19"/>
      <c r="S95" s="2"/>
      <c r="T95" s="2">
        <f>-19.98</f>
        <v>-19.98</v>
      </c>
      <c r="U95" s="2"/>
      <c r="V95" s="19"/>
      <c r="W95" s="2"/>
      <c r="X95" s="2">
        <f t="shared" si="2"/>
        <v>-1158.98</v>
      </c>
      <c r="Y95" s="2"/>
      <c r="Z95" s="19">
        <f t="shared" si="3"/>
        <v>58.007007007007005</v>
      </c>
    </row>
    <row r="96" spans="1:26" s="24" customFormat="1" hidden="1" outlineLevel="1" x14ac:dyDescent="0.25">
      <c r="A96" s="44"/>
      <c r="B96" s="11" t="str">
        <f>CONCATENATE("          ", "4281", " - ", "SALES RETURN TAXABLE-ELECTRONI")</f>
        <v xml:space="preserve">          4281 - SALES RETURN TAXABLE-ELECTRONI</v>
      </c>
      <c r="C96" s="11"/>
      <c r="D96" s="2">
        <f>-7424.23</f>
        <v>-7424.23</v>
      </c>
      <c r="E96" s="2"/>
      <c r="F96" s="19"/>
      <c r="G96" s="2"/>
      <c r="H96" s="2">
        <f>-575.76</f>
        <v>-575.76</v>
      </c>
      <c r="I96" s="2"/>
      <c r="J96" s="19"/>
      <c r="K96" s="2"/>
      <c r="L96" s="2">
        <f t="shared" si="0"/>
        <v>-6848.4699999999993</v>
      </c>
      <c r="M96" s="2"/>
      <c r="N96" s="19">
        <f t="shared" si="1"/>
        <v>11.894660969848546</v>
      </c>
      <c r="O96" s="11"/>
      <c r="P96" s="2">
        <f>-13716.22</f>
        <v>-13716.22</v>
      </c>
      <c r="Q96" s="2"/>
      <c r="R96" s="19"/>
      <c r="S96" s="2"/>
      <c r="T96" s="2">
        <f>-2234.75</f>
        <v>-2234.75</v>
      </c>
      <c r="U96" s="2"/>
      <c r="V96" s="19"/>
      <c r="W96" s="2"/>
      <c r="X96" s="2">
        <f t="shared" si="2"/>
        <v>-11481.47</v>
      </c>
      <c r="Y96" s="2"/>
      <c r="Z96" s="19">
        <f t="shared" si="3"/>
        <v>5.1376977290524666</v>
      </c>
    </row>
    <row r="97" spans="1:26" s="24" customFormat="1" hidden="1" outlineLevel="1" x14ac:dyDescent="0.25">
      <c r="A97" s="44"/>
      <c r="B97" s="11" t="str">
        <f>CONCATENATE("          ", "4282", " - ", "SALES RETURN TAXABLE-COMPUTER")</f>
        <v xml:space="preserve">          4282 - SALES RETURN TAXABLE-COMPUTER</v>
      </c>
      <c r="C97" s="11"/>
      <c r="D97" s="2">
        <f>-15442</f>
        <v>-15442</v>
      </c>
      <c r="E97" s="2"/>
      <c r="F97" s="19"/>
      <c r="G97" s="2"/>
      <c r="H97" s="2">
        <f>-49848.66</f>
        <v>-49848.66</v>
      </c>
      <c r="I97" s="2"/>
      <c r="J97" s="19"/>
      <c r="K97" s="2"/>
      <c r="L97" s="2">
        <f t="shared" si="0"/>
        <v>34406.660000000003</v>
      </c>
      <c r="M97" s="2"/>
      <c r="N97" s="19">
        <f t="shared" si="1"/>
        <v>-0.69022236505454715</v>
      </c>
      <c r="O97" s="11"/>
      <c r="P97" s="2">
        <f>-33649</f>
        <v>-33649</v>
      </c>
      <c r="Q97" s="2"/>
      <c r="R97" s="19"/>
      <c r="S97" s="2"/>
      <c r="T97" s="2">
        <f>-120189.72</f>
        <v>-120189.72</v>
      </c>
      <c r="U97" s="2"/>
      <c r="V97" s="19"/>
      <c r="W97" s="2"/>
      <c r="X97" s="2">
        <f t="shared" si="2"/>
        <v>86540.72</v>
      </c>
      <c r="Y97" s="2"/>
      <c r="Z97" s="19">
        <f t="shared" si="3"/>
        <v>-0.7200342924503027</v>
      </c>
    </row>
    <row r="98" spans="1:26" s="24" customFormat="1" hidden="1" outlineLevel="1" x14ac:dyDescent="0.25">
      <c r="A98" s="44"/>
      <c r="B98" s="11" t="str">
        <f>CONCATENATE("          ", "4283", " - ", "SALES RETURN TAXABLE-COMPUTER")</f>
        <v xml:space="preserve">          4283 - SALES RETURN TAXABLE-COMPUTER</v>
      </c>
      <c r="C98" s="11"/>
      <c r="D98" s="2">
        <f>-699.9</f>
        <v>-699.9</v>
      </c>
      <c r="E98" s="2"/>
      <c r="F98" s="19"/>
      <c r="G98" s="2"/>
      <c r="H98" s="2">
        <f>-503.89</f>
        <v>-503.89</v>
      </c>
      <c r="I98" s="2"/>
      <c r="J98" s="19"/>
      <c r="K98" s="2"/>
      <c r="L98" s="2">
        <f t="shared" si="0"/>
        <v>-196.01</v>
      </c>
      <c r="M98" s="2"/>
      <c r="N98" s="19">
        <f t="shared" si="1"/>
        <v>0.38899362956200756</v>
      </c>
      <c r="O98" s="11"/>
      <c r="P98" s="2">
        <f>-1518.83</f>
        <v>-1518.83</v>
      </c>
      <c r="Q98" s="2"/>
      <c r="R98" s="19"/>
      <c r="S98" s="2"/>
      <c r="T98" s="2">
        <f>-730.69</f>
        <v>-730.69</v>
      </c>
      <c r="U98" s="2"/>
      <c r="V98" s="19"/>
      <c r="W98" s="2"/>
      <c r="X98" s="2">
        <f t="shared" si="2"/>
        <v>-788.13999999999987</v>
      </c>
      <c r="Y98" s="2"/>
      <c r="Z98" s="19">
        <f t="shared" si="3"/>
        <v>1.0786243140045708</v>
      </c>
    </row>
    <row r="99" spans="1:26" s="24" customFormat="1" hidden="1" outlineLevel="1" x14ac:dyDescent="0.25">
      <c r="A99" s="44"/>
      <c r="B99" s="11" t="str">
        <f>CONCATENATE("          ", "4284", " - ", "SALES RETURN TAXABLE-SOFTWARE")</f>
        <v xml:space="preserve">          4284 - SALES RETURN TAXABLE-SOFTWARE</v>
      </c>
      <c r="C99" s="11"/>
      <c r="D99" s="2">
        <f t="shared" ref="D99:D100" si="18">0</f>
        <v>0</v>
      </c>
      <c r="E99" s="2"/>
      <c r="F99" s="19"/>
      <c r="G99" s="2"/>
      <c r="H99" s="2">
        <f>-129</f>
        <v>-129</v>
      </c>
      <c r="I99" s="2"/>
      <c r="J99" s="19"/>
      <c r="K99" s="2"/>
      <c r="L99" s="2">
        <f t="shared" si="0"/>
        <v>129</v>
      </c>
      <c r="M99" s="2"/>
      <c r="N99" s="19">
        <f t="shared" si="1"/>
        <v>-1</v>
      </c>
      <c r="O99" s="11"/>
      <c r="P99" s="2">
        <f t="shared" ref="P99:P100" si="19">0</f>
        <v>0</v>
      </c>
      <c r="Q99" s="2"/>
      <c r="R99" s="19"/>
      <c r="S99" s="2"/>
      <c r="T99" s="2">
        <f>-129</f>
        <v>-129</v>
      </c>
      <c r="U99" s="2"/>
      <c r="V99" s="19"/>
      <c r="W99" s="2"/>
      <c r="X99" s="2">
        <f t="shared" si="2"/>
        <v>129</v>
      </c>
      <c r="Y99" s="2"/>
      <c r="Z99" s="19">
        <f t="shared" si="3"/>
        <v>-1</v>
      </c>
    </row>
    <row r="100" spans="1:26" s="24" customFormat="1" hidden="1" outlineLevel="1" x14ac:dyDescent="0.25">
      <c r="A100" s="44"/>
      <c r="B100" s="11" t="str">
        <f>CONCATENATE("          ", "4285", " - ", "SALES RETURN TAXABLE-SOFTWARE")</f>
        <v xml:space="preserve">          4285 - SALES RETURN TAXABLE-SOFTWARE</v>
      </c>
      <c r="C100" s="11"/>
      <c r="D100" s="2">
        <f t="shared" si="18"/>
        <v>0</v>
      </c>
      <c r="E100" s="2"/>
      <c r="F100" s="19"/>
      <c r="G100" s="2"/>
      <c r="H100" s="2">
        <f>0</f>
        <v>0</v>
      </c>
      <c r="I100" s="2"/>
      <c r="J100" s="19"/>
      <c r="K100" s="2"/>
      <c r="L100" s="2">
        <f t="shared" si="0"/>
        <v>0</v>
      </c>
      <c r="M100" s="2"/>
      <c r="N100" s="19">
        <f t="shared" si="1"/>
        <v>0</v>
      </c>
      <c r="O100" s="11"/>
      <c r="P100" s="2">
        <f t="shared" si="19"/>
        <v>0</v>
      </c>
      <c r="Q100" s="2"/>
      <c r="R100" s="19"/>
      <c r="S100" s="2"/>
      <c r="T100" s="2">
        <f>-406.99</f>
        <v>-406.99</v>
      </c>
      <c r="U100" s="2"/>
      <c r="V100" s="19"/>
      <c r="W100" s="2"/>
      <c r="X100" s="2">
        <f t="shared" si="2"/>
        <v>406.99</v>
      </c>
      <c r="Y100" s="2"/>
      <c r="Z100" s="19">
        <f t="shared" si="3"/>
        <v>-1</v>
      </c>
    </row>
    <row r="101" spans="1:26" s="24" customFormat="1" hidden="1" outlineLevel="1" x14ac:dyDescent="0.25">
      <c r="A101" s="44"/>
      <c r="B101" s="11" t="str">
        <f>CONCATENATE("          ", "4286", " - ", "SALES RETURN TAXABLE-COMPUTER")</f>
        <v xml:space="preserve">          4286 - SALES RETURN TAXABLE-COMPUTER</v>
      </c>
      <c r="C101" s="11"/>
      <c r="D101" s="2">
        <f>-153.96</f>
        <v>-153.96</v>
      </c>
      <c r="E101" s="2"/>
      <c r="F101" s="19"/>
      <c r="G101" s="2"/>
      <c r="H101" s="2">
        <f>-635.2</f>
        <v>-635.20000000000005</v>
      </c>
      <c r="I101" s="2"/>
      <c r="J101" s="19"/>
      <c r="K101" s="2"/>
      <c r="L101" s="2">
        <f t="shared" si="0"/>
        <v>481.24</v>
      </c>
      <c r="M101" s="2"/>
      <c r="N101" s="19">
        <f t="shared" si="1"/>
        <v>-0.75761964735516374</v>
      </c>
      <c r="O101" s="11"/>
      <c r="P101" s="2">
        <f>-153.96</f>
        <v>-153.96</v>
      </c>
      <c r="Q101" s="2"/>
      <c r="R101" s="19"/>
      <c r="S101" s="2"/>
      <c r="T101" s="2">
        <f>-1181.15</f>
        <v>-1181.1500000000001</v>
      </c>
      <c r="U101" s="2"/>
      <c r="V101" s="19"/>
      <c r="W101" s="2"/>
      <c r="X101" s="2">
        <f t="shared" si="2"/>
        <v>1027.19</v>
      </c>
      <c r="Y101" s="2"/>
      <c r="Z101" s="19">
        <f t="shared" si="3"/>
        <v>-0.86965245735088681</v>
      </c>
    </row>
    <row r="102" spans="1:26" s="24" customFormat="1" hidden="1" outlineLevel="1" x14ac:dyDescent="0.25">
      <c r="A102" s="44"/>
      <c r="B102" s="11" t="str">
        <f>CONCATENATE("          ", "4292", " - ", "SALES RETURN TAXABLE-GRAD MERC")</f>
        <v xml:space="preserve">          4292 - SALES RETURN TAXABLE-GRAD MERC</v>
      </c>
      <c r="C102" s="11"/>
      <c r="D102" s="2">
        <f t="shared" ref="D102:D103" si="20">0</f>
        <v>0</v>
      </c>
      <c r="E102" s="2"/>
      <c r="F102" s="19"/>
      <c r="G102" s="2"/>
      <c r="H102" s="2">
        <f>-359.2</f>
        <v>-359.2</v>
      </c>
      <c r="I102" s="2"/>
      <c r="J102" s="19"/>
      <c r="K102" s="2"/>
      <c r="L102" s="2">
        <f t="shared" si="0"/>
        <v>359.2</v>
      </c>
      <c r="M102" s="2"/>
      <c r="N102" s="19">
        <f t="shared" si="1"/>
        <v>-1</v>
      </c>
      <c r="O102" s="11"/>
      <c r="P102" s="2">
        <f t="shared" ref="P102:P103" si="21">0</f>
        <v>0</v>
      </c>
      <c r="Q102" s="2"/>
      <c r="R102" s="19"/>
      <c r="S102" s="2"/>
      <c r="T102" s="2">
        <f>-369.15</f>
        <v>-369.15</v>
      </c>
      <c r="U102" s="2"/>
      <c r="V102" s="19"/>
      <c r="W102" s="2"/>
      <c r="X102" s="2">
        <f t="shared" si="2"/>
        <v>369.15</v>
      </c>
      <c r="Y102" s="2"/>
      <c r="Z102" s="19">
        <f t="shared" si="3"/>
        <v>-1</v>
      </c>
    </row>
    <row r="103" spans="1:26" s="24" customFormat="1" hidden="1" outlineLevel="1" x14ac:dyDescent="0.25">
      <c r="A103" s="44"/>
      <c r="B103" s="11" t="str">
        <f>CONCATENATE("          ", "4295", " - ", "SALES RETURN TAXABLE-CUSTOMER")</f>
        <v xml:space="preserve">          4295 - SALES RETURN TAXABLE-CUSTOMER</v>
      </c>
      <c r="C103" s="11"/>
      <c r="D103" s="2">
        <f t="shared" si="20"/>
        <v>0</v>
      </c>
      <c r="E103" s="2"/>
      <c r="F103" s="19"/>
      <c r="G103" s="2"/>
      <c r="H103" s="2">
        <f>--0.99</f>
        <v>0.99</v>
      </c>
      <c r="I103" s="2"/>
      <c r="J103" s="19"/>
      <c r="K103" s="2"/>
      <c r="L103" s="2">
        <f t="shared" si="0"/>
        <v>-0.99</v>
      </c>
      <c r="M103" s="2"/>
      <c r="N103" s="19">
        <f t="shared" si="1"/>
        <v>-1</v>
      </c>
      <c r="O103" s="11"/>
      <c r="P103" s="2">
        <f t="shared" si="21"/>
        <v>0</v>
      </c>
      <c r="Q103" s="2"/>
      <c r="R103" s="19"/>
      <c r="S103" s="2"/>
      <c r="T103" s="2">
        <f>--0.99</f>
        <v>0.99</v>
      </c>
      <c r="U103" s="2"/>
      <c r="V103" s="19"/>
      <c r="W103" s="2"/>
      <c r="X103" s="2">
        <f t="shared" si="2"/>
        <v>-0.99</v>
      </c>
      <c r="Y103" s="2"/>
      <c r="Z103" s="19">
        <f t="shared" si="3"/>
        <v>-1</v>
      </c>
    </row>
    <row r="104" spans="1:26" s="24" customFormat="1" hidden="1" outlineLevel="1" x14ac:dyDescent="0.25">
      <c r="A104" s="44"/>
      <c r="B104" s="11" t="str">
        <f>CONCATENATE("          ", "4301", " - ", "SALES RETURN NON TAXABLE-NEW T")</f>
        <v xml:space="preserve">          4301 - SALES RETURN NON TAXABLE-NEW T</v>
      </c>
      <c r="C104" s="11"/>
      <c r="D104" s="2">
        <f>-20.25</f>
        <v>-20.25</v>
      </c>
      <c r="E104" s="2"/>
      <c r="F104" s="19"/>
      <c r="G104" s="2"/>
      <c r="H104" s="2">
        <f>-2665.19</f>
        <v>-2665.19</v>
      </c>
      <c r="I104" s="2"/>
      <c r="J104" s="19"/>
      <c r="K104" s="2"/>
      <c r="L104" s="2">
        <f t="shared" si="0"/>
        <v>2644.94</v>
      </c>
      <c r="M104" s="2"/>
      <c r="N104" s="19">
        <f t="shared" si="1"/>
        <v>-0.99240204263110698</v>
      </c>
      <c r="O104" s="11"/>
      <c r="P104" s="2">
        <f>-20.25</f>
        <v>-20.25</v>
      </c>
      <c r="Q104" s="2"/>
      <c r="R104" s="19"/>
      <c r="S104" s="2"/>
      <c r="T104" s="2">
        <f>-2919.78</f>
        <v>-2919.78</v>
      </c>
      <c r="U104" s="2"/>
      <c r="V104" s="19"/>
      <c r="W104" s="2"/>
      <c r="X104" s="2">
        <f t="shared" si="2"/>
        <v>2899.53</v>
      </c>
      <c r="Y104" s="2"/>
      <c r="Z104" s="19">
        <f t="shared" si="3"/>
        <v>-0.99306454595894211</v>
      </c>
    </row>
    <row r="105" spans="1:26" s="24" customFormat="1" hidden="1" outlineLevel="1" x14ac:dyDescent="0.25">
      <c r="A105" s="44"/>
      <c r="B105" s="11" t="str">
        <f>CONCATENATE("          ", "4302", " - ", "SALES RETURN NON TAXABLE-TEXT")</f>
        <v xml:space="preserve">          4302 - SALES RETURN NON TAXABLE-TEXT</v>
      </c>
      <c r="C105" s="11"/>
      <c r="D105" s="2">
        <f>-346.17</f>
        <v>-346.17</v>
      </c>
      <c r="E105" s="2"/>
      <c r="F105" s="19"/>
      <c r="G105" s="2"/>
      <c r="H105" s="2">
        <f>-250.25</f>
        <v>-250.25</v>
      </c>
      <c r="I105" s="2"/>
      <c r="J105" s="19"/>
      <c r="K105" s="2"/>
      <c r="L105" s="2">
        <f t="shared" si="0"/>
        <v>-95.920000000000016</v>
      </c>
      <c r="M105" s="2"/>
      <c r="N105" s="19">
        <f t="shared" si="1"/>
        <v>0.38329670329670334</v>
      </c>
      <c r="O105" s="11"/>
      <c r="P105" s="2">
        <f>-409.84</f>
        <v>-409.84</v>
      </c>
      <c r="Q105" s="2"/>
      <c r="R105" s="19"/>
      <c r="S105" s="2"/>
      <c r="T105" s="2">
        <f>-250.25</f>
        <v>-250.25</v>
      </c>
      <c r="U105" s="2"/>
      <c r="V105" s="19"/>
      <c r="W105" s="2"/>
      <c r="X105" s="2">
        <f t="shared" si="2"/>
        <v>-159.58999999999997</v>
      </c>
      <c r="Y105" s="2"/>
      <c r="Z105" s="19">
        <f t="shared" si="3"/>
        <v>0.63772227772227763</v>
      </c>
    </row>
    <row r="106" spans="1:26" s="24" customFormat="1" hidden="1" outlineLevel="1" x14ac:dyDescent="0.25">
      <c r="A106" s="44"/>
      <c r="B106" s="11" t="str">
        <f>CONCATENATE("          ", "4304", " - ", "SALES RETURN NON TAXABLE-DIGIT")</f>
        <v xml:space="preserve">          4304 - SALES RETURN NON TAXABLE-DIGIT</v>
      </c>
      <c r="C106" s="11"/>
      <c r="D106" s="2">
        <f>-5500.68</f>
        <v>-5500.68</v>
      </c>
      <c r="E106" s="2"/>
      <c r="F106" s="19"/>
      <c r="G106" s="2"/>
      <c r="H106" s="2">
        <f>-8466.55</f>
        <v>-8466.5499999999993</v>
      </c>
      <c r="I106" s="2"/>
      <c r="J106" s="19"/>
      <c r="K106" s="2"/>
      <c r="L106" s="2">
        <f t="shared" si="0"/>
        <v>2965.869999999999</v>
      </c>
      <c r="M106" s="2"/>
      <c r="N106" s="19">
        <f t="shared" si="1"/>
        <v>-0.35030443332880562</v>
      </c>
      <c r="O106" s="11"/>
      <c r="P106" s="2">
        <f>-5952.73</f>
        <v>-5952.73</v>
      </c>
      <c r="Q106" s="2"/>
      <c r="R106" s="19"/>
      <c r="S106" s="2"/>
      <c r="T106" s="2">
        <f>-8466.55</f>
        <v>-8466.5499999999993</v>
      </c>
      <c r="U106" s="2"/>
      <c r="V106" s="19"/>
      <c r="W106" s="2"/>
      <c r="X106" s="2">
        <f t="shared" si="2"/>
        <v>2513.8199999999997</v>
      </c>
      <c r="Y106" s="2"/>
      <c r="Z106" s="19">
        <f t="shared" si="3"/>
        <v>-0.29691196532235681</v>
      </c>
    </row>
    <row r="107" spans="1:26" s="24" customFormat="1" hidden="1" outlineLevel="1" x14ac:dyDescent="0.25">
      <c r="A107" s="44"/>
      <c r="B107" s="11" t="str">
        <f>CONCATENATE("          ", "4311", " - ", "SALES RETURN NON TAXABLE-NO VA")</f>
        <v xml:space="preserve">          4311 - SALES RETURN NON TAXABLE-NO VA</v>
      </c>
      <c r="C107" s="11"/>
      <c r="D107" s="2">
        <f t="shared" ref="D107:D108" si="22">0</f>
        <v>0</v>
      </c>
      <c r="E107" s="2"/>
      <c r="F107" s="19"/>
      <c r="G107" s="2"/>
      <c r="H107" s="2">
        <f>-79.06</f>
        <v>-79.06</v>
      </c>
      <c r="I107" s="2"/>
      <c r="J107" s="19"/>
      <c r="K107" s="2"/>
      <c r="L107" s="2">
        <f t="shared" si="0"/>
        <v>79.06</v>
      </c>
      <c r="M107" s="2"/>
      <c r="N107" s="19">
        <f t="shared" si="1"/>
        <v>-1</v>
      </c>
      <c r="O107" s="11"/>
      <c r="P107" s="2">
        <f t="shared" ref="P107:P108" si="23">0</f>
        <v>0</v>
      </c>
      <c r="Q107" s="2"/>
      <c r="R107" s="19"/>
      <c r="S107" s="2"/>
      <c r="T107" s="2">
        <f>-111.04</f>
        <v>-111.04</v>
      </c>
      <c r="U107" s="2"/>
      <c r="V107" s="19"/>
      <c r="W107" s="2"/>
      <c r="X107" s="2">
        <f t="shared" si="2"/>
        <v>111.04</v>
      </c>
      <c r="Y107" s="2"/>
      <c r="Z107" s="19">
        <f t="shared" si="3"/>
        <v>-1</v>
      </c>
    </row>
    <row r="108" spans="1:26" s="24" customFormat="1" hidden="1" outlineLevel="1" x14ac:dyDescent="0.25">
      <c r="A108" s="44"/>
      <c r="B108" s="11" t="str">
        <f>CONCATENATE("          ", "4327", " - ", "SALES RETURN NON TAXABLE-SCHOO")</f>
        <v xml:space="preserve">          4327 - SALES RETURN NON TAXABLE-SCHOO</v>
      </c>
      <c r="C108" s="11"/>
      <c r="D108" s="2">
        <f t="shared" si="22"/>
        <v>0</v>
      </c>
      <c r="E108" s="2"/>
      <c r="F108" s="19"/>
      <c r="G108" s="2"/>
      <c r="H108" s="2">
        <f>-13.58</f>
        <v>-13.58</v>
      </c>
      <c r="I108" s="2"/>
      <c r="J108" s="19"/>
      <c r="K108" s="2"/>
      <c r="L108" s="2">
        <f t="shared" si="0"/>
        <v>13.58</v>
      </c>
      <c r="M108" s="2"/>
      <c r="N108" s="19">
        <f t="shared" si="1"/>
        <v>-1</v>
      </c>
      <c r="O108" s="11"/>
      <c r="P108" s="2">
        <f t="shared" si="23"/>
        <v>0</v>
      </c>
      <c r="Q108" s="2"/>
      <c r="R108" s="19"/>
      <c r="S108" s="2"/>
      <c r="T108" s="2">
        <f>-13.58</f>
        <v>-13.58</v>
      </c>
      <c r="U108" s="2"/>
      <c r="V108" s="19"/>
      <c r="W108" s="2"/>
      <c r="X108" s="2">
        <f t="shared" si="2"/>
        <v>13.58</v>
      </c>
      <c r="Y108" s="2"/>
      <c r="Z108" s="19">
        <f t="shared" si="3"/>
        <v>-1</v>
      </c>
    </row>
    <row r="109" spans="1:26" s="24" customFormat="1" hidden="1" outlineLevel="1" x14ac:dyDescent="0.25">
      <c r="A109" s="44"/>
      <c r="B109" s="11" t="str">
        <f>CONCATENATE("          ", "4340", " - ", "SALES RETURN NON TAXABLE-LOGO")</f>
        <v xml:space="preserve">          4340 - SALES RETURN NON TAXABLE-LOGO</v>
      </c>
      <c r="C109" s="11"/>
      <c r="D109" s="2">
        <f>-69.9</f>
        <v>-69.900000000000006</v>
      </c>
      <c r="E109" s="2"/>
      <c r="F109" s="19"/>
      <c r="G109" s="2"/>
      <c r="H109" s="2">
        <f>-44.95</f>
        <v>-44.95</v>
      </c>
      <c r="I109" s="2"/>
      <c r="J109" s="19"/>
      <c r="K109" s="2"/>
      <c r="L109" s="2">
        <f t="shared" si="0"/>
        <v>-24.950000000000003</v>
      </c>
      <c r="M109" s="2"/>
      <c r="N109" s="19">
        <f t="shared" si="1"/>
        <v>0.55506117908787544</v>
      </c>
      <c r="O109" s="11"/>
      <c r="P109" s="2">
        <f>-504.14</f>
        <v>-504.14</v>
      </c>
      <c r="Q109" s="2"/>
      <c r="R109" s="19"/>
      <c r="S109" s="2"/>
      <c r="T109" s="2">
        <f>-268.5</f>
        <v>-268.5</v>
      </c>
      <c r="U109" s="2"/>
      <c r="V109" s="19"/>
      <c r="W109" s="2"/>
      <c r="X109" s="2">
        <f t="shared" si="2"/>
        <v>-235.64</v>
      </c>
      <c r="Y109" s="2"/>
      <c r="Z109" s="19">
        <f t="shared" si="3"/>
        <v>0.87761638733705771</v>
      </c>
    </row>
    <row r="110" spans="1:26" s="24" customFormat="1" hidden="1" outlineLevel="1" x14ac:dyDescent="0.25">
      <c r="A110" s="44"/>
      <c r="B110" s="11" t="str">
        <f>CONCATENATE("          ", "4341", " - ", "SALES RETURN NON TAXABLE-LOGO")</f>
        <v xml:space="preserve">          4341 - SALES RETURN NON TAXABLE-LOGO</v>
      </c>
      <c r="C110" s="11"/>
      <c r="D110" s="2">
        <f>0</f>
        <v>0</v>
      </c>
      <c r="E110" s="2"/>
      <c r="F110" s="19"/>
      <c r="G110" s="2"/>
      <c r="H110" s="2">
        <f>-3.95</f>
        <v>-3.95</v>
      </c>
      <c r="I110" s="2"/>
      <c r="J110" s="19"/>
      <c r="K110" s="2"/>
      <c r="L110" s="2">
        <f t="shared" si="0"/>
        <v>3.95</v>
      </c>
      <c r="M110" s="2"/>
      <c r="N110" s="19">
        <f t="shared" si="1"/>
        <v>-1</v>
      </c>
      <c r="O110" s="11"/>
      <c r="P110" s="2">
        <f>-16.95</f>
        <v>-16.95</v>
      </c>
      <c r="Q110" s="2"/>
      <c r="R110" s="19"/>
      <c r="S110" s="2"/>
      <c r="T110" s="2">
        <f>-3.95</f>
        <v>-3.95</v>
      </c>
      <c r="U110" s="2"/>
      <c r="V110" s="19"/>
      <c r="W110" s="2"/>
      <c r="X110" s="2">
        <f t="shared" si="2"/>
        <v>-13</v>
      </c>
      <c r="Y110" s="2"/>
      <c r="Z110" s="19">
        <f t="shared" si="3"/>
        <v>3.2911392405063289</v>
      </c>
    </row>
    <row r="111" spans="1:26" s="24" customFormat="1" hidden="1" outlineLevel="1" x14ac:dyDescent="0.25">
      <c r="A111" s="44"/>
      <c r="B111" s="11" t="str">
        <f>CONCATENATE("          ", "4342", " - ", "SALES RETURN NON TAXABLE-EVERY")</f>
        <v xml:space="preserve">          4342 - SALES RETURN NON TAXABLE-EVERY</v>
      </c>
      <c r="C111" s="11"/>
      <c r="D111" s="2">
        <f>-13.9</f>
        <v>-13.9</v>
      </c>
      <c r="E111" s="2"/>
      <c r="F111" s="19"/>
      <c r="G111" s="2"/>
      <c r="H111" s="2">
        <f>0</f>
        <v>0</v>
      </c>
      <c r="I111" s="2"/>
      <c r="J111" s="19"/>
      <c r="K111" s="2"/>
      <c r="L111" s="2">
        <f t="shared" si="0"/>
        <v>-13.9</v>
      </c>
      <c r="M111" s="2"/>
      <c r="N111" s="19">
        <f t="shared" si="1"/>
        <v>0</v>
      </c>
      <c r="O111" s="11"/>
      <c r="P111" s="2">
        <f>-93.75</f>
        <v>-93.75</v>
      </c>
      <c r="Q111" s="2"/>
      <c r="R111" s="19"/>
      <c r="S111" s="2"/>
      <c r="T111" s="2">
        <f>0</f>
        <v>0</v>
      </c>
      <c r="U111" s="2"/>
      <c r="V111" s="19"/>
      <c r="W111" s="2"/>
      <c r="X111" s="2">
        <f t="shared" si="2"/>
        <v>-93.75</v>
      </c>
      <c r="Y111" s="2"/>
      <c r="Z111" s="19">
        <f t="shared" si="3"/>
        <v>0</v>
      </c>
    </row>
    <row r="112" spans="1:26" s="24" customFormat="1" hidden="1" outlineLevel="1" x14ac:dyDescent="0.25">
      <c r="A112" s="44"/>
      <c r="B112" s="11" t="str">
        <f>CONCATENATE("          ", "4346", " - ", "SALES RETURN NON TAXABLE-COIN-")</f>
        <v xml:space="preserve">          4346 - SALES RETURN NON TAXABLE-COIN-</v>
      </c>
      <c r="C112" s="11"/>
      <c r="D112" s="2">
        <f>0</f>
        <v>0</v>
      </c>
      <c r="E112" s="2"/>
      <c r="F112" s="19"/>
      <c r="G112" s="2"/>
      <c r="H112" s="2">
        <f>-8.15</f>
        <v>-8.15</v>
      </c>
      <c r="I112" s="2"/>
      <c r="J112" s="19"/>
      <c r="K112" s="2"/>
      <c r="L112" s="2">
        <f t="shared" si="0"/>
        <v>8.15</v>
      </c>
      <c r="M112" s="2"/>
      <c r="N112" s="19">
        <f t="shared" si="1"/>
        <v>-1</v>
      </c>
      <c r="O112" s="11"/>
      <c r="P112" s="2">
        <f>0</f>
        <v>0</v>
      </c>
      <c r="Q112" s="2"/>
      <c r="R112" s="19"/>
      <c r="S112" s="2"/>
      <c r="T112" s="2">
        <f>-8.15</f>
        <v>-8.15</v>
      </c>
      <c r="U112" s="2"/>
      <c r="V112" s="19"/>
      <c r="W112" s="2"/>
      <c r="X112" s="2">
        <f t="shared" si="2"/>
        <v>8.15</v>
      </c>
      <c r="Y112" s="2"/>
      <c r="Z112" s="19">
        <f t="shared" si="3"/>
        <v>-1</v>
      </c>
    </row>
    <row r="113" spans="1:26" s="24" customFormat="1" hidden="1" outlineLevel="1" x14ac:dyDescent="0.25">
      <c r="A113" s="44"/>
      <c r="B113" s="11" t="str">
        <f>CONCATENATE("          ", "4381", " - ", "SALES RETURN NON TAXABLE-ELECT")</f>
        <v xml:space="preserve">          4381 - SALES RETURN NON TAXABLE-ELECT</v>
      </c>
      <c r="C113" s="11"/>
      <c r="D113" s="2">
        <f>-3625.2</f>
        <v>-3625.2</v>
      </c>
      <c r="E113" s="2"/>
      <c r="F113" s="19"/>
      <c r="G113" s="2"/>
      <c r="H113" s="2">
        <f>0</f>
        <v>0</v>
      </c>
      <c r="I113" s="2"/>
      <c r="J113" s="19"/>
      <c r="K113" s="2"/>
      <c r="L113" s="2">
        <f t="shared" si="0"/>
        <v>-3625.2</v>
      </c>
      <c r="M113" s="2"/>
      <c r="N113" s="19">
        <f t="shared" si="1"/>
        <v>0</v>
      </c>
      <c r="O113" s="11"/>
      <c r="P113" s="2">
        <f>-5374.2</f>
        <v>-5374.2</v>
      </c>
      <c r="Q113" s="2"/>
      <c r="R113" s="19"/>
      <c r="S113" s="2"/>
      <c r="T113" s="2">
        <f>0</f>
        <v>0</v>
      </c>
      <c r="U113" s="2"/>
      <c r="V113" s="19"/>
      <c r="W113" s="2"/>
      <c r="X113" s="2">
        <f t="shared" si="2"/>
        <v>-5374.2</v>
      </c>
      <c r="Y113" s="2"/>
      <c r="Z113" s="19">
        <f t="shared" si="3"/>
        <v>0</v>
      </c>
    </row>
    <row r="114" spans="1:26" s="24" customFormat="1" hidden="1" outlineLevel="1" x14ac:dyDescent="0.25">
      <c r="A114" s="44"/>
      <c r="B114" s="11" t="str">
        <f>CONCATENATE("          ", "4383", " - ", "SALES RETURN NON TAXABLE-COMPU")</f>
        <v xml:space="preserve">          4383 - SALES RETURN NON TAXABLE-COMPU</v>
      </c>
      <c r="C114" s="11"/>
      <c r="D114" s="2">
        <f t="shared" ref="D114:D115" si="24">0</f>
        <v>0</v>
      </c>
      <c r="E114" s="2"/>
      <c r="F114" s="19"/>
      <c r="G114" s="2"/>
      <c r="H114" s="2">
        <f>-24.99</f>
        <v>-24.99</v>
      </c>
      <c r="I114" s="2"/>
      <c r="J114" s="19"/>
      <c r="K114" s="2"/>
      <c r="L114" s="2">
        <f t="shared" si="0"/>
        <v>24.99</v>
      </c>
      <c r="M114" s="2"/>
      <c r="N114" s="19">
        <f t="shared" si="1"/>
        <v>-1</v>
      </c>
      <c r="O114" s="11"/>
      <c r="P114" s="2">
        <f t="shared" ref="P114:P115" si="25">0</f>
        <v>0</v>
      </c>
      <c r="Q114" s="2"/>
      <c r="R114" s="19"/>
      <c r="S114" s="2"/>
      <c r="T114" s="2">
        <f>-24.99</f>
        <v>-24.99</v>
      </c>
      <c r="U114" s="2"/>
      <c r="V114" s="19"/>
      <c r="W114" s="2"/>
      <c r="X114" s="2">
        <f t="shared" si="2"/>
        <v>24.99</v>
      </c>
      <c r="Y114" s="2"/>
      <c r="Z114" s="19">
        <f t="shared" si="3"/>
        <v>-1</v>
      </c>
    </row>
    <row r="115" spans="1:26" s="24" customFormat="1" hidden="1" outlineLevel="1" x14ac:dyDescent="0.25">
      <c r="A115" s="44"/>
      <c r="B115" s="11" t="str">
        <f>CONCATENATE("          ", "4386", " - ", "SALES RETURN NON TAXABLE-COMPU")</f>
        <v xml:space="preserve">          4386 - SALES RETURN NON TAXABLE-COMPU</v>
      </c>
      <c r="C115" s="11"/>
      <c r="D115" s="2">
        <f t="shared" si="24"/>
        <v>0</v>
      </c>
      <c r="E115" s="2"/>
      <c r="F115" s="19"/>
      <c r="G115" s="2"/>
      <c r="H115" s="2">
        <f>-19.99</f>
        <v>-19.989999999999998</v>
      </c>
      <c r="I115" s="2"/>
      <c r="J115" s="19"/>
      <c r="K115" s="2"/>
      <c r="L115" s="2">
        <f t="shared" si="0"/>
        <v>19.989999999999998</v>
      </c>
      <c r="M115" s="2"/>
      <c r="N115" s="19">
        <f t="shared" si="1"/>
        <v>-1</v>
      </c>
      <c r="O115" s="11"/>
      <c r="P115" s="2">
        <f t="shared" si="25"/>
        <v>0</v>
      </c>
      <c r="Q115" s="2"/>
      <c r="R115" s="19"/>
      <c r="S115" s="2"/>
      <c r="T115" s="2">
        <f>-19.99</f>
        <v>-19.989999999999998</v>
      </c>
      <c r="U115" s="2"/>
      <c r="V115" s="19"/>
      <c r="W115" s="2"/>
      <c r="X115" s="2">
        <f t="shared" si="2"/>
        <v>19.989999999999998</v>
      </c>
      <c r="Y115" s="2"/>
      <c r="Z115" s="19">
        <f t="shared" si="3"/>
        <v>-1</v>
      </c>
    </row>
    <row r="116" spans="1:26" x14ac:dyDescent="0.25">
      <c r="A116" s="9"/>
      <c r="B116" s="10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collapsed="1" x14ac:dyDescent="0.25">
      <c r="A117" s="10"/>
      <c r="B117" s="25" t="s">
        <v>8</v>
      </c>
      <c r="C117" s="10"/>
      <c r="D117" s="4">
        <f>SUM(OSRRefD16x_0)</f>
        <v>1559887.0600000003</v>
      </c>
      <c r="E117" s="4"/>
      <c r="F117" s="12">
        <f t="shared" ref="F117:F169" si="26">IF(D$12=0,0,D117/D$12)</f>
        <v>0.74680044056564576</v>
      </c>
      <c r="G117" s="4"/>
      <c r="H117" s="4">
        <f>SUM(OSRRefH16x_0)</f>
        <v>2225352.7100000004</v>
      </c>
      <c r="I117" s="4"/>
      <c r="J117" s="12">
        <f t="shared" ref="J117:J169" si="27">IF(H$12=0,0,H117/H$12)</f>
        <v>0.69444165160182969</v>
      </c>
      <c r="K117" s="4"/>
      <c r="L117" s="4">
        <f t="shared" ref="L117:L169" si="28">+D117-H117</f>
        <v>-665465.65000000014</v>
      </c>
      <c r="M117" s="4"/>
      <c r="N117" s="12">
        <f t="shared" ref="N117:N169" si="29">IF(H117=0,0,L117/H117)</f>
        <v>-0.29903828144168659</v>
      </c>
      <c r="O117" s="10"/>
      <c r="P117" s="4">
        <f>SUM(OSRRefP16x_0)</f>
        <v>1885238.33</v>
      </c>
      <c r="Q117" s="4"/>
      <c r="R117" s="12">
        <f t="shared" ref="R117:R169" si="30">IF(P$12=0,0,P117/P$12)</f>
        <v>0.74680811286017057</v>
      </c>
      <c r="S117" s="4"/>
      <c r="T117" s="4">
        <f>SUM(OSRRefT16x_0)</f>
        <v>2761595.33</v>
      </c>
      <c r="U117" s="4"/>
      <c r="V117" s="12">
        <f t="shared" ref="V117:V169" si="31">IF(T$12=0,0,T117/T$12)</f>
        <v>0.70326926844037596</v>
      </c>
      <c r="W117" s="4"/>
      <c r="X117" s="4">
        <f t="shared" ref="X117:X169" si="32">+P117-T117</f>
        <v>-876357</v>
      </c>
      <c r="Y117" s="4"/>
      <c r="Z117" s="12">
        <f t="shared" ref="Z117:Z169" si="33">IF(T117=0,0,X117/T117)</f>
        <v>-0.31733722550870624</v>
      </c>
    </row>
    <row r="118" spans="1:26" s="24" customFormat="1" hidden="1" outlineLevel="1" x14ac:dyDescent="0.25">
      <c r="A118" s="44"/>
      <c r="B118" s="11" t="str">
        <f>CONCATENATE("          ", "5001", " - ", "PURCHASES @ COST-NEW TEXT")</f>
        <v xml:space="preserve">          5001 - PURCHASES @ COST-NEW TEXT</v>
      </c>
      <c r="C118" s="11"/>
      <c r="D118" s="2">
        <v>538222.14</v>
      </c>
      <c r="E118" s="2"/>
      <c r="F118" s="19">
        <f t="shared" si="26"/>
        <v>0.25767540585546278</v>
      </c>
      <c r="G118" s="2"/>
      <c r="H118" s="2">
        <v>1483764.14</v>
      </c>
      <c r="I118" s="2"/>
      <c r="J118" s="19">
        <f t="shared" si="27"/>
        <v>0.46302216063950069</v>
      </c>
      <c r="K118" s="2"/>
      <c r="L118" s="2">
        <f t="shared" si="28"/>
        <v>-945541.99999999988</v>
      </c>
      <c r="M118" s="2"/>
      <c r="N118" s="19">
        <f t="shared" si="29"/>
        <v>-0.63725896489181899</v>
      </c>
      <c r="O118" s="11"/>
      <c r="P118" s="2">
        <v>691332.77</v>
      </c>
      <c r="Q118" s="2"/>
      <c r="R118" s="19">
        <f t="shared" si="30"/>
        <v>0.27386082338040219</v>
      </c>
      <c r="S118" s="2"/>
      <c r="T118" s="2">
        <v>1827758.7</v>
      </c>
      <c r="U118" s="2"/>
      <c r="V118" s="19">
        <f t="shared" si="31"/>
        <v>0.46545795825724129</v>
      </c>
      <c r="W118" s="2"/>
      <c r="X118" s="2">
        <f t="shared" si="32"/>
        <v>-1136425.93</v>
      </c>
      <c r="Y118" s="2"/>
      <c r="Z118" s="19">
        <f t="shared" si="33"/>
        <v>-0.62175927818042942</v>
      </c>
    </row>
    <row r="119" spans="1:26" s="24" customFormat="1" hidden="1" outlineLevel="1" x14ac:dyDescent="0.25">
      <c r="A119" s="44"/>
      <c r="B119" s="11" t="str">
        <f>CONCATENATE("          ", "5002", " - ", "PURCHASES @ COST-USED TEXT")</f>
        <v xml:space="preserve">          5002 - PURCHASES @ COST-USED TEXT</v>
      </c>
      <c r="C119" s="11"/>
      <c r="D119" s="2">
        <v>128042.67</v>
      </c>
      <c r="E119" s="2"/>
      <c r="F119" s="19">
        <f t="shared" si="26"/>
        <v>6.1300798512426646E-2</v>
      </c>
      <c r="G119" s="2"/>
      <c r="H119" s="2">
        <v>224687.41999999998</v>
      </c>
      <c r="I119" s="2"/>
      <c r="J119" s="19">
        <f t="shared" si="27"/>
        <v>7.011576292503939E-2</v>
      </c>
      <c r="K119" s="2"/>
      <c r="L119" s="2">
        <f t="shared" si="28"/>
        <v>-96644.749999999985</v>
      </c>
      <c r="M119" s="2"/>
      <c r="N119" s="19">
        <f t="shared" si="29"/>
        <v>-0.43012977762617949</v>
      </c>
      <c r="O119" s="11"/>
      <c r="P119" s="2">
        <v>188367.52</v>
      </c>
      <c r="Q119" s="2"/>
      <c r="R119" s="19">
        <f t="shared" si="30"/>
        <v>7.4618890299854246E-2</v>
      </c>
      <c r="S119" s="2"/>
      <c r="T119" s="2">
        <v>334980.67</v>
      </c>
      <c r="U119" s="2"/>
      <c r="V119" s="19">
        <f t="shared" si="31"/>
        <v>8.5306347448294309E-2</v>
      </c>
      <c r="W119" s="2"/>
      <c r="X119" s="2">
        <f t="shared" si="32"/>
        <v>-146613.15</v>
      </c>
      <c r="Y119" s="2"/>
      <c r="Z119" s="19">
        <f t="shared" si="33"/>
        <v>-0.4376764486141842</v>
      </c>
    </row>
    <row r="120" spans="1:26" s="24" customFormat="1" hidden="1" outlineLevel="1" x14ac:dyDescent="0.25">
      <c r="A120" s="44"/>
      <c r="B120" s="11" t="str">
        <f>CONCATENATE("          ", "5003", " - ", "PURCHASES @ COST-RENTAL TEXT")</f>
        <v xml:space="preserve">          5003 - PURCHASES @ COST-RENTAL TEXT</v>
      </c>
      <c r="C120" s="11"/>
      <c r="D120" s="2">
        <v>58.8</v>
      </c>
      <c r="E120" s="2"/>
      <c r="F120" s="19">
        <f t="shared" si="26"/>
        <v>2.8150670026879997E-5</v>
      </c>
      <c r="G120" s="2"/>
      <c r="H120" s="2">
        <v>-38374.199999999997</v>
      </c>
      <c r="I120" s="2"/>
      <c r="J120" s="19">
        <f t="shared" si="27"/>
        <v>-1.1975019828159702E-2</v>
      </c>
      <c r="K120" s="2"/>
      <c r="L120" s="2">
        <f t="shared" si="28"/>
        <v>38433</v>
      </c>
      <c r="M120" s="2"/>
      <c r="N120" s="19">
        <f t="shared" si="29"/>
        <v>-1.0015322795002892</v>
      </c>
      <c r="O120" s="11"/>
      <c r="P120" s="2">
        <v>-11867.84</v>
      </c>
      <c r="Q120" s="2"/>
      <c r="R120" s="19">
        <f t="shared" si="30"/>
        <v>-4.7012619322918427E-3</v>
      </c>
      <c r="S120" s="2"/>
      <c r="T120" s="2">
        <v>-78.400000000000006</v>
      </c>
      <c r="U120" s="2"/>
      <c r="V120" s="19">
        <f t="shared" si="31"/>
        <v>-1.9965383793477619E-5</v>
      </c>
      <c r="W120" s="2"/>
      <c r="X120" s="2">
        <f t="shared" si="32"/>
        <v>-11789.44</v>
      </c>
      <c r="Y120" s="2"/>
      <c r="Z120" s="19">
        <f t="shared" si="33"/>
        <v>150.37551020408162</v>
      </c>
    </row>
    <row r="121" spans="1:26" s="24" customFormat="1" hidden="1" outlineLevel="1" x14ac:dyDescent="0.25">
      <c r="A121" s="44"/>
      <c r="B121" s="11" t="str">
        <f>CONCATENATE("          ", "5004", " - ", "PURCHASES @ COST-DIGITAL TEXT")</f>
        <v xml:space="preserve">          5004 - PURCHASES @ COST-DIGITAL TEXT</v>
      </c>
      <c r="C121" s="11"/>
      <c r="D121" s="2">
        <v>117504.49</v>
      </c>
      <c r="E121" s="2"/>
      <c r="F121" s="19">
        <f t="shared" si="26"/>
        <v>5.6255614365081988E-2</v>
      </c>
      <c r="G121" s="2"/>
      <c r="H121" s="2">
        <v>169007.92</v>
      </c>
      <c r="I121" s="2"/>
      <c r="J121" s="19">
        <f t="shared" si="27"/>
        <v>5.2740466071371624E-2</v>
      </c>
      <c r="K121" s="2"/>
      <c r="L121" s="2">
        <f t="shared" si="28"/>
        <v>-51503.430000000008</v>
      </c>
      <c r="M121" s="2"/>
      <c r="N121" s="19">
        <f t="shared" si="29"/>
        <v>-0.30473974237420354</v>
      </c>
      <c r="O121" s="11"/>
      <c r="P121" s="2">
        <v>122429.97</v>
      </c>
      <c r="Q121" s="2"/>
      <c r="R121" s="19">
        <f t="shared" si="30"/>
        <v>4.8498745966631868E-2</v>
      </c>
      <c r="S121" s="2"/>
      <c r="T121" s="2">
        <v>302966.49000000005</v>
      </c>
      <c r="U121" s="2"/>
      <c r="V121" s="19">
        <f t="shared" si="31"/>
        <v>7.7153600120061214E-2</v>
      </c>
      <c r="W121" s="2"/>
      <c r="X121" s="2">
        <f t="shared" si="32"/>
        <v>-180536.52000000005</v>
      </c>
      <c r="Y121" s="2"/>
      <c r="Z121" s="19">
        <f t="shared" si="33"/>
        <v>-0.59589600156769817</v>
      </c>
    </row>
    <row r="122" spans="1:26" s="24" customFormat="1" hidden="1" outlineLevel="1" x14ac:dyDescent="0.25">
      <c r="A122" s="44"/>
      <c r="B122" s="11" t="str">
        <f>CONCATENATE("          ", "5011", " - ", "PURCHASES @ COST-NO VALUE TEXT")</f>
        <v xml:space="preserve">          5011 - PURCHASES @ COST-NO VALUE TEXT</v>
      </c>
      <c r="C122" s="11"/>
      <c r="D122" s="2"/>
      <c r="E122" s="2"/>
      <c r="F122" s="19">
        <f t="shared" si="26"/>
        <v>0</v>
      </c>
      <c r="G122" s="2"/>
      <c r="H122" s="2">
        <v>369</v>
      </c>
      <c r="I122" s="2"/>
      <c r="J122" s="19">
        <f t="shared" si="27"/>
        <v>1.1514982244817951E-4</v>
      </c>
      <c r="K122" s="2"/>
      <c r="L122" s="2">
        <f t="shared" si="28"/>
        <v>-369</v>
      </c>
      <c r="M122" s="2"/>
      <c r="N122" s="19">
        <f t="shared" si="29"/>
        <v>-1</v>
      </c>
      <c r="O122" s="11"/>
      <c r="P122" s="2"/>
      <c r="Q122" s="2"/>
      <c r="R122" s="19">
        <f t="shared" si="30"/>
        <v>0</v>
      </c>
      <c r="S122" s="2"/>
      <c r="T122" s="2">
        <v>657</v>
      </c>
      <c r="U122" s="2"/>
      <c r="V122" s="19">
        <f t="shared" si="31"/>
        <v>1.67311953473403E-4</v>
      </c>
      <c r="W122" s="2"/>
      <c r="X122" s="2">
        <f t="shared" si="32"/>
        <v>-657</v>
      </c>
      <c r="Y122" s="2"/>
      <c r="Z122" s="19">
        <f t="shared" si="33"/>
        <v>-1</v>
      </c>
    </row>
    <row r="123" spans="1:26" s="24" customFormat="1" hidden="1" outlineLevel="1" x14ac:dyDescent="0.25">
      <c r="A123" s="44"/>
      <c r="B123" s="11" t="str">
        <f>CONCATENATE("          ", "5013", " - ", "PURCHASES @ COST-TRADE BOOKS")</f>
        <v xml:space="preserve">          5013 - PURCHASES @ COST-TRADE BOOKS</v>
      </c>
      <c r="C123" s="11"/>
      <c r="D123" s="2"/>
      <c r="E123" s="2"/>
      <c r="F123" s="19">
        <f t="shared" si="26"/>
        <v>0</v>
      </c>
      <c r="G123" s="2"/>
      <c r="H123" s="2"/>
      <c r="I123" s="2"/>
      <c r="J123" s="19">
        <f t="shared" si="27"/>
        <v>0</v>
      </c>
      <c r="K123" s="2"/>
      <c r="L123" s="2">
        <f t="shared" si="28"/>
        <v>0</v>
      </c>
      <c r="M123" s="2"/>
      <c r="N123" s="19">
        <f t="shared" si="29"/>
        <v>0</v>
      </c>
      <c r="O123" s="11"/>
      <c r="P123" s="2">
        <v>108.54</v>
      </c>
      <c r="Q123" s="2"/>
      <c r="R123" s="19">
        <f t="shared" si="30"/>
        <v>4.2996448395913376E-5</v>
      </c>
      <c r="S123" s="2"/>
      <c r="T123" s="2">
        <v>204.9</v>
      </c>
      <c r="U123" s="2"/>
      <c r="V123" s="19">
        <f t="shared" si="31"/>
        <v>5.2179938001065868E-5</v>
      </c>
      <c r="W123" s="2"/>
      <c r="X123" s="2">
        <f t="shared" si="32"/>
        <v>-96.36</v>
      </c>
      <c r="Y123" s="2"/>
      <c r="Z123" s="19">
        <f t="shared" si="33"/>
        <v>-0.47027818448023423</v>
      </c>
    </row>
    <row r="124" spans="1:26" s="24" customFormat="1" hidden="1" outlineLevel="1" x14ac:dyDescent="0.25">
      <c r="A124" s="44"/>
      <c r="B124" s="11" t="str">
        <f>CONCATENATE("          ", "5014", " - ", "PURCHASES @ COST-REMAINDERS")</f>
        <v xml:space="preserve">          5014 - PURCHASES @ COST-REMAINDERS</v>
      </c>
      <c r="C124" s="11"/>
      <c r="D124" s="2"/>
      <c r="E124" s="2"/>
      <c r="F124" s="19">
        <f t="shared" si="26"/>
        <v>0</v>
      </c>
      <c r="G124" s="2"/>
      <c r="H124" s="2">
        <v>133.84</v>
      </c>
      <c r="I124" s="2"/>
      <c r="J124" s="19">
        <f t="shared" si="27"/>
        <v>4.1765995220770585E-5</v>
      </c>
      <c r="K124" s="2"/>
      <c r="L124" s="2">
        <f t="shared" si="28"/>
        <v>-133.84</v>
      </c>
      <c r="M124" s="2"/>
      <c r="N124" s="19">
        <f t="shared" si="29"/>
        <v>-1</v>
      </c>
      <c r="O124" s="11"/>
      <c r="P124" s="2">
        <v>-12.51</v>
      </c>
      <c r="Q124" s="2"/>
      <c r="R124" s="19">
        <f t="shared" si="30"/>
        <v>-4.9556437205903479E-6</v>
      </c>
      <c r="S124" s="2"/>
      <c r="T124" s="2">
        <v>234.32</v>
      </c>
      <c r="U124" s="2"/>
      <c r="V124" s="19">
        <f t="shared" si="31"/>
        <v>5.9672050133771369E-5</v>
      </c>
      <c r="W124" s="2"/>
      <c r="X124" s="2">
        <f t="shared" si="32"/>
        <v>-246.82999999999998</v>
      </c>
      <c r="Y124" s="2"/>
      <c r="Z124" s="19">
        <f t="shared" si="33"/>
        <v>-1.0533885285080231</v>
      </c>
    </row>
    <row r="125" spans="1:26" s="24" customFormat="1" hidden="1" outlineLevel="1" x14ac:dyDescent="0.25">
      <c r="A125" s="44"/>
      <c r="B125" s="11" t="str">
        <f>CONCATENATE("          ", "5017", " - ", "PURCHASES @ COST-DORM/HOUSEWAR")</f>
        <v xml:space="preserve">          5017 - PURCHASES @ COST-DORM/HOUSEWAR</v>
      </c>
      <c r="C125" s="11"/>
      <c r="D125" s="2"/>
      <c r="E125" s="2"/>
      <c r="F125" s="19">
        <f t="shared" si="26"/>
        <v>0</v>
      </c>
      <c r="G125" s="2"/>
      <c r="H125" s="2">
        <v>139.86000000000001</v>
      </c>
      <c r="I125" s="2"/>
      <c r="J125" s="19">
        <f t="shared" si="27"/>
        <v>4.3644591240114875E-5</v>
      </c>
      <c r="K125" s="2"/>
      <c r="L125" s="2">
        <f t="shared" si="28"/>
        <v>-139.86000000000001</v>
      </c>
      <c r="M125" s="2"/>
      <c r="N125" s="19">
        <f t="shared" si="29"/>
        <v>-1</v>
      </c>
      <c r="O125" s="11"/>
      <c r="P125" s="2"/>
      <c r="Q125" s="2"/>
      <c r="R125" s="19">
        <f t="shared" si="30"/>
        <v>0</v>
      </c>
      <c r="S125" s="2"/>
      <c r="T125" s="2">
        <v>139.86000000000001</v>
      </c>
      <c r="U125" s="2"/>
      <c r="V125" s="19">
        <f t="shared" si="31"/>
        <v>3.5616818588721682E-5</v>
      </c>
      <c r="W125" s="2"/>
      <c r="X125" s="2">
        <f t="shared" si="32"/>
        <v>-139.86000000000001</v>
      </c>
      <c r="Y125" s="2"/>
      <c r="Z125" s="19">
        <f t="shared" si="33"/>
        <v>-1</v>
      </c>
    </row>
    <row r="126" spans="1:26" s="24" customFormat="1" hidden="1" outlineLevel="1" x14ac:dyDescent="0.25">
      <c r="A126" s="44"/>
      <c r="B126" s="11" t="str">
        <f>CONCATENATE("          ", "5018", " - ", "PURCHASES @ COST-STUDY GUIDES")</f>
        <v xml:space="preserve">          5018 - PURCHASES @ COST-STUDY GUIDES</v>
      </c>
      <c r="C126" s="11"/>
      <c r="D126" s="2"/>
      <c r="E126" s="2"/>
      <c r="F126" s="19">
        <f t="shared" si="26"/>
        <v>0</v>
      </c>
      <c r="G126" s="2"/>
      <c r="H126" s="2"/>
      <c r="I126" s="2"/>
      <c r="J126" s="19">
        <f t="shared" si="27"/>
        <v>0</v>
      </c>
      <c r="K126" s="2"/>
      <c r="L126" s="2">
        <f t="shared" si="28"/>
        <v>0</v>
      </c>
      <c r="M126" s="2"/>
      <c r="N126" s="19">
        <f t="shared" si="29"/>
        <v>0</v>
      </c>
      <c r="O126" s="11"/>
      <c r="P126" s="2"/>
      <c r="Q126" s="2"/>
      <c r="R126" s="19">
        <f t="shared" si="30"/>
        <v>0</v>
      </c>
      <c r="S126" s="2"/>
      <c r="T126" s="2">
        <v>503.93</v>
      </c>
      <c r="U126" s="2"/>
      <c r="V126" s="19">
        <f t="shared" si="31"/>
        <v>1.2833106957968335E-4</v>
      </c>
      <c r="W126" s="2"/>
      <c r="X126" s="2">
        <f t="shared" si="32"/>
        <v>-503.93</v>
      </c>
      <c r="Y126" s="2"/>
      <c r="Z126" s="19">
        <f t="shared" si="33"/>
        <v>-1</v>
      </c>
    </row>
    <row r="127" spans="1:26" s="24" customFormat="1" hidden="1" outlineLevel="1" x14ac:dyDescent="0.25">
      <c r="A127" s="44"/>
      <c r="B127" s="11" t="str">
        <f>CONCATENATE("          ", "5025", " - ", "PURCHASES @ COST-TEST FORMS")</f>
        <v xml:space="preserve">          5025 - PURCHASES @ COST-TEST FORMS</v>
      </c>
      <c r="C127" s="11"/>
      <c r="D127" s="2"/>
      <c r="E127" s="2"/>
      <c r="F127" s="19">
        <f t="shared" si="26"/>
        <v>0</v>
      </c>
      <c r="G127" s="2"/>
      <c r="H127" s="2">
        <v>878.02</v>
      </c>
      <c r="I127" s="2"/>
      <c r="J127" s="19">
        <f t="shared" si="27"/>
        <v>2.7399416559878203E-4</v>
      </c>
      <c r="K127" s="2"/>
      <c r="L127" s="2">
        <f t="shared" si="28"/>
        <v>-878.02</v>
      </c>
      <c r="M127" s="2"/>
      <c r="N127" s="19">
        <f t="shared" si="29"/>
        <v>-1</v>
      </c>
      <c r="O127" s="11"/>
      <c r="P127" s="2"/>
      <c r="Q127" s="2"/>
      <c r="R127" s="19">
        <f t="shared" si="30"/>
        <v>0</v>
      </c>
      <c r="S127" s="2"/>
      <c r="T127" s="2">
        <v>1757.14</v>
      </c>
      <c r="U127" s="2"/>
      <c r="V127" s="19">
        <f t="shared" si="31"/>
        <v>4.4747416427131709E-4</v>
      </c>
      <c r="W127" s="2"/>
      <c r="X127" s="2">
        <f t="shared" si="32"/>
        <v>-1757.14</v>
      </c>
      <c r="Y127" s="2"/>
      <c r="Z127" s="19">
        <f t="shared" si="33"/>
        <v>-1</v>
      </c>
    </row>
    <row r="128" spans="1:26" s="24" customFormat="1" hidden="1" outlineLevel="1" x14ac:dyDescent="0.25">
      <c r="A128" s="44"/>
      <c r="B128" s="11" t="str">
        <f>CONCATENATE("          ", "5026", " - ", "PURCHASES @ COST-WRITING INSTR")</f>
        <v xml:space="preserve">          5026 - PURCHASES @ COST-WRITING INSTR</v>
      </c>
      <c r="C128" s="11"/>
      <c r="D128" s="2"/>
      <c r="E128" s="2"/>
      <c r="F128" s="19">
        <f t="shared" si="26"/>
        <v>0</v>
      </c>
      <c r="G128" s="2"/>
      <c r="H128" s="2">
        <v>2205.4899999999998</v>
      </c>
      <c r="I128" s="2"/>
      <c r="J128" s="19">
        <f t="shared" si="27"/>
        <v>6.8824331141256203E-4</v>
      </c>
      <c r="K128" s="2"/>
      <c r="L128" s="2">
        <f t="shared" si="28"/>
        <v>-2205.4899999999998</v>
      </c>
      <c r="M128" s="2"/>
      <c r="N128" s="19">
        <f t="shared" si="29"/>
        <v>-1</v>
      </c>
      <c r="O128" s="11"/>
      <c r="P128" s="2"/>
      <c r="Q128" s="2"/>
      <c r="R128" s="19">
        <f t="shared" si="30"/>
        <v>0</v>
      </c>
      <c r="S128" s="2"/>
      <c r="T128" s="2">
        <v>12536.53</v>
      </c>
      <c r="U128" s="2"/>
      <c r="V128" s="19">
        <f t="shared" si="31"/>
        <v>3.1925590929648721E-3</v>
      </c>
      <c r="W128" s="2"/>
      <c r="X128" s="2">
        <f t="shared" si="32"/>
        <v>-12536.53</v>
      </c>
      <c r="Y128" s="2"/>
      <c r="Z128" s="19">
        <f t="shared" si="33"/>
        <v>-1</v>
      </c>
    </row>
    <row r="129" spans="1:26" s="24" customFormat="1" hidden="1" outlineLevel="1" x14ac:dyDescent="0.25">
      <c r="A129" s="44"/>
      <c r="B129" s="11" t="str">
        <f>CONCATENATE("          ", "5027", " - ", "PURCHASES @ COST-SCHOOL SUPPLI")</f>
        <v xml:space="preserve">          5027 - PURCHASES @ COST-SCHOOL SUPPLI</v>
      </c>
      <c r="C129" s="11"/>
      <c r="D129" s="2"/>
      <c r="E129" s="2"/>
      <c r="F129" s="19">
        <f t="shared" si="26"/>
        <v>0</v>
      </c>
      <c r="G129" s="2"/>
      <c r="H129" s="2">
        <v>-588.74</v>
      </c>
      <c r="I129" s="2"/>
      <c r="J129" s="19">
        <f t="shared" si="27"/>
        <v>-1.8372169774564013E-4</v>
      </c>
      <c r="K129" s="2"/>
      <c r="L129" s="2">
        <f t="shared" si="28"/>
        <v>588.74</v>
      </c>
      <c r="M129" s="2"/>
      <c r="N129" s="19">
        <f t="shared" si="29"/>
        <v>-1</v>
      </c>
      <c r="O129" s="11"/>
      <c r="P129" s="2">
        <v>8503.4</v>
      </c>
      <c r="Q129" s="2"/>
      <c r="R129" s="19">
        <f t="shared" si="30"/>
        <v>3.3684908723955204E-3</v>
      </c>
      <c r="S129" s="2"/>
      <c r="T129" s="2">
        <v>49526.729999999996</v>
      </c>
      <c r="U129" s="2"/>
      <c r="V129" s="19">
        <f t="shared" si="31"/>
        <v>1.2612502200075785E-2</v>
      </c>
      <c r="W129" s="2"/>
      <c r="X129" s="2">
        <f t="shared" si="32"/>
        <v>-41023.329999999994</v>
      </c>
      <c r="Y129" s="2"/>
      <c r="Z129" s="19">
        <f t="shared" si="33"/>
        <v>-0.82830685571205687</v>
      </c>
    </row>
    <row r="130" spans="1:26" s="24" customFormat="1" hidden="1" outlineLevel="1" x14ac:dyDescent="0.25">
      <c r="A130" s="44"/>
      <c r="B130" s="11" t="str">
        <f>CONCATENATE("          ", "5028", " - ", "PURCHASES @ COST-ART/TECH")</f>
        <v xml:space="preserve">          5028 - PURCHASES @ COST-ART/TECH</v>
      </c>
      <c r="C130" s="11"/>
      <c r="D130" s="2"/>
      <c r="E130" s="2"/>
      <c r="F130" s="19">
        <f t="shared" si="26"/>
        <v>0</v>
      </c>
      <c r="G130" s="2"/>
      <c r="H130" s="2">
        <v>27987.119999999999</v>
      </c>
      <c r="I130" s="2"/>
      <c r="J130" s="19">
        <f t="shared" si="27"/>
        <v>8.7336365822110931E-3</v>
      </c>
      <c r="K130" s="2"/>
      <c r="L130" s="2">
        <f t="shared" si="28"/>
        <v>-27987.119999999999</v>
      </c>
      <c r="M130" s="2"/>
      <c r="N130" s="19">
        <f t="shared" si="29"/>
        <v>-1</v>
      </c>
      <c r="O130" s="11"/>
      <c r="P130" s="2"/>
      <c r="Q130" s="2"/>
      <c r="R130" s="19">
        <f t="shared" si="30"/>
        <v>0</v>
      </c>
      <c r="S130" s="2"/>
      <c r="T130" s="2">
        <v>56014.77</v>
      </c>
      <c r="U130" s="2"/>
      <c r="V130" s="19">
        <f t="shared" si="31"/>
        <v>1.4264749759609389E-2</v>
      </c>
      <c r="W130" s="2"/>
      <c r="X130" s="2">
        <f t="shared" si="32"/>
        <v>-56014.77</v>
      </c>
      <c r="Y130" s="2"/>
      <c r="Z130" s="19">
        <f t="shared" si="33"/>
        <v>-1</v>
      </c>
    </row>
    <row r="131" spans="1:26" s="24" customFormat="1" hidden="1" outlineLevel="1" x14ac:dyDescent="0.25">
      <c r="A131" s="44"/>
      <c r="B131" s="11" t="str">
        <f>CONCATENATE("          ", "5031", " - ", "PURCHASES @ COST-FOOD")</f>
        <v xml:space="preserve">          5031 - PURCHASES @ COST-FOOD</v>
      </c>
      <c r="C131" s="11"/>
      <c r="D131" s="2"/>
      <c r="E131" s="2"/>
      <c r="F131" s="19">
        <f t="shared" si="26"/>
        <v>0</v>
      </c>
      <c r="G131" s="2"/>
      <c r="H131" s="2">
        <v>2679.04</v>
      </c>
      <c r="I131" s="2"/>
      <c r="J131" s="19">
        <f t="shared" si="27"/>
        <v>8.360189168877258E-4</v>
      </c>
      <c r="K131" s="2"/>
      <c r="L131" s="2">
        <f t="shared" si="28"/>
        <v>-2679.04</v>
      </c>
      <c r="M131" s="2"/>
      <c r="N131" s="19">
        <f t="shared" si="29"/>
        <v>-1</v>
      </c>
      <c r="O131" s="11"/>
      <c r="P131" s="2"/>
      <c r="Q131" s="2"/>
      <c r="R131" s="19">
        <f t="shared" si="30"/>
        <v>0</v>
      </c>
      <c r="S131" s="2"/>
      <c r="T131" s="2">
        <v>2679.04</v>
      </c>
      <c r="U131" s="2"/>
      <c r="V131" s="19">
        <f t="shared" si="31"/>
        <v>6.8224568619997797E-4</v>
      </c>
      <c r="W131" s="2"/>
      <c r="X131" s="2">
        <f t="shared" si="32"/>
        <v>-2679.04</v>
      </c>
      <c r="Y131" s="2"/>
      <c r="Z131" s="19">
        <f t="shared" si="33"/>
        <v>-1</v>
      </c>
    </row>
    <row r="132" spans="1:26" s="24" customFormat="1" hidden="1" outlineLevel="1" x14ac:dyDescent="0.25">
      <c r="A132" s="44"/>
      <c r="B132" s="11" t="str">
        <f>CONCATENATE("          ", "5032", " - ", "PURCHASES @ COST-JUICE")</f>
        <v xml:space="preserve">          5032 - PURCHASES @ COST-JUICE</v>
      </c>
      <c r="C132" s="11"/>
      <c r="D132" s="2"/>
      <c r="E132" s="2"/>
      <c r="F132" s="19">
        <f t="shared" si="26"/>
        <v>0</v>
      </c>
      <c r="G132" s="2"/>
      <c r="H132" s="2">
        <v>227.18</v>
      </c>
      <c r="I132" s="2"/>
      <c r="J132" s="19">
        <f t="shared" si="27"/>
        <v>7.0893595294789768E-5</v>
      </c>
      <c r="K132" s="2"/>
      <c r="L132" s="2">
        <f t="shared" si="28"/>
        <v>-227.18</v>
      </c>
      <c r="M132" s="2"/>
      <c r="N132" s="19">
        <f t="shared" si="29"/>
        <v>-1</v>
      </c>
      <c r="O132" s="11"/>
      <c r="P132" s="2"/>
      <c r="Q132" s="2"/>
      <c r="R132" s="19">
        <f t="shared" si="30"/>
        <v>0</v>
      </c>
      <c r="S132" s="2"/>
      <c r="T132" s="2">
        <v>341.6</v>
      </c>
      <c r="U132" s="2"/>
      <c r="V132" s="19">
        <f t="shared" si="31"/>
        <v>8.699202938586677E-5</v>
      </c>
      <c r="W132" s="2"/>
      <c r="X132" s="2">
        <f t="shared" si="32"/>
        <v>-341.6</v>
      </c>
      <c r="Y132" s="2"/>
      <c r="Z132" s="19">
        <f t="shared" si="33"/>
        <v>-1</v>
      </c>
    </row>
    <row r="133" spans="1:26" s="24" customFormat="1" hidden="1" outlineLevel="1" x14ac:dyDescent="0.25">
      <c r="A133" s="44"/>
      <c r="B133" s="11" t="str">
        <f>CONCATENATE("          ", "5033", " - ", "PURCHASES @ COST-CANDY")</f>
        <v xml:space="preserve">          5033 - PURCHASES @ COST-CANDY</v>
      </c>
      <c r="C133" s="11"/>
      <c r="D133" s="2"/>
      <c r="E133" s="2"/>
      <c r="F133" s="19">
        <f t="shared" si="26"/>
        <v>0</v>
      </c>
      <c r="G133" s="2"/>
      <c r="H133" s="2">
        <v>986.46</v>
      </c>
      <c r="I133" s="2"/>
      <c r="J133" s="19">
        <f t="shared" si="27"/>
        <v>3.0783385867813324E-4</v>
      </c>
      <c r="K133" s="2"/>
      <c r="L133" s="2">
        <f t="shared" si="28"/>
        <v>-986.46</v>
      </c>
      <c r="M133" s="2"/>
      <c r="N133" s="19">
        <f t="shared" si="29"/>
        <v>-1</v>
      </c>
      <c r="O133" s="11"/>
      <c r="P133" s="2"/>
      <c r="Q133" s="2"/>
      <c r="R133" s="19">
        <f t="shared" si="30"/>
        <v>0</v>
      </c>
      <c r="S133" s="2"/>
      <c r="T133" s="2">
        <v>986.46</v>
      </c>
      <c r="U133" s="2"/>
      <c r="V133" s="19">
        <f t="shared" si="31"/>
        <v>2.5121240429737158E-4</v>
      </c>
      <c r="W133" s="2"/>
      <c r="X133" s="2">
        <f t="shared" si="32"/>
        <v>-986.46</v>
      </c>
      <c r="Y133" s="2"/>
      <c r="Z133" s="19">
        <f t="shared" si="33"/>
        <v>-1</v>
      </c>
    </row>
    <row r="134" spans="1:26" s="24" customFormat="1" hidden="1" outlineLevel="1" x14ac:dyDescent="0.25">
      <c r="A134" s="44"/>
      <c r="B134" s="11" t="str">
        <f>CONCATENATE("          ", "5034", " - ", "PURCHASES @ COST-SODA")</f>
        <v xml:space="preserve">          5034 - PURCHASES @ COST-SODA</v>
      </c>
      <c r="C134" s="11"/>
      <c r="D134" s="2"/>
      <c r="E134" s="2"/>
      <c r="F134" s="19">
        <f t="shared" si="26"/>
        <v>0</v>
      </c>
      <c r="G134" s="2"/>
      <c r="H134" s="2">
        <v>350.04</v>
      </c>
      <c r="I134" s="2"/>
      <c r="J134" s="19">
        <f t="shared" si="27"/>
        <v>1.092331811646633E-4</v>
      </c>
      <c r="K134" s="2"/>
      <c r="L134" s="2">
        <f t="shared" si="28"/>
        <v>-350.04</v>
      </c>
      <c r="M134" s="2"/>
      <c r="N134" s="19">
        <f t="shared" si="29"/>
        <v>-1</v>
      </c>
      <c r="O134" s="11"/>
      <c r="P134" s="2"/>
      <c r="Q134" s="2"/>
      <c r="R134" s="19">
        <f t="shared" si="30"/>
        <v>0</v>
      </c>
      <c r="S134" s="2"/>
      <c r="T134" s="2">
        <v>288.5</v>
      </c>
      <c r="U134" s="2"/>
      <c r="V134" s="19">
        <f t="shared" si="31"/>
        <v>7.3469556433906788E-5</v>
      </c>
      <c r="W134" s="2"/>
      <c r="X134" s="2">
        <f t="shared" si="32"/>
        <v>-288.5</v>
      </c>
      <c r="Y134" s="2"/>
      <c r="Z134" s="19">
        <f t="shared" si="33"/>
        <v>-1</v>
      </c>
    </row>
    <row r="135" spans="1:26" s="24" customFormat="1" hidden="1" outlineLevel="1" x14ac:dyDescent="0.25">
      <c r="A135" s="44"/>
      <c r="B135" s="11" t="str">
        <f>CONCATENATE("          ", "5035", " - ", "PURCHASES @ COST-HEALTH &amp; BEAU")</f>
        <v xml:space="preserve">          5035 - PURCHASES @ COST-HEALTH &amp; BEAU</v>
      </c>
      <c r="C135" s="11"/>
      <c r="D135" s="2"/>
      <c r="E135" s="2"/>
      <c r="F135" s="19">
        <f t="shared" si="26"/>
        <v>0</v>
      </c>
      <c r="G135" s="2"/>
      <c r="H135" s="2">
        <v>76.73</v>
      </c>
      <c r="I135" s="2"/>
      <c r="J135" s="19">
        <f t="shared" si="27"/>
        <v>2.3944297768153969E-5</v>
      </c>
      <c r="K135" s="2"/>
      <c r="L135" s="2">
        <f t="shared" si="28"/>
        <v>-76.73</v>
      </c>
      <c r="M135" s="2"/>
      <c r="N135" s="19">
        <f t="shared" si="29"/>
        <v>-1</v>
      </c>
      <c r="O135" s="11"/>
      <c r="P135" s="2"/>
      <c r="Q135" s="2"/>
      <c r="R135" s="19">
        <f t="shared" si="30"/>
        <v>0</v>
      </c>
      <c r="S135" s="2"/>
      <c r="T135" s="2">
        <v>76.73</v>
      </c>
      <c r="U135" s="2"/>
      <c r="V135" s="19">
        <f t="shared" si="31"/>
        <v>1.9540100745835938E-5</v>
      </c>
      <c r="W135" s="2"/>
      <c r="X135" s="2">
        <f t="shared" si="32"/>
        <v>-76.73</v>
      </c>
      <c r="Y135" s="2"/>
      <c r="Z135" s="19">
        <f t="shared" si="33"/>
        <v>-1</v>
      </c>
    </row>
    <row r="136" spans="1:26" s="24" customFormat="1" hidden="1" outlineLevel="1" x14ac:dyDescent="0.25">
      <c r="A136" s="44"/>
      <c r="B136" s="11" t="str">
        <f>CONCATENATE("          ", "5037", " - ", "PURCHASES @ COST-WATER")</f>
        <v xml:space="preserve">          5037 - PURCHASES @ COST-WATER</v>
      </c>
      <c r="C136" s="11"/>
      <c r="D136" s="2"/>
      <c r="E136" s="2"/>
      <c r="F136" s="19">
        <f t="shared" si="26"/>
        <v>0</v>
      </c>
      <c r="G136" s="2"/>
      <c r="H136" s="2">
        <v>462.36</v>
      </c>
      <c r="I136" s="2"/>
      <c r="J136" s="19">
        <f t="shared" si="27"/>
        <v>1.442836637049872E-4</v>
      </c>
      <c r="K136" s="2"/>
      <c r="L136" s="2">
        <f t="shared" si="28"/>
        <v>-462.36</v>
      </c>
      <c r="M136" s="2"/>
      <c r="N136" s="19">
        <f t="shared" si="29"/>
        <v>-1</v>
      </c>
      <c r="O136" s="11"/>
      <c r="P136" s="2"/>
      <c r="Q136" s="2"/>
      <c r="R136" s="19">
        <f t="shared" si="30"/>
        <v>0</v>
      </c>
      <c r="S136" s="2"/>
      <c r="T136" s="2">
        <v>495.94</v>
      </c>
      <c r="U136" s="2"/>
      <c r="V136" s="19">
        <f t="shared" si="31"/>
        <v>1.2629633212420013E-4</v>
      </c>
      <c r="W136" s="2"/>
      <c r="X136" s="2">
        <f t="shared" si="32"/>
        <v>-495.94</v>
      </c>
      <c r="Y136" s="2"/>
      <c r="Z136" s="19">
        <f t="shared" si="33"/>
        <v>-1</v>
      </c>
    </row>
    <row r="137" spans="1:26" s="24" customFormat="1" hidden="1" outlineLevel="1" x14ac:dyDescent="0.25">
      <c r="A137" s="44"/>
      <c r="B137" s="11" t="str">
        <f>CONCATENATE("          ", "5040", " - ", "PURCHASES @ COST-LOGO CLOTHING")</f>
        <v xml:space="preserve">          5040 - PURCHASES @ COST-LOGO CLOTHING</v>
      </c>
      <c r="C137" s="11"/>
      <c r="D137" s="2">
        <v>7628.83</v>
      </c>
      <c r="E137" s="2"/>
      <c r="F137" s="19">
        <f t="shared" si="26"/>
        <v>3.6523244221286213E-3</v>
      </c>
      <c r="G137" s="2"/>
      <c r="H137" s="2">
        <v>106647.4</v>
      </c>
      <c r="I137" s="2"/>
      <c r="J137" s="19">
        <f t="shared" si="27"/>
        <v>3.3280295866016205E-2</v>
      </c>
      <c r="K137" s="2"/>
      <c r="L137" s="2">
        <f t="shared" si="28"/>
        <v>-99018.569999999992</v>
      </c>
      <c r="M137" s="2"/>
      <c r="N137" s="19">
        <f t="shared" si="29"/>
        <v>-0.92846679806540056</v>
      </c>
      <c r="O137" s="11"/>
      <c r="P137" s="2">
        <v>9351.9</v>
      </c>
      <c r="Q137" s="2"/>
      <c r="R137" s="19">
        <f t="shared" si="30"/>
        <v>3.7046110719895181E-3</v>
      </c>
      <c r="S137" s="2"/>
      <c r="T137" s="2">
        <v>185568.97</v>
      </c>
      <c r="U137" s="2"/>
      <c r="V137" s="19">
        <f t="shared" si="31"/>
        <v>4.7257088089417525E-2</v>
      </c>
      <c r="W137" s="2"/>
      <c r="X137" s="2">
        <f t="shared" si="32"/>
        <v>-176217.07</v>
      </c>
      <c r="Y137" s="2"/>
      <c r="Z137" s="19">
        <f t="shared" si="33"/>
        <v>-0.9496041822078336</v>
      </c>
    </row>
    <row r="138" spans="1:26" s="24" customFormat="1" hidden="1" outlineLevel="1" x14ac:dyDescent="0.25">
      <c r="A138" s="44"/>
      <c r="B138" s="11" t="str">
        <f>CONCATENATE("          ", "5041", " - ", "PURCHASES @ COST-LOGO GIFTS")</f>
        <v xml:space="preserve">          5041 - PURCHASES @ COST-LOGO GIFTS</v>
      </c>
      <c r="C138" s="11"/>
      <c r="D138" s="2">
        <v>1843.29</v>
      </c>
      <c r="E138" s="2"/>
      <c r="F138" s="19">
        <f t="shared" si="26"/>
        <v>8.8248041758244274E-4</v>
      </c>
      <c r="G138" s="2"/>
      <c r="H138" s="2">
        <v>16578.89</v>
      </c>
      <c r="I138" s="2"/>
      <c r="J138" s="19">
        <f t="shared" si="27"/>
        <v>5.1735941460376656E-3</v>
      </c>
      <c r="K138" s="2"/>
      <c r="L138" s="2">
        <f t="shared" si="28"/>
        <v>-14735.599999999999</v>
      </c>
      <c r="M138" s="2"/>
      <c r="N138" s="19">
        <f t="shared" si="29"/>
        <v>-0.888817043843104</v>
      </c>
      <c r="O138" s="11"/>
      <c r="P138" s="2">
        <v>1129.54</v>
      </c>
      <c r="Q138" s="2"/>
      <c r="R138" s="19">
        <f t="shared" si="30"/>
        <v>4.4744986476064118E-4</v>
      </c>
      <c r="S138" s="2"/>
      <c r="T138" s="2">
        <v>28529.16</v>
      </c>
      <c r="U138" s="2"/>
      <c r="V138" s="19">
        <f t="shared" si="31"/>
        <v>7.2652503661419631E-3</v>
      </c>
      <c r="W138" s="2"/>
      <c r="X138" s="2">
        <f t="shared" si="32"/>
        <v>-27399.62</v>
      </c>
      <c r="Y138" s="2"/>
      <c r="Z138" s="19">
        <f t="shared" si="33"/>
        <v>-0.96040752689528885</v>
      </c>
    </row>
    <row r="139" spans="1:26" s="24" customFormat="1" hidden="1" outlineLevel="1" x14ac:dyDescent="0.25">
      <c r="A139" s="44"/>
      <c r="B139" s="11" t="str">
        <f>CONCATENATE("          ", "5042", " - ", "PURCHASES @ COST-EVERYDAY GIFT")</f>
        <v xml:space="preserve">          5042 - PURCHASES @ COST-EVERYDAY GIFT</v>
      </c>
      <c r="C139" s="11"/>
      <c r="D139" s="2">
        <v>732.99</v>
      </c>
      <c r="E139" s="2"/>
      <c r="F139" s="19">
        <f t="shared" si="26"/>
        <v>3.5092108202385664E-4</v>
      </c>
      <c r="G139" s="2"/>
      <c r="H139" s="2">
        <v>15979.86</v>
      </c>
      <c r="I139" s="2"/>
      <c r="J139" s="19">
        <f t="shared" si="27"/>
        <v>4.9866613597473334E-3</v>
      </c>
      <c r="K139" s="2"/>
      <c r="L139" s="2">
        <f t="shared" si="28"/>
        <v>-15246.87</v>
      </c>
      <c r="M139" s="2"/>
      <c r="N139" s="19">
        <f t="shared" si="29"/>
        <v>-0.95413038662416316</v>
      </c>
      <c r="O139" s="11"/>
      <c r="P139" s="2">
        <v>969.15</v>
      </c>
      <c r="Q139" s="2"/>
      <c r="R139" s="19">
        <f t="shared" si="30"/>
        <v>3.839138378745112E-4</v>
      </c>
      <c r="S139" s="2"/>
      <c r="T139" s="2">
        <v>23732.22</v>
      </c>
      <c r="U139" s="2"/>
      <c r="V139" s="19">
        <f t="shared" si="31"/>
        <v>6.0436591909597626E-3</v>
      </c>
      <c r="W139" s="2"/>
      <c r="X139" s="2">
        <f t="shared" si="32"/>
        <v>-22763.07</v>
      </c>
      <c r="Y139" s="2"/>
      <c r="Z139" s="19">
        <f t="shared" si="33"/>
        <v>-0.95916311242690311</v>
      </c>
    </row>
    <row r="140" spans="1:26" s="24" customFormat="1" hidden="1" outlineLevel="1" x14ac:dyDescent="0.25">
      <c r="A140" s="44"/>
      <c r="B140" s="11" t="str">
        <f>CONCATENATE("          ", "5043", " - ", "PURCHASES @ COST-CARDS")</f>
        <v xml:space="preserve">          5043 - PURCHASES @ COST-CARDS</v>
      </c>
      <c r="C140" s="11"/>
      <c r="D140" s="2">
        <v>1406.55</v>
      </c>
      <c r="E140" s="2"/>
      <c r="F140" s="19">
        <f t="shared" si="26"/>
        <v>6.7338987969911665E-4</v>
      </c>
      <c r="G140" s="2"/>
      <c r="H140" s="2">
        <v>15.24</v>
      </c>
      <c r="I140" s="2"/>
      <c r="J140" s="19">
        <f t="shared" si="27"/>
        <v>4.7557812848516414E-6</v>
      </c>
      <c r="K140" s="2"/>
      <c r="L140" s="2">
        <f t="shared" si="28"/>
        <v>1391.31</v>
      </c>
      <c r="M140" s="2"/>
      <c r="N140" s="19">
        <f t="shared" si="29"/>
        <v>91.293307086614163</v>
      </c>
      <c r="O140" s="11"/>
      <c r="P140" s="2">
        <v>1715.25</v>
      </c>
      <c r="Q140" s="2"/>
      <c r="R140" s="19">
        <f t="shared" si="30"/>
        <v>6.7946985545504343E-4</v>
      </c>
      <c r="S140" s="2"/>
      <c r="T140" s="2">
        <v>513.5</v>
      </c>
      <c r="U140" s="2"/>
      <c r="V140" s="19">
        <f t="shared" si="31"/>
        <v>1.3076817063712701E-4</v>
      </c>
      <c r="W140" s="2"/>
      <c r="X140" s="2">
        <f t="shared" si="32"/>
        <v>1201.75</v>
      </c>
      <c r="Y140" s="2"/>
      <c r="Z140" s="19">
        <f t="shared" si="33"/>
        <v>2.3403115871470304</v>
      </c>
    </row>
    <row r="141" spans="1:26" s="24" customFormat="1" hidden="1" outlineLevel="1" x14ac:dyDescent="0.25">
      <c r="A141" s="44"/>
      <c r="B141" s="11" t="str">
        <f>CONCATENATE("          ", "5044", " - ", "PURCHASES @ COST-ACCESSORIES")</f>
        <v xml:space="preserve">          5044 - PURCHASES @ COST-ACCESSORIES</v>
      </c>
      <c r="C141" s="11"/>
      <c r="D141" s="2"/>
      <c r="E141" s="2"/>
      <c r="F141" s="19">
        <f t="shared" si="26"/>
        <v>0</v>
      </c>
      <c r="G141" s="2"/>
      <c r="H141" s="2">
        <v>13249.12</v>
      </c>
      <c r="I141" s="2"/>
      <c r="J141" s="19">
        <f t="shared" si="27"/>
        <v>4.1345089853512852E-3</v>
      </c>
      <c r="K141" s="2"/>
      <c r="L141" s="2">
        <f t="shared" si="28"/>
        <v>-13249.12</v>
      </c>
      <c r="M141" s="2"/>
      <c r="N141" s="19">
        <f t="shared" si="29"/>
        <v>-1</v>
      </c>
      <c r="O141" s="11"/>
      <c r="P141" s="2"/>
      <c r="Q141" s="2"/>
      <c r="R141" s="19">
        <f t="shared" si="30"/>
        <v>0</v>
      </c>
      <c r="S141" s="2"/>
      <c r="T141" s="2">
        <v>18088.12</v>
      </c>
      <c r="U141" s="2"/>
      <c r="V141" s="19">
        <f t="shared" si="31"/>
        <v>4.6063298201846729E-3</v>
      </c>
      <c r="W141" s="2"/>
      <c r="X141" s="2">
        <f t="shared" si="32"/>
        <v>-18088.12</v>
      </c>
      <c r="Y141" s="2"/>
      <c r="Z141" s="19">
        <f t="shared" si="33"/>
        <v>-1</v>
      </c>
    </row>
    <row r="142" spans="1:26" s="24" customFormat="1" hidden="1" outlineLevel="1" x14ac:dyDescent="0.25">
      <c r="A142" s="44"/>
      <c r="B142" s="11" t="str">
        <f>CONCATENATE("          ", "5045", " - ", "PURCHASES @ COST-SPECIAL ORDER")</f>
        <v xml:space="preserve">          5045 - PURCHASES @ COST-SPECIAL ORDER</v>
      </c>
      <c r="C142" s="11"/>
      <c r="D142" s="2">
        <v>5633.96</v>
      </c>
      <c r="E142" s="2"/>
      <c r="F142" s="19">
        <f t="shared" si="26"/>
        <v>2.6972746412353885E-3</v>
      </c>
      <c r="G142" s="2"/>
      <c r="H142" s="2">
        <v>4152.78</v>
      </c>
      <c r="I142" s="2"/>
      <c r="J142" s="19">
        <f t="shared" si="27"/>
        <v>1.2959129530253411E-3</v>
      </c>
      <c r="K142" s="2"/>
      <c r="L142" s="2">
        <f t="shared" si="28"/>
        <v>1481.1800000000003</v>
      </c>
      <c r="M142" s="2"/>
      <c r="N142" s="19">
        <f t="shared" si="29"/>
        <v>0.35667191616218541</v>
      </c>
      <c r="O142" s="11"/>
      <c r="P142" s="2">
        <v>8390.17</v>
      </c>
      <c r="Q142" s="2"/>
      <c r="R142" s="19">
        <f t="shared" si="30"/>
        <v>3.3236365527726233E-3</v>
      </c>
      <c r="S142" s="2"/>
      <c r="T142" s="2">
        <v>20145.63</v>
      </c>
      <c r="U142" s="2"/>
      <c r="V142" s="19">
        <f t="shared" si="31"/>
        <v>5.1302963611147513E-3</v>
      </c>
      <c r="W142" s="2"/>
      <c r="X142" s="2">
        <f t="shared" si="32"/>
        <v>-11755.460000000001</v>
      </c>
      <c r="Y142" s="2"/>
      <c r="Z142" s="19">
        <f t="shared" si="33"/>
        <v>-0.58352406948802293</v>
      </c>
    </row>
    <row r="143" spans="1:26" s="24" customFormat="1" hidden="1" outlineLevel="1" x14ac:dyDescent="0.25">
      <c r="A143" s="44"/>
      <c r="B143" s="11" t="str">
        <f>CONCATENATE("          ", "5081", " - ", "PURCHASES @ COST-ELECTRONICS")</f>
        <v xml:space="preserve">          5081 - PURCHASES @ COST-ELECTRONICS</v>
      </c>
      <c r="C143" s="11"/>
      <c r="D143" s="2">
        <v>745.55</v>
      </c>
      <c r="E143" s="2"/>
      <c r="F143" s="19">
        <f t="shared" si="26"/>
        <v>3.5693421834252353E-4</v>
      </c>
      <c r="G143" s="2"/>
      <c r="H143" s="2">
        <v>17704.489999999998</v>
      </c>
      <c r="I143" s="2"/>
      <c r="J143" s="19">
        <f t="shared" si="27"/>
        <v>5.5248479133755265E-3</v>
      </c>
      <c r="K143" s="2"/>
      <c r="L143" s="2">
        <f t="shared" si="28"/>
        <v>-16958.939999999999</v>
      </c>
      <c r="M143" s="2"/>
      <c r="N143" s="19">
        <f t="shared" si="29"/>
        <v>-0.95788921341422428</v>
      </c>
      <c r="O143" s="11"/>
      <c r="P143" s="2">
        <v>7422.47</v>
      </c>
      <c r="Q143" s="2"/>
      <c r="R143" s="19">
        <f t="shared" si="30"/>
        <v>2.9402971100535762E-3</v>
      </c>
      <c r="S143" s="2"/>
      <c r="T143" s="2">
        <v>83762.840000000011</v>
      </c>
      <c r="U143" s="2"/>
      <c r="V143" s="19">
        <f t="shared" si="31"/>
        <v>2.1331087349893609E-2</v>
      </c>
      <c r="W143" s="2"/>
      <c r="X143" s="2">
        <f t="shared" si="32"/>
        <v>-76340.37000000001</v>
      </c>
      <c r="Y143" s="2"/>
      <c r="Z143" s="19">
        <f t="shared" si="33"/>
        <v>-0.91138707808856534</v>
      </c>
    </row>
    <row r="144" spans="1:26" s="24" customFormat="1" hidden="1" outlineLevel="1" x14ac:dyDescent="0.25">
      <c r="A144" s="44"/>
      <c r="B144" s="11" t="str">
        <f>CONCATENATE("          ", "5082", " - ", "PURCHASES @ COST-COMPUTER HARD")</f>
        <v xml:space="preserve">          5082 - PURCHASES @ COST-COMPUTER HARD</v>
      </c>
      <c r="C144" s="11"/>
      <c r="D144" s="2">
        <v>56751.23</v>
      </c>
      <c r="E144" s="2"/>
      <c r="F144" s="19">
        <f t="shared" si="26"/>
        <v>2.7169815465128797E-2</v>
      </c>
      <c r="G144" s="2"/>
      <c r="H144" s="2">
        <v>317193.52999999997</v>
      </c>
      <c r="I144" s="2"/>
      <c r="J144" s="19">
        <f t="shared" si="27"/>
        <v>9.8983140003282649E-2</v>
      </c>
      <c r="K144" s="2"/>
      <c r="L144" s="2">
        <f t="shared" si="28"/>
        <v>-260442.29999999996</v>
      </c>
      <c r="M144" s="2"/>
      <c r="N144" s="19">
        <f t="shared" si="29"/>
        <v>-0.82108326736677129</v>
      </c>
      <c r="O144" s="11"/>
      <c r="P144" s="2">
        <v>243223.8</v>
      </c>
      <c r="Q144" s="2"/>
      <c r="R144" s="19">
        <f t="shared" si="30"/>
        <v>9.6349360285221619E-2</v>
      </c>
      <c r="S144" s="2"/>
      <c r="T144" s="2">
        <v>673753.5</v>
      </c>
      <c r="U144" s="2"/>
      <c r="V144" s="19">
        <f t="shared" si="31"/>
        <v>0.17157840828697477</v>
      </c>
      <c r="W144" s="2"/>
      <c r="X144" s="2">
        <f t="shared" si="32"/>
        <v>-430529.7</v>
      </c>
      <c r="Y144" s="2"/>
      <c r="Z144" s="19">
        <f t="shared" si="33"/>
        <v>-0.63900180110381621</v>
      </c>
    </row>
    <row r="145" spans="1:26" s="24" customFormat="1" hidden="1" outlineLevel="1" x14ac:dyDescent="0.25">
      <c r="A145" s="44"/>
      <c r="B145" s="11" t="str">
        <f>CONCATENATE("          ", "5083", " - ", "PURCHASES @ COST-COMPUTER EQUI")</f>
        <v xml:space="preserve">          5083 - PURCHASES @ COST-COMPUTER EQUI</v>
      </c>
      <c r="C145" s="11"/>
      <c r="D145" s="2">
        <v>7340.55</v>
      </c>
      <c r="E145" s="2"/>
      <c r="F145" s="19">
        <f t="shared" si="26"/>
        <v>3.5143095385342517E-3</v>
      </c>
      <c r="G145" s="2"/>
      <c r="H145" s="2">
        <v>9997.75</v>
      </c>
      <c r="I145" s="2"/>
      <c r="J145" s="19">
        <f t="shared" si="27"/>
        <v>3.1198892611958989E-3</v>
      </c>
      <c r="K145" s="2"/>
      <c r="L145" s="2">
        <f t="shared" si="28"/>
        <v>-2657.2</v>
      </c>
      <c r="M145" s="2"/>
      <c r="N145" s="19">
        <f t="shared" si="29"/>
        <v>-0.26577980045510236</v>
      </c>
      <c r="O145" s="11"/>
      <c r="P145" s="2">
        <v>37278.85</v>
      </c>
      <c r="Q145" s="2"/>
      <c r="R145" s="19">
        <f t="shared" si="30"/>
        <v>1.4767441959498759E-2</v>
      </c>
      <c r="S145" s="2"/>
      <c r="T145" s="2">
        <v>17273.89</v>
      </c>
      <c r="U145" s="2"/>
      <c r="V145" s="19">
        <f t="shared" si="31"/>
        <v>4.3989775951060591E-3</v>
      </c>
      <c r="W145" s="2"/>
      <c r="X145" s="2">
        <f t="shared" si="32"/>
        <v>20004.96</v>
      </c>
      <c r="Y145" s="2"/>
      <c r="Z145" s="19">
        <f t="shared" si="33"/>
        <v>1.1581039360560939</v>
      </c>
    </row>
    <row r="146" spans="1:26" s="24" customFormat="1" hidden="1" outlineLevel="1" x14ac:dyDescent="0.25">
      <c r="A146" s="44"/>
      <c r="B146" s="11" t="str">
        <f>CONCATENATE("          ", "5084", " - ", "PURCHASES @ COST-SOFTWARE LICE")</f>
        <v xml:space="preserve">          5084 - PURCHASES @ COST-SOFTWARE LICE</v>
      </c>
      <c r="C146" s="11"/>
      <c r="D146" s="2"/>
      <c r="E146" s="2"/>
      <c r="F146" s="19">
        <f t="shared" si="26"/>
        <v>0</v>
      </c>
      <c r="G146" s="2"/>
      <c r="H146" s="2">
        <v>1522</v>
      </c>
      <c r="I146" s="2"/>
      <c r="J146" s="19">
        <f t="shared" si="27"/>
        <v>4.7495401020631223E-4</v>
      </c>
      <c r="K146" s="2"/>
      <c r="L146" s="2">
        <f t="shared" si="28"/>
        <v>-1522</v>
      </c>
      <c r="M146" s="2"/>
      <c r="N146" s="19">
        <f t="shared" si="29"/>
        <v>-1</v>
      </c>
      <c r="O146" s="11"/>
      <c r="P146" s="2"/>
      <c r="Q146" s="2"/>
      <c r="R146" s="19">
        <f t="shared" si="30"/>
        <v>0</v>
      </c>
      <c r="S146" s="2"/>
      <c r="T146" s="2">
        <v>1522</v>
      </c>
      <c r="U146" s="2"/>
      <c r="V146" s="19">
        <f t="shared" si="31"/>
        <v>3.8759329252133841E-4</v>
      </c>
      <c r="W146" s="2"/>
      <c r="X146" s="2">
        <f t="shared" si="32"/>
        <v>-1522</v>
      </c>
      <c r="Y146" s="2"/>
      <c r="Z146" s="19">
        <f t="shared" si="33"/>
        <v>-1</v>
      </c>
    </row>
    <row r="147" spans="1:26" s="24" customFormat="1" hidden="1" outlineLevel="1" x14ac:dyDescent="0.25">
      <c r="A147" s="44"/>
      <c r="B147" s="11" t="str">
        <f>CONCATENATE("          ", "5085", " - ", "PURCHASES @ COST-SOFTWARE")</f>
        <v xml:space="preserve">          5085 - PURCHASES @ COST-SOFTWARE</v>
      </c>
      <c r="C147" s="11"/>
      <c r="D147" s="2">
        <v>2364.2199999999998</v>
      </c>
      <c r="E147" s="2"/>
      <c r="F147" s="19">
        <f t="shared" si="26"/>
        <v>1.1318771614107182E-3</v>
      </c>
      <c r="G147" s="2"/>
      <c r="H147" s="2">
        <v>3368</v>
      </c>
      <c r="I147" s="2"/>
      <c r="J147" s="19">
        <f t="shared" si="27"/>
        <v>1.0510151815866357E-3</v>
      </c>
      <c r="K147" s="2"/>
      <c r="L147" s="2">
        <f t="shared" si="28"/>
        <v>-1003.7800000000002</v>
      </c>
      <c r="M147" s="2"/>
      <c r="N147" s="19">
        <f t="shared" si="29"/>
        <v>-0.2980344418052257</v>
      </c>
      <c r="O147" s="11"/>
      <c r="P147" s="2">
        <v>6228.56</v>
      </c>
      <c r="Q147" s="2"/>
      <c r="R147" s="19">
        <f t="shared" si="30"/>
        <v>2.4673480617362284E-3</v>
      </c>
      <c r="S147" s="2"/>
      <c r="T147" s="2">
        <v>3368</v>
      </c>
      <c r="U147" s="2"/>
      <c r="V147" s="19">
        <f t="shared" si="31"/>
        <v>8.5769658949531391E-4</v>
      </c>
      <c r="W147" s="2"/>
      <c r="X147" s="2">
        <f t="shared" si="32"/>
        <v>2860.5600000000004</v>
      </c>
      <c r="Y147" s="2"/>
      <c r="Z147" s="19">
        <f t="shared" si="33"/>
        <v>0.84933491686460816</v>
      </c>
    </row>
    <row r="148" spans="1:26" s="24" customFormat="1" hidden="1" outlineLevel="1" x14ac:dyDescent="0.25">
      <c r="A148" s="44"/>
      <c r="B148" s="11" t="str">
        <f>CONCATENATE("          ", "5086", " - ", "PURCHASES @ COST-COMPUTER SUPP")</f>
        <v xml:space="preserve">          5086 - PURCHASES @ COST-COMPUTER SUPP</v>
      </c>
      <c r="C148" s="11"/>
      <c r="D148" s="2">
        <v>21649.96</v>
      </c>
      <c r="E148" s="2"/>
      <c r="F148" s="19">
        <f t="shared" si="26"/>
        <v>1.0364980953318892E-2</v>
      </c>
      <c r="G148" s="2"/>
      <c r="H148" s="2">
        <v>2837.81</v>
      </c>
      <c r="I148" s="2"/>
      <c r="J148" s="19">
        <f t="shared" si="27"/>
        <v>8.8556454645438557E-4</v>
      </c>
      <c r="K148" s="2"/>
      <c r="L148" s="2">
        <f t="shared" si="28"/>
        <v>18812.149999999998</v>
      </c>
      <c r="M148" s="2"/>
      <c r="N148" s="19">
        <f t="shared" si="29"/>
        <v>6.6291083617296431</v>
      </c>
      <c r="O148" s="11"/>
      <c r="P148" s="2">
        <v>21737.21</v>
      </c>
      <c r="Q148" s="2"/>
      <c r="R148" s="19">
        <f t="shared" si="30"/>
        <v>8.6108607705558515E-3</v>
      </c>
      <c r="S148" s="2"/>
      <c r="T148" s="2">
        <v>6264.88</v>
      </c>
      <c r="U148" s="2"/>
      <c r="V148" s="19">
        <f t="shared" si="31"/>
        <v>1.595417520664312E-3</v>
      </c>
      <c r="W148" s="2"/>
      <c r="X148" s="2">
        <f t="shared" si="32"/>
        <v>15472.329999999998</v>
      </c>
      <c r="Y148" s="2"/>
      <c r="Z148" s="19">
        <f t="shared" si="33"/>
        <v>2.4696929550127056</v>
      </c>
    </row>
    <row r="149" spans="1:26" s="24" customFormat="1" hidden="1" outlineLevel="1" x14ac:dyDescent="0.25">
      <c r="A149" s="44"/>
      <c r="B149" s="11" t="str">
        <f>CONCATENATE("          ", "5088", " - ", "PURCHASES @ COST-MUSIC")</f>
        <v xml:space="preserve">          5088 - PURCHASES @ COST-MUSIC</v>
      </c>
      <c r="C149" s="11"/>
      <c r="D149" s="2"/>
      <c r="E149" s="2"/>
      <c r="F149" s="19">
        <f t="shared" si="26"/>
        <v>0</v>
      </c>
      <c r="G149" s="2"/>
      <c r="H149" s="2"/>
      <c r="I149" s="2"/>
      <c r="J149" s="19">
        <f t="shared" si="27"/>
        <v>0</v>
      </c>
      <c r="K149" s="2"/>
      <c r="L149" s="2">
        <f t="shared" si="28"/>
        <v>0</v>
      </c>
      <c r="M149" s="2"/>
      <c r="N149" s="19">
        <f t="shared" si="29"/>
        <v>0</v>
      </c>
      <c r="O149" s="11"/>
      <c r="P149" s="2"/>
      <c r="Q149" s="2"/>
      <c r="R149" s="19">
        <f t="shared" si="30"/>
        <v>0</v>
      </c>
      <c r="S149" s="2"/>
      <c r="T149" s="2">
        <v>82</v>
      </c>
      <c r="U149" s="2"/>
      <c r="V149" s="19">
        <f t="shared" si="31"/>
        <v>2.088216162072914E-5</v>
      </c>
      <c r="W149" s="2"/>
      <c r="X149" s="2">
        <f t="shared" si="32"/>
        <v>-82</v>
      </c>
      <c r="Y149" s="2"/>
      <c r="Z149" s="19">
        <f t="shared" si="33"/>
        <v>-1</v>
      </c>
    </row>
    <row r="150" spans="1:26" s="24" customFormat="1" hidden="1" outlineLevel="1" x14ac:dyDescent="0.25">
      <c r="A150" s="44"/>
      <c r="B150" s="11" t="str">
        <f>CONCATENATE("          ", "5092", " - ", "PURCHASES @ COST-GRAD MERCH")</f>
        <v xml:space="preserve">          5092 - PURCHASES @ COST-GRAD MERCH</v>
      </c>
      <c r="C150" s="11"/>
      <c r="D150" s="2"/>
      <c r="E150" s="2"/>
      <c r="F150" s="19">
        <f t="shared" si="26"/>
        <v>0</v>
      </c>
      <c r="G150" s="2"/>
      <c r="H150" s="2">
        <v>-600.6</v>
      </c>
      <c r="I150" s="2"/>
      <c r="J150" s="19">
        <f t="shared" si="27"/>
        <v>-1.8742271913923202E-4</v>
      </c>
      <c r="K150" s="2"/>
      <c r="L150" s="2">
        <f t="shared" si="28"/>
        <v>600.6</v>
      </c>
      <c r="M150" s="2"/>
      <c r="N150" s="19">
        <f t="shared" si="29"/>
        <v>-1</v>
      </c>
      <c r="O150" s="11"/>
      <c r="P150" s="2"/>
      <c r="Q150" s="2"/>
      <c r="R150" s="19">
        <f t="shared" si="30"/>
        <v>0</v>
      </c>
      <c r="S150" s="2"/>
      <c r="T150" s="2">
        <v>628</v>
      </c>
      <c r="U150" s="2"/>
      <c r="V150" s="19">
        <f t="shared" si="31"/>
        <v>1.5992679875387683E-4</v>
      </c>
      <c r="W150" s="2"/>
      <c r="X150" s="2">
        <f t="shared" si="32"/>
        <v>-628</v>
      </c>
      <c r="Y150" s="2"/>
      <c r="Z150" s="19">
        <f t="shared" si="33"/>
        <v>-1</v>
      </c>
    </row>
    <row r="151" spans="1:26" s="24" customFormat="1" hidden="1" outlineLevel="1" x14ac:dyDescent="0.25">
      <c r="A151" s="44"/>
      <c r="B151" s="11" t="str">
        <f>CONCATENATE("          ", "5095", " - ", "PURCHASES @ COST-CUSTOMER SERV")</f>
        <v xml:space="preserve">          5095 - PURCHASES @ COST-CUSTOMER SERV</v>
      </c>
      <c r="C151" s="11"/>
      <c r="D151" s="2"/>
      <c r="E151" s="2"/>
      <c r="F151" s="19">
        <f t="shared" si="26"/>
        <v>0</v>
      </c>
      <c r="G151" s="2"/>
      <c r="H151" s="2"/>
      <c r="I151" s="2"/>
      <c r="J151" s="19">
        <f t="shared" si="27"/>
        <v>0</v>
      </c>
      <c r="K151" s="2"/>
      <c r="L151" s="2">
        <f t="shared" si="28"/>
        <v>0</v>
      </c>
      <c r="M151" s="2"/>
      <c r="N151" s="19">
        <f t="shared" si="29"/>
        <v>0</v>
      </c>
      <c r="O151" s="11"/>
      <c r="P151" s="2"/>
      <c r="Q151" s="2"/>
      <c r="R151" s="19">
        <f t="shared" si="30"/>
        <v>0</v>
      </c>
      <c r="S151" s="2"/>
      <c r="T151" s="2">
        <v>0</v>
      </c>
      <c r="U151" s="2"/>
      <c r="V151" s="19">
        <f t="shared" si="31"/>
        <v>0</v>
      </c>
      <c r="W151" s="2"/>
      <c r="X151" s="2">
        <f t="shared" si="32"/>
        <v>0</v>
      </c>
      <c r="Y151" s="2"/>
      <c r="Z151" s="19">
        <f t="shared" si="33"/>
        <v>0</v>
      </c>
    </row>
    <row r="152" spans="1:26" s="24" customFormat="1" hidden="1" outlineLevel="1" x14ac:dyDescent="0.25">
      <c r="A152" s="44"/>
      <c r="B152" s="11" t="str">
        <f>CONCATENATE("          ", "5200", " - ", "PURCHASES OFFSET")</f>
        <v xml:space="preserve">          5200 - PURCHASES OFFSET</v>
      </c>
      <c r="C152" s="11"/>
      <c r="D152" s="2">
        <v>-586112.93000000005</v>
      </c>
      <c r="E152" s="2"/>
      <c r="F152" s="19">
        <f t="shared" si="26"/>
        <v>-0.28060326004962272</v>
      </c>
      <c r="G152" s="2"/>
      <c r="H152" s="2">
        <v>-1879524</v>
      </c>
      <c r="I152" s="2"/>
      <c r="J152" s="19">
        <f t="shared" si="27"/>
        <v>-0.58652264197043946</v>
      </c>
      <c r="K152" s="2"/>
      <c r="L152" s="2">
        <f t="shared" si="28"/>
        <v>1293411.0699999998</v>
      </c>
      <c r="M152" s="2"/>
      <c r="N152" s="19">
        <f t="shared" si="29"/>
        <v>-0.68815884766568547</v>
      </c>
      <c r="O152" s="11"/>
      <c r="P152" s="2">
        <v>-1028934.9800000001</v>
      </c>
      <c r="Q152" s="2"/>
      <c r="R152" s="19">
        <f t="shared" si="30"/>
        <v>-0.40759673641348965</v>
      </c>
      <c r="S152" s="2"/>
      <c r="T152" s="2">
        <v>-3141833</v>
      </c>
      <c r="U152" s="2"/>
      <c r="V152" s="19">
        <f t="shared" si="31"/>
        <v>-0.80010078647975968</v>
      </c>
      <c r="W152" s="2"/>
      <c r="X152" s="2">
        <f t="shared" si="32"/>
        <v>2112898.02</v>
      </c>
      <c r="Y152" s="2"/>
      <c r="Z152" s="19">
        <f t="shared" si="33"/>
        <v>-0.67250487852155094</v>
      </c>
    </row>
    <row r="153" spans="1:26" s="24" customFormat="1" hidden="1" outlineLevel="1" x14ac:dyDescent="0.25">
      <c r="A153" s="44"/>
      <c r="B153" s="11" t="str">
        <f>CONCATENATE("          ", "5300", " - ", "COG$ OFFSET")</f>
        <v xml:space="preserve">          5300 - COG$ OFFSET</v>
      </c>
      <c r="C153" s="11"/>
      <c r="D153" s="2">
        <v>1248893</v>
      </c>
      <c r="E153" s="2"/>
      <c r="F153" s="19">
        <f t="shared" si="26"/>
        <v>0.59791113506599058</v>
      </c>
      <c r="G153" s="2"/>
      <c r="H153" s="2">
        <v>1703338</v>
      </c>
      <c r="I153" s="2"/>
      <c r="J153" s="19">
        <f t="shared" si="27"/>
        <v>0.53154219043153705</v>
      </c>
      <c r="K153" s="2"/>
      <c r="L153" s="2">
        <f t="shared" si="28"/>
        <v>-454445</v>
      </c>
      <c r="M153" s="2"/>
      <c r="N153" s="19">
        <f t="shared" si="29"/>
        <v>-0.26679672501875729</v>
      </c>
      <c r="O153" s="11"/>
      <c r="P153" s="2">
        <v>1568477</v>
      </c>
      <c r="Q153" s="2"/>
      <c r="R153" s="19">
        <f t="shared" si="30"/>
        <v>0.62132799328060639</v>
      </c>
      <c r="S153" s="2"/>
      <c r="T153" s="2">
        <v>2226828</v>
      </c>
      <c r="U153" s="2"/>
      <c r="V153" s="19">
        <f t="shared" si="31"/>
        <v>0.56708514875079308</v>
      </c>
      <c r="W153" s="2"/>
      <c r="X153" s="2">
        <f t="shared" si="32"/>
        <v>-658351</v>
      </c>
      <c r="Y153" s="2"/>
      <c r="Z153" s="19">
        <f t="shared" si="33"/>
        <v>-0.29564519576725279</v>
      </c>
    </row>
    <row r="154" spans="1:26" s="24" customFormat="1" hidden="1" outlineLevel="1" x14ac:dyDescent="0.25">
      <c r="A154" s="44"/>
      <c r="B154" s="11" t="str">
        <f>CONCATENATE("          ", "5500", " - ", "FREIGHT-IN")</f>
        <v xml:space="preserve">          5500 - FREIGHT-IN</v>
      </c>
      <c r="C154" s="11"/>
      <c r="D154" s="2"/>
      <c r="E154" s="2"/>
      <c r="F154" s="19">
        <f t="shared" si="26"/>
        <v>0</v>
      </c>
      <c r="G154" s="2"/>
      <c r="H154" s="2"/>
      <c r="I154" s="2"/>
      <c r="J154" s="19">
        <f t="shared" si="27"/>
        <v>0</v>
      </c>
      <c r="K154" s="2"/>
      <c r="L154" s="2">
        <f t="shared" si="28"/>
        <v>0</v>
      </c>
      <c r="M154" s="2"/>
      <c r="N154" s="19">
        <f t="shared" si="29"/>
        <v>0</v>
      </c>
      <c r="O154" s="11"/>
      <c r="P154" s="2"/>
      <c r="Q154" s="2"/>
      <c r="R154" s="19">
        <f t="shared" si="30"/>
        <v>0</v>
      </c>
      <c r="S154" s="2"/>
      <c r="T154" s="2">
        <v>49</v>
      </c>
      <c r="U154" s="2"/>
      <c r="V154" s="19">
        <f t="shared" si="31"/>
        <v>1.247836487092351E-5</v>
      </c>
      <c r="W154" s="2"/>
      <c r="X154" s="2">
        <f t="shared" si="32"/>
        <v>-49</v>
      </c>
      <c r="Y154" s="2"/>
      <c r="Z154" s="19">
        <f t="shared" si="33"/>
        <v>-1</v>
      </c>
    </row>
    <row r="155" spans="1:26" s="24" customFormat="1" hidden="1" outlineLevel="1" x14ac:dyDescent="0.25">
      <c r="A155" s="44"/>
      <c r="B155" s="11" t="str">
        <f>CONCATENATE("          ", "5501", " - ", "FREIGHT-IN-NEW TEXT")</f>
        <v xml:space="preserve">          5501 - FREIGHT-IN-NEW TEXT</v>
      </c>
      <c r="C155" s="11"/>
      <c r="D155" s="2">
        <v>4680.5600000000004</v>
      </c>
      <c r="E155" s="2"/>
      <c r="F155" s="19">
        <f t="shared" si="26"/>
        <v>2.2408316343709772E-3</v>
      </c>
      <c r="G155" s="2"/>
      <c r="H155" s="2">
        <v>11008.16</v>
      </c>
      <c r="I155" s="2"/>
      <c r="J155" s="19">
        <f t="shared" si="27"/>
        <v>3.4351969362632841E-3</v>
      </c>
      <c r="K155" s="2"/>
      <c r="L155" s="2">
        <f t="shared" si="28"/>
        <v>-6327.5999999999995</v>
      </c>
      <c r="M155" s="2"/>
      <c r="N155" s="19">
        <f t="shared" si="29"/>
        <v>-0.57480995915757038</v>
      </c>
      <c r="O155" s="11"/>
      <c r="P155" s="2">
        <v>5483.28</v>
      </c>
      <c r="Q155" s="2"/>
      <c r="R155" s="19">
        <f t="shared" si="30"/>
        <v>2.1721168745194755E-3</v>
      </c>
      <c r="S155" s="2"/>
      <c r="T155" s="2">
        <v>12724.24</v>
      </c>
      <c r="U155" s="2"/>
      <c r="V155" s="19">
        <f t="shared" si="31"/>
        <v>3.2403614168408116E-3</v>
      </c>
      <c r="W155" s="2"/>
      <c r="X155" s="2">
        <f t="shared" si="32"/>
        <v>-7240.96</v>
      </c>
      <c r="Y155" s="2"/>
      <c r="Z155" s="19">
        <f t="shared" si="33"/>
        <v>-0.56906817224447193</v>
      </c>
    </row>
    <row r="156" spans="1:26" s="24" customFormat="1" hidden="1" outlineLevel="1" x14ac:dyDescent="0.25">
      <c r="A156" s="44"/>
      <c r="B156" s="11" t="str">
        <f>CONCATENATE("          ", "5502", " - ", "FREIGHT-IN-USED TEXT")</f>
        <v xml:space="preserve">          5502 - FREIGHT-IN-USED TEXT</v>
      </c>
      <c r="C156" s="11"/>
      <c r="D156" s="2">
        <v>1186.6600000000001</v>
      </c>
      <c r="E156" s="2"/>
      <c r="F156" s="19">
        <f t="shared" si="26"/>
        <v>5.6811690636220102E-4</v>
      </c>
      <c r="G156" s="2"/>
      <c r="H156" s="2">
        <v>3985.02</v>
      </c>
      <c r="I156" s="2"/>
      <c r="J156" s="19">
        <f t="shared" si="27"/>
        <v>1.243561911795242E-3</v>
      </c>
      <c r="K156" s="2"/>
      <c r="L156" s="2">
        <f t="shared" si="28"/>
        <v>-2798.3599999999997</v>
      </c>
      <c r="M156" s="2"/>
      <c r="N156" s="19">
        <f t="shared" si="29"/>
        <v>-0.70221981320043558</v>
      </c>
      <c r="O156" s="11"/>
      <c r="P156" s="2">
        <v>1234.55</v>
      </c>
      <c r="Q156" s="2"/>
      <c r="R156" s="19">
        <f t="shared" si="30"/>
        <v>4.8904795805394189E-4</v>
      </c>
      <c r="S156" s="2"/>
      <c r="T156" s="2">
        <v>4262.51</v>
      </c>
      <c r="U156" s="2"/>
      <c r="V156" s="19">
        <f t="shared" si="31"/>
        <v>1.0854929601216362E-3</v>
      </c>
      <c r="W156" s="2"/>
      <c r="X156" s="2">
        <f t="shared" si="32"/>
        <v>-3027.96</v>
      </c>
      <c r="Y156" s="2"/>
      <c r="Z156" s="19">
        <f t="shared" si="33"/>
        <v>-0.71037018094972204</v>
      </c>
    </row>
    <row r="157" spans="1:26" s="24" customFormat="1" hidden="1" outlineLevel="1" x14ac:dyDescent="0.25">
      <c r="A157" s="44"/>
      <c r="B157" s="11" t="str">
        <f>CONCATENATE("          ", "5504", " - ", "FREIGHT-IN-DIGITAL TEXT")</f>
        <v xml:space="preserve">          5504 - FREIGHT-IN-DIGITAL TEXT</v>
      </c>
      <c r="C157" s="11"/>
      <c r="D157" s="2"/>
      <c r="E157" s="2"/>
      <c r="F157" s="19">
        <f t="shared" si="26"/>
        <v>0</v>
      </c>
      <c r="G157" s="2"/>
      <c r="H157" s="2">
        <v>7.03</v>
      </c>
      <c r="I157" s="2"/>
      <c r="J157" s="19">
        <f t="shared" si="27"/>
        <v>2.1937757501645039E-6</v>
      </c>
      <c r="K157" s="2"/>
      <c r="L157" s="2">
        <f t="shared" si="28"/>
        <v>-7.03</v>
      </c>
      <c r="M157" s="2"/>
      <c r="N157" s="19">
        <f t="shared" si="29"/>
        <v>-1</v>
      </c>
      <c r="O157" s="11"/>
      <c r="P157" s="2"/>
      <c r="Q157" s="2"/>
      <c r="R157" s="19">
        <f t="shared" si="30"/>
        <v>0</v>
      </c>
      <c r="S157" s="2"/>
      <c r="T157" s="2">
        <v>7.03</v>
      </c>
      <c r="U157" s="2"/>
      <c r="V157" s="19">
        <f t="shared" si="31"/>
        <v>1.7902633682161691E-6</v>
      </c>
      <c r="W157" s="2"/>
      <c r="X157" s="2">
        <f t="shared" si="32"/>
        <v>-7.03</v>
      </c>
      <c r="Y157" s="2"/>
      <c r="Z157" s="19">
        <f t="shared" si="33"/>
        <v>-1</v>
      </c>
    </row>
    <row r="158" spans="1:26" s="24" customFormat="1" hidden="1" outlineLevel="1" x14ac:dyDescent="0.25">
      <c r="A158" s="44"/>
      <c r="B158" s="11" t="str">
        <f>CONCATENATE("          ", "5526", " - ", "FREIGHT-IN-WRITING INSTRUMENTS")</f>
        <v xml:space="preserve">          5526 - FREIGHT-IN-WRITING INSTRUMENTS</v>
      </c>
      <c r="C158" s="11"/>
      <c r="D158" s="2"/>
      <c r="E158" s="2"/>
      <c r="F158" s="19">
        <f t="shared" si="26"/>
        <v>0</v>
      </c>
      <c r="G158" s="2"/>
      <c r="H158" s="2">
        <v>17.46</v>
      </c>
      <c r="I158" s="2"/>
      <c r="J158" s="19">
        <f t="shared" si="27"/>
        <v>5.4485525743772743E-6</v>
      </c>
      <c r="K158" s="2"/>
      <c r="L158" s="2">
        <f t="shared" si="28"/>
        <v>-17.46</v>
      </c>
      <c r="M158" s="2"/>
      <c r="N158" s="19">
        <f t="shared" si="29"/>
        <v>-1</v>
      </c>
      <c r="O158" s="11"/>
      <c r="P158" s="2"/>
      <c r="Q158" s="2"/>
      <c r="R158" s="19">
        <f t="shared" si="30"/>
        <v>0</v>
      </c>
      <c r="S158" s="2"/>
      <c r="T158" s="2">
        <v>56.57</v>
      </c>
      <c r="U158" s="2"/>
      <c r="V158" s="19">
        <f t="shared" si="31"/>
        <v>1.4406144913227408E-5</v>
      </c>
      <c r="W158" s="2"/>
      <c r="X158" s="2">
        <f t="shared" si="32"/>
        <v>-56.57</v>
      </c>
      <c r="Y158" s="2"/>
      <c r="Z158" s="19">
        <f t="shared" si="33"/>
        <v>-1</v>
      </c>
    </row>
    <row r="159" spans="1:26" s="24" customFormat="1" hidden="1" outlineLevel="1" x14ac:dyDescent="0.25">
      <c r="A159" s="44"/>
      <c r="B159" s="11" t="str">
        <f>CONCATENATE("          ", "5527", " - ", "FREIGHT-IN-SCHOOL SUPPLIES")</f>
        <v xml:space="preserve">          5527 - FREIGHT-IN-SCHOOL SUPPLIES</v>
      </c>
      <c r="C159" s="11"/>
      <c r="D159" s="2"/>
      <c r="E159" s="2"/>
      <c r="F159" s="19">
        <f t="shared" si="26"/>
        <v>0</v>
      </c>
      <c r="G159" s="2"/>
      <c r="H159" s="2">
        <v>10.49</v>
      </c>
      <c r="I159" s="2"/>
      <c r="J159" s="19">
        <f t="shared" si="27"/>
        <v>3.273500372578328E-6</v>
      </c>
      <c r="K159" s="2"/>
      <c r="L159" s="2">
        <f t="shared" si="28"/>
        <v>-10.49</v>
      </c>
      <c r="M159" s="2"/>
      <c r="N159" s="19">
        <f t="shared" si="29"/>
        <v>-1</v>
      </c>
      <c r="O159" s="11"/>
      <c r="P159" s="2"/>
      <c r="Q159" s="2"/>
      <c r="R159" s="19">
        <f t="shared" si="30"/>
        <v>0</v>
      </c>
      <c r="S159" s="2"/>
      <c r="T159" s="2">
        <v>260.51</v>
      </c>
      <c r="U159" s="2"/>
      <c r="V159" s="19">
        <f t="shared" si="31"/>
        <v>6.6341608827026196E-5</v>
      </c>
      <c r="W159" s="2"/>
      <c r="X159" s="2">
        <f t="shared" si="32"/>
        <v>-260.51</v>
      </c>
      <c r="Y159" s="2"/>
      <c r="Z159" s="19">
        <f t="shared" si="33"/>
        <v>-1</v>
      </c>
    </row>
    <row r="160" spans="1:26" s="24" customFormat="1" hidden="1" outlineLevel="1" x14ac:dyDescent="0.25">
      <c r="A160" s="44"/>
      <c r="B160" s="11" t="str">
        <f>CONCATENATE("          ", "5528", " - ", "FREIGHT-IN-ART/TECH")</f>
        <v xml:space="preserve">          5528 - FREIGHT-IN-ART/TECH</v>
      </c>
      <c r="C160" s="11"/>
      <c r="D160" s="2"/>
      <c r="E160" s="2"/>
      <c r="F160" s="19">
        <f t="shared" si="26"/>
        <v>0</v>
      </c>
      <c r="G160" s="2"/>
      <c r="H160" s="2">
        <v>255.45</v>
      </c>
      <c r="I160" s="2"/>
      <c r="J160" s="19">
        <f t="shared" si="27"/>
        <v>7.971550716636166E-5</v>
      </c>
      <c r="K160" s="2"/>
      <c r="L160" s="2">
        <f t="shared" si="28"/>
        <v>-255.45</v>
      </c>
      <c r="M160" s="2"/>
      <c r="N160" s="19">
        <f t="shared" si="29"/>
        <v>-1</v>
      </c>
      <c r="O160" s="11"/>
      <c r="P160" s="2">
        <v>38.049999999999997</v>
      </c>
      <c r="Q160" s="2"/>
      <c r="R160" s="19">
        <f t="shared" si="30"/>
        <v>1.5072921148558171E-5</v>
      </c>
      <c r="S160" s="2"/>
      <c r="T160" s="2">
        <v>299.8</v>
      </c>
      <c r="U160" s="2"/>
      <c r="V160" s="19">
        <f t="shared" si="31"/>
        <v>7.6347220169446293E-5</v>
      </c>
      <c r="W160" s="2"/>
      <c r="X160" s="2">
        <f t="shared" si="32"/>
        <v>-261.75</v>
      </c>
      <c r="Y160" s="2"/>
      <c r="Z160" s="19">
        <f t="shared" si="33"/>
        <v>-0.87308205470313538</v>
      </c>
    </row>
    <row r="161" spans="1:26" s="24" customFormat="1" hidden="1" outlineLevel="1" x14ac:dyDescent="0.25">
      <c r="A161" s="44"/>
      <c r="B161" s="11" t="str">
        <f>CONCATENATE("          ", "5540", " - ", "FREIGHT-IN-LOGO CLOTHING")</f>
        <v xml:space="preserve">          5540 - FREIGHT-IN-LOGO CLOTHING</v>
      </c>
      <c r="C161" s="11"/>
      <c r="D161" s="2">
        <v>1021.7</v>
      </c>
      <c r="E161" s="2"/>
      <c r="F161" s="19">
        <f t="shared" si="26"/>
        <v>4.8914182936162073E-4</v>
      </c>
      <c r="G161" s="2"/>
      <c r="H161" s="2">
        <v>1936.72</v>
      </c>
      <c r="I161" s="2"/>
      <c r="J161" s="19">
        <f t="shared" si="27"/>
        <v>6.0437117650904667E-4</v>
      </c>
      <c r="K161" s="2"/>
      <c r="L161" s="2">
        <f t="shared" si="28"/>
        <v>-915.02</v>
      </c>
      <c r="M161" s="2"/>
      <c r="N161" s="19">
        <f t="shared" si="29"/>
        <v>-0.47245858978066008</v>
      </c>
      <c r="O161" s="11"/>
      <c r="P161" s="2">
        <v>1931.53</v>
      </c>
      <c r="Q161" s="2"/>
      <c r="R161" s="19">
        <f t="shared" si="30"/>
        <v>7.6514584457489001E-4</v>
      </c>
      <c r="S161" s="2"/>
      <c r="T161" s="2">
        <v>2331.94</v>
      </c>
      <c r="U161" s="2"/>
      <c r="V161" s="19">
        <f t="shared" si="31"/>
        <v>5.9385302402247702E-4</v>
      </c>
      <c r="W161" s="2"/>
      <c r="X161" s="2">
        <f t="shared" si="32"/>
        <v>-400.41000000000008</v>
      </c>
      <c r="Y161" s="2"/>
      <c r="Z161" s="19">
        <f t="shared" si="33"/>
        <v>-0.17170681921490263</v>
      </c>
    </row>
    <row r="162" spans="1:26" s="24" customFormat="1" hidden="1" outlineLevel="1" x14ac:dyDescent="0.25">
      <c r="A162" s="44"/>
      <c r="B162" s="11" t="str">
        <f>CONCATENATE("          ", "5541", " - ", "FREIGHT-IN-LOGO GIFTS")</f>
        <v xml:space="preserve">          5541 - FREIGHT-IN-LOGO GIFTS</v>
      </c>
      <c r="C162" s="11"/>
      <c r="D162" s="2">
        <v>123.12</v>
      </c>
      <c r="E162" s="2"/>
      <c r="F162" s="19">
        <f t="shared" si="26"/>
        <v>5.8944056015467103E-5</v>
      </c>
      <c r="G162" s="2"/>
      <c r="H162" s="2">
        <v>405.92</v>
      </c>
      <c r="I162" s="2"/>
      <c r="J162" s="19">
        <f t="shared" si="27"/>
        <v>1.2667104587578599E-4</v>
      </c>
      <c r="K162" s="2"/>
      <c r="L162" s="2">
        <f t="shared" si="28"/>
        <v>-282.8</v>
      </c>
      <c r="M162" s="2"/>
      <c r="N162" s="19">
        <f t="shared" si="29"/>
        <v>-0.69668900275916434</v>
      </c>
      <c r="O162" s="11"/>
      <c r="P162" s="2">
        <v>206.7</v>
      </c>
      <c r="Q162" s="2"/>
      <c r="R162" s="19">
        <f t="shared" si="30"/>
        <v>8.1881019747883678E-5</v>
      </c>
      <c r="S162" s="2"/>
      <c r="T162" s="2">
        <v>720.41</v>
      </c>
      <c r="U162" s="2"/>
      <c r="V162" s="19">
        <f t="shared" si="31"/>
        <v>1.8345997625840828E-4</v>
      </c>
      <c r="W162" s="2"/>
      <c r="X162" s="2">
        <f t="shared" si="32"/>
        <v>-513.71</v>
      </c>
      <c r="Y162" s="2"/>
      <c r="Z162" s="19">
        <f t="shared" si="33"/>
        <v>-0.71308005163726218</v>
      </c>
    </row>
    <row r="163" spans="1:26" s="24" customFormat="1" hidden="1" outlineLevel="1" x14ac:dyDescent="0.25">
      <c r="A163" s="44"/>
      <c r="B163" s="11" t="str">
        <f>CONCATENATE("          ", "5542", " - ", "FREIGHT-IN-EVERYDAY GIFTS")</f>
        <v xml:space="preserve">          5542 - FREIGHT-IN-EVERYDAY GIFTS</v>
      </c>
      <c r="C163" s="11"/>
      <c r="D163" s="2"/>
      <c r="E163" s="2"/>
      <c r="F163" s="19">
        <f t="shared" si="26"/>
        <v>0</v>
      </c>
      <c r="G163" s="2"/>
      <c r="H163" s="2">
        <v>83.05</v>
      </c>
      <c r="I163" s="2"/>
      <c r="J163" s="19">
        <f t="shared" si="27"/>
        <v>2.5916511529326039E-5</v>
      </c>
      <c r="K163" s="2"/>
      <c r="L163" s="2">
        <f t="shared" si="28"/>
        <v>-83.05</v>
      </c>
      <c r="M163" s="2"/>
      <c r="N163" s="19">
        <f t="shared" si="29"/>
        <v>-1</v>
      </c>
      <c r="O163" s="11"/>
      <c r="P163" s="2">
        <v>5.94</v>
      </c>
      <c r="Q163" s="2"/>
      <c r="R163" s="19">
        <f t="shared" si="30"/>
        <v>2.353039464452971E-6</v>
      </c>
      <c r="S163" s="2"/>
      <c r="T163" s="2">
        <v>112.77</v>
      </c>
      <c r="U163" s="2"/>
      <c r="V163" s="19">
        <f t="shared" si="31"/>
        <v>2.8718065438653965E-5</v>
      </c>
      <c r="W163" s="2"/>
      <c r="X163" s="2">
        <f t="shared" si="32"/>
        <v>-106.83</v>
      </c>
      <c r="Y163" s="2"/>
      <c r="Z163" s="19">
        <f t="shared" si="33"/>
        <v>-0.94732641660015959</v>
      </c>
    </row>
    <row r="164" spans="1:26" s="24" customFormat="1" hidden="1" outlineLevel="1" x14ac:dyDescent="0.25">
      <c r="A164" s="44"/>
      <c r="B164" s="11" t="str">
        <f>CONCATENATE("          ", "5543", " - ", "FREIGHT-IN-CARDS")</f>
        <v xml:space="preserve">          5543 - FREIGHT-IN-CARDS</v>
      </c>
      <c r="C164" s="11"/>
      <c r="D164" s="2"/>
      <c r="E164" s="2"/>
      <c r="F164" s="19">
        <f t="shared" si="26"/>
        <v>0</v>
      </c>
      <c r="G164" s="2"/>
      <c r="H164" s="2">
        <v>4.58</v>
      </c>
      <c r="I164" s="2"/>
      <c r="J164" s="19">
        <f t="shared" si="27"/>
        <v>1.4292308585709001E-6</v>
      </c>
      <c r="K164" s="2"/>
      <c r="L164" s="2">
        <f t="shared" si="28"/>
        <v>-4.58</v>
      </c>
      <c r="M164" s="2"/>
      <c r="N164" s="19">
        <f t="shared" si="29"/>
        <v>-1</v>
      </c>
      <c r="O164" s="11"/>
      <c r="P164" s="2"/>
      <c r="Q164" s="2"/>
      <c r="R164" s="19">
        <f t="shared" si="30"/>
        <v>0</v>
      </c>
      <c r="S164" s="2"/>
      <c r="T164" s="2">
        <v>4.58</v>
      </c>
      <c r="U164" s="2"/>
      <c r="V164" s="19">
        <f t="shared" si="31"/>
        <v>1.1663451246699935E-6</v>
      </c>
      <c r="W164" s="2"/>
      <c r="X164" s="2">
        <f t="shared" si="32"/>
        <v>-4.58</v>
      </c>
      <c r="Y164" s="2"/>
      <c r="Z164" s="19">
        <f t="shared" si="33"/>
        <v>-1</v>
      </c>
    </row>
    <row r="165" spans="1:26" s="24" customFormat="1" hidden="1" outlineLevel="1" x14ac:dyDescent="0.25">
      <c r="A165" s="44"/>
      <c r="B165" s="11" t="str">
        <f>CONCATENATE("          ", "5544", " - ", "FREIGHT-IN-ACCESSORIES")</f>
        <v xml:space="preserve">          5544 - FREIGHT-IN-ACCESSORIES</v>
      </c>
      <c r="C165" s="11"/>
      <c r="D165" s="2"/>
      <c r="E165" s="2"/>
      <c r="F165" s="19">
        <f t="shared" si="26"/>
        <v>0</v>
      </c>
      <c r="G165" s="2"/>
      <c r="H165" s="2">
        <v>84.93</v>
      </c>
      <c r="I165" s="2"/>
      <c r="J165" s="19">
        <f t="shared" si="27"/>
        <v>2.6503182711446847E-5</v>
      </c>
      <c r="K165" s="2"/>
      <c r="L165" s="2">
        <f t="shared" si="28"/>
        <v>-84.93</v>
      </c>
      <c r="M165" s="2"/>
      <c r="N165" s="19">
        <f t="shared" si="29"/>
        <v>-1</v>
      </c>
      <c r="O165" s="11"/>
      <c r="P165" s="2"/>
      <c r="Q165" s="2"/>
      <c r="R165" s="19">
        <f t="shared" si="30"/>
        <v>0</v>
      </c>
      <c r="S165" s="2"/>
      <c r="T165" s="2">
        <v>101.66</v>
      </c>
      <c r="U165" s="2"/>
      <c r="V165" s="19">
        <f t="shared" si="31"/>
        <v>2.5888787199552736E-5</v>
      </c>
      <c r="W165" s="2"/>
      <c r="X165" s="2">
        <f t="shared" si="32"/>
        <v>-101.66</v>
      </c>
      <c r="Y165" s="2"/>
      <c r="Z165" s="19">
        <f t="shared" si="33"/>
        <v>-1</v>
      </c>
    </row>
    <row r="166" spans="1:26" s="24" customFormat="1" hidden="1" outlineLevel="1" x14ac:dyDescent="0.25">
      <c r="A166" s="44"/>
      <c r="B166" s="11" t="str">
        <f>CONCATENATE("          ", "5545", " - ", "FREIGHT-IN-SPECIAL ORDERS")</f>
        <v xml:space="preserve">          5545 - FREIGHT-IN-SPECIAL ORDERS</v>
      </c>
      <c r="C166" s="11"/>
      <c r="D166" s="2">
        <v>145.6</v>
      </c>
      <c r="E166" s="2"/>
      <c r="F166" s="19">
        <f t="shared" si="26"/>
        <v>6.9706421018940942E-5</v>
      </c>
      <c r="G166" s="2"/>
      <c r="H166" s="2">
        <v>8.8699999999999992</v>
      </c>
      <c r="I166" s="2"/>
      <c r="J166" s="19">
        <f t="shared" si="27"/>
        <v>2.7679645667082716E-6</v>
      </c>
      <c r="K166" s="2"/>
      <c r="L166" s="2">
        <f t="shared" si="28"/>
        <v>136.72999999999999</v>
      </c>
      <c r="M166" s="2"/>
      <c r="N166" s="19">
        <f t="shared" si="29"/>
        <v>15.414881623449832</v>
      </c>
      <c r="O166" s="11"/>
      <c r="P166" s="2">
        <v>446</v>
      </c>
      <c r="Q166" s="2"/>
      <c r="R166" s="19">
        <f t="shared" si="30"/>
        <v>1.7667602712896044E-4</v>
      </c>
      <c r="S166" s="2"/>
      <c r="T166" s="2">
        <v>235.95</v>
      </c>
      <c r="U166" s="2"/>
      <c r="V166" s="19">
        <f t="shared" si="31"/>
        <v>6.0087146761110245E-5</v>
      </c>
      <c r="W166" s="2"/>
      <c r="X166" s="2">
        <f t="shared" si="32"/>
        <v>210.05</v>
      </c>
      <c r="Y166" s="2"/>
      <c r="Z166" s="19">
        <f t="shared" si="33"/>
        <v>0.89023098114007215</v>
      </c>
    </row>
    <row r="167" spans="1:26" s="24" customFormat="1" hidden="1" outlineLevel="1" x14ac:dyDescent="0.25">
      <c r="A167" s="44"/>
      <c r="B167" s="11" t="str">
        <f>CONCATENATE("          ", "5583", " - ", "FREIGHT-IN-COMPUTER EQUIPMENT")</f>
        <v xml:space="preserve">          5583 - FREIGHT-IN-COMPUTER EQUIPMENT</v>
      </c>
      <c r="C167" s="11"/>
      <c r="D167" s="2"/>
      <c r="E167" s="2"/>
      <c r="F167" s="19">
        <f t="shared" si="26"/>
        <v>0</v>
      </c>
      <c r="G167" s="2"/>
      <c r="H167" s="2">
        <v>26.15</v>
      </c>
      <c r="I167" s="2"/>
      <c r="J167" s="19">
        <f t="shared" si="27"/>
        <v>8.1603464959888731E-6</v>
      </c>
      <c r="K167" s="2"/>
      <c r="L167" s="2">
        <f t="shared" si="28"/>
        <v>-26.15</v>
      </c>
      <c r="M167" s="2"/>
      <c r="N167" s="19">
        <f t="shared" si="29"/>
        <v>-1</v>
      </c>
      <c r="O167" s="11"/>
      <c r="P167" s="2">
        <v>17.39</v>
      </c>
      <c r="Q167" s="2"/>
      <c r="R167" s="19">
        <f t="shared" si="30"/>
        <v>6.888780519669556E-6</v>
      </c>
      <c r="S167" s="2"/>
      <c r="T167" s="2">
        <v>33.14</v>
      </c>
      <c r="U167" s="2"/>
      <c r="V167" s="19">
        <f t="shared" si="31"/>
        <v>8.4394492208654113E-6</v>
      </c>
      <c r="W167" s="2"/>
      <c r="X167" s="2">
        <f t="shared" si="32"/>
        <v>-15.75</v>
      </c>
      <c r="Y167" s="2"/>
      <c r="Z167" s="19">
        <f t="shared" si="33"/>
        <v>-0.4752564876282438</v>
      </c>
    </row>
    <row r="168" spans="1:26" s="24" customFormat="1" hidden="1" outlineLevel="1" x14ac:dyDescent="0.25">
      <c r="A168" s="44"/>
      <c r="B168" s="11" t="str">
        <f>CONCATENATE("          ", "5586", " - ", "FREIGHT-IN-COMPUTER SUPPLIES")</f>
        <v xml:space="preserve">          5586 - FREIGHT-IN-COMPUTER SUPPLIES</v>
      </c>
      <c r="C168" s="11"/>
      <c r="D168" s="2">
        <v>24.12</v>
      </c>
      <c r="E168" s="2"/>
      <c r="F168" s="19">
        <f t="shared" si="26"/>
        <v>1.1547519745720164E-5</v>
      </c>
      <c r="G168" s="2"/>
      <c r="H168" s="2">
        <v>7.36</v>
      </c>
      <c r="I168" s="2"/>
      <c r="J168" s="19">
        <f t="shared" si="27"/>
        <v>2.296755266175071E-6</v>
      </c>
      <c r="K168" s="2"/>
      <c r="L168" s="2">
        <f t="shared" si="28"/>
        <v>16.760000000000002</v>
      </c>
      <c r="M168" s="2"/>
      <c r="N168" s="19">
        <f t="shared" si="29"/>
        <v>2.2771739130434785</v>
      </c>
      <c r="O168" s="11"/>
      <c r="P168" s="2">
        <v>24.12</v>
      </c>
      <c r="Q168" s="2"/>
      <c r="R168" s="19">
        <f t="shared" si="30"/>
        <v>9.5547663102029732E-6</v>
      </c>
      <c r="S168" s="2"/>
      <c r="T168" s="2">
        <v>37.03</v>
      </c>
      <c r="U168" s="2"/>
      <c r="V168" s="19">
        <f t="shared" si="31"/>
        <v>9.430078595312197E-6</v>
      </c>
      <c r="W168" s="2"/>
      <c r="X168" s="2">
        <f t="shared" si="32"/>
        <v>-12.91</v>
      </c>
      <c r="Y168" s="2"/>
      <c r="Z168" s="19">
        <f t="shared" si="33"/>
        <v>-0.34863624088576828</v>
      </c>
    </row>
    <row r="169" spans="1:26" s="24" customFormat="1" hidden="1" outlineLevel="1" x14ac:dyDescent="0.25">
      <c r="A169" s="44"/>
      <c r="B169" s="11" t="str">
        <f>CONCATENATE("          ", "5592", " - ", "FREIGHT-IN-GRAD MERCH")</f>
        <v xml:space="preserve">          5592 - FREIGHT-IN-GRAD MERCH</v>
      </c>
      <c r="C169" s="11"/>
      <c r="D169" s="2"/>
      <c r="E169" s="2"/>
      <c r="F169" s="19">
        <f t="shared" si="26"/>
        <v>0</v>
      </c>
      <c r="G169" s="2"/>
      <c r="H169" s="2">
        <v>59.57</v>
      </c>
      <c r="I169" s="2"/>
      <c r="J169" s="19">
        <f t="shared" si="27"/>
        <v>1.858936293560448E-5</v>
      </c>
      <c r="K169" s="2"/>
      <c r="L169" s="2">
        <f t="shared" si="28"/>
        <v>-59.57</v>
      </c>
      <c r="M169" s="2"/>
      <c r="N169" s="19">
        <f t="shared" si="29"/>
        <v>-1</v>
      </c>
      <c r="O169" s="11"/>
      <c r="P169" s="2"/>
      <c r="Q169" s="2"/>
      <c r="R169" s="19">
        <f t="shared" si="30"/>
        <v>0</v>
      </c>
      <c r="S169" s="2"/>
      <c r="T169" s="2">
        <v>59.57</v>
      </c>
      <c r="U169" s="2"/>
      <c r="V169" s="19">
        <f t="shared" si="31"/>
        <v>1.5170126435937011E-5</v>
      </c>
      <c r="W169" s="2"/>
      <c r="X169" s="2">
        <f t="shared" si="32"/>
        <v>-59.57</v>
      </c>
      <c r="Y169" s="2"/>
      <c r="Z169" s="19">
        <f t="shared" si="33"/>
        <v>-1</v>
      </c>
    </row>
    <row r="170" spans="1:26" x14ac:dyDescent="0.25">
      <c r="A170" s="9"/>
      <c r="B170" s="10"/>
      <c r="C170" s="10"/>
      <c r="D170" s="3"/>
      <c r="E170" s="3"/>
      <c r="F170" s="8"/>
      <c r="G170" s="3"/>
      <c r="H170" s="3"/>
      <c r="I170" s="3"/>
      <c r="J170" s="8"/>
      <c r="K170" s="3"/>
      <c r="L170" s="3"/>
      <c r="M170" s="3"/>
      <c r="N170" s="8"/>
      <c r="O170" s="10"/>
      <c r="P170" s="3"/>
      <c r="Q170" s="3"/>
      <c r="R170" s="8"/>
      <c r="S170" s="3"/>
      <c r="T170" s="3"/>
      <c r="U170" s="3"/>
      <c r="V170" s="8"/>
      <c r="W170" s="3"/>
      <c r="X170" s="3"/>
      <c r="Y170" s="3"/>
      <c r="Z170" s="8"/>
    </row>
    <row r="171" spans="1:26" s="23" customFormat="1" x14ac:dyDescent="0.25">
      <c r="A171" s="10"/>
      <c r="B171" s="26" t="s">
        <v>6</v>
      </c>
      <c r="C171" s="26"/>
      <c r="D171" s="22">
        <f>D12-D117</f>
        <v>528873.17000000062</v>
      </c>
      <c r="E171" s="13"/>
      <c r="F171" s="21">
        <f>IF(D$12=0,0,D171/D$12)</f>
        <v>0.25319955943435424</v>
      </c>
      <c r="G171" s="13"/>
      <c r="H171" s="22">
        <f>H12-H117</f>
        <v>979168.08000000007</v>
      </c>
      <c r="I171" s="13"/>
      <c r="J171" s="21">
        <f>IF(H$12=0,0,H171/H$12)</f>
        <v>0.30555834839817031</v>
      </c>
      <c r="K171" s="16"/>
      <c r="L171" s="22">
        <f>+D171-H171</f>
        <v>-450294.90999999945</v>
      </c>
      <c r="M171" s="16"/>
      <c r="N171" s="21">
        <f>IF(H171=0,0,L171/H171)</f>
        <v>-0.45987498898044082</v>
      </c>
      <c r="O171" s="25"/>
      <c r="P171" s="22">
        <f>P12-P117</f>
        <v>639156.22000000067</v>
      </c>
      <c r="Q171" s="13"/>
      <c r="R171" s="21">
        <f>IF(P$12=0,0,P171/P$12)</f>
        <v>0.25319188713982943</v>
      </c>
      <c r="S171" s="13"/>
      <c r="T171" s="22">
        <f>T12-T117</f>
        <v>1165201.2100000009</v>
      </c>
      <c r="U171" s="13"/>
      <c r="V171" s="21">
        <f>IF(T$12=0,0,T171/T$12)</f>
        <v>0.29673073155962409</v>
      </c>
      <c r="W171" s="16"/>
      <c r="X171" s="22">
        <f>+P171-T171</f>
        <v>-526044.99000000022</v>
      </c>
      <c r="Y171" s="16"/>
      <c r="Z171" s="21">
        <f>IF(T171=0,0,X171/T171)</f>
        <v>-0.45146279070547807</v>
      </c>
    </row>
    <row r="172" spans="1:26" x14ac:dyDescent="0.25">
      <c r="A172" s="9"/>
      <c r="B172" s="10"/>
      <c r="C172" s="9"/>
      <c r="D172" s="1"/>
      <c r="E172" s="1"/>
      <c r="F172" s="5"/>
      <c r="G172" s="1"/>
      <c r="H172" s="1"/>
      <c r="I172" s="1"/>
      <c r="J172" s="5"/>
      <c r="K172" s="1"/>
      <c r="L172" s="1"/>
      <c r="M172" s="1"/>
      <c r="N172" s="5"/>
      <c r="O172" s="37"/>
      <c r="P172" s="1"/>
      <c r="Q172" s="1"/>
      <c r="R172" s="5"/>
      <c r="S172" s="1"/>
      <c r="T172" s="1"/>
      <c r="U172" s="1"/>
      <c r="V172" s="5"/>
      <c r="W172" s="1"/>
      <c r="X172" s="1"/>
      <c r="Y172" s="1"/>
      <c r="Z172" s="5"/>
    </row>
    <row r="173" spans="1:26" s="23" customFormat="1" x14ac:dyDescent="0.25">
      <c r="A173" s="10"/>
      <c r="B173" s="25" t="s">
        <v>9</v>
      </c>
      <c r="C173" s="10"/>
      <c r="D173" s="20">
        <f>SUM(OSRRefD22x_0)</f>
        <v>239023.71</v>
      </c>
      <c r="E173" s="20"/>
      <c r="F173" s="35">
        <f t="shared" ref="F173:F184" si="34">IF(D$12=0,0,D173/D$12)</f>
        <v>0.11443329232671186</v>
      </c>
      <c r="G173" s="20"/>
      <c r="H173" s="20">
        <f>SUM(OSRRefH22x_0)</f>
        <v>475210.08999999997</v>
      </c>
      <c r="I173" s="20"/>
      <c r="J173" s="35">
        <f t="shared" ref="J173:J184" si="35">IF(H$12=0,0,H173/H$12)</f>
        <v>0.14829365173193335</v>
      </c>
      <c r="K173" s="4"/>
      <c r="L173" s="20">
        <f t="shared" ref="L173:L184" si="36">+D173-H173</f>
        <v>-236186.37999999998</v>
      </c>
      <c r="M173" s="4"/>
      <c r="N173" s="35">
        <f t="shared" ref="N173:N184" si="37">IF(H173=0,0,L173/H173)</f>
        <v>-0.49701465724349414</v>
      </c>
      <c r="O173" s="10"/>
      <c r="P173" s="20">
        <f>SUM(OSRRefP22x_0)</f>
        <v>569404.17000000004</v>
      </c>
      <c r="Q173" s="20"/>
      <c r="R173" s="35">
        <f t="shared" ref="R173:R184" si="38">IF(P$12=0,0,P173/P$12)</f>
        <v>0.22556068741314619</v>
      </c>
      <c r="S173" s="20"/>
      <c r="T173" s="20">
        <f>SUM(OSRRefT22x_0)</f>
        <v>856004.31000000017</v>
      </c>
      <c r="U173" s="20"/>
      <c r="V173" s="35">
        <f t="shared" ref="V173:V184" si="39">IF(T$12=0,0,T173/T$12)</f>
        <v>0.21799049206659429</v>
      </c>
      <c r="W173" s="4"/>
      <c r="X173" s="20">
        <f t="shared" ref="X173:X184" si="40">+P173-T173</f>
        <v>-286600.14000000013</v>
      </c>
      <c r="Y173" s="4"/>
      <c r="Z173" s="35">
        <f t="shared" ref="Z173:Z184" si="41">IF(T173=0,0,X173/T173)</f>
        <v>-0.33481156187169209</v>
      </c>
    </row>
    <row r="174" spans="1:26" s="28" customFormat="1" outlineLevel="1" collapsed="1" x14ac:dyDescent="0.25">
      <c r="A174" s="27"/>
      <c r="B174" s="14" t="str">
        <f>CONCATENATE("     ","*Benefits                                         ")</f>
        <v xml:space="preserve">     *Benefits                                         </v>
      </c>
      <c r="C174" s="14"/>
      <c r="D174" s="1">
        <f>SUM(OSRRefD22_0x_0)</f>
        <v>48289.410000000011</v>
      </c>
      <c r="E174" s="1"/>
      <c r="F174" s="5">
        <f t="shared" si="34"/>
        <v>2.311869467181496E-2</v>
      </c>
      <c r="G174" s="1"/>
      <c r="H174" s="1">
        <f>SUM(OSRRefH22_0x_0)</f>
        <v>55205.07</v>
      </c>
      <c r="I174" s="1"/>
      <c r="J174" s="5">
        <f t="shared" si="35"/>
        <v>1.7227246636149923E-2</v>
      </c>
      <c r="K174" s="1"/>
      <c r="L174" s="1">
        <f t="shared" si="36"/>
        <v>-6915.6599999999889</v>
      </c>
      <c r="M174" s="1"/>
      <c r="N174" s="5">
        <f t="shared" si="37"/>
        <v>-0.12527218967388301</v>
      </c>
      <c r="O174" s="14"/>
      <c r="P174" s="1">
        <f>SUM(OSRRefP22_0x_0)</f>
        <v>91684.249999999985</v>
      </c>
      <c r="Q174" s="1"/>
      <c r="R174" s="5">
        <f t="shared" si="38"/>
        <v>3.631930278093809E-2</v>
      </c>
      <c r="S174" s="1"/>
      <c r="T174" s="1">
        <f>SUM(OSRRefT22_0x_0)</f>
        <v>113075.18000000001</v>
      </c>
      <c r="U174" s="1"/>
      <c r="V174" s="5">
        <f t="shared" si="39"/>
        <v>2.8795782732354138E-2</v>
      </c>
      <c r="W174" s="1"/>
      <c r="X174" s="1">
        <f t="shared" si="40"/>
        <v>-21390.930000000022</v>
      </c>
      <c r="Y174" s="1"/>
      <c r="Z174" s="5">
        <f t="shared" si="41"/>
        <v>-0.1891744059129512</v>
      </c>
    </row>
    <row r="175" spans="1:26" s="24" customFormat="1" hidden="1" outlineLevel="2" x14ac:dyDescent="0.25">
      <c r="A175" s="29"/>
      <c r="B175" s="11" t="str">
        <f>CONCATENATE("          ", "6111", " - ", "F.I.C.A.")</f>
        <v xml:space="preserve">          6111 - F.I.C.A.</v>
      </c>
      <c r="C175" s="11"/>
      <c r="D175" s="7">
        <v>11355.03</v>
      </c>
      <c r="E175" s="2"/>
      <c r="F175" s="6">
        <f t="shared" si="34"/>
        <v>5.4362534468592382E-3</v>
      </c>
      <c r="G175" s="2"/>
      <c r="H175" s="7">
        <v>14741.15</v>
      </c>
      <c r="I175" s="2"/>
      <c r="J175" s="6">
        <f t="shared" si="35"/>
        <v>4.6001105831490006E-3</v>
      </c>
      <c r="K175" s="2"/>
      <c r="L175" s="7">
        <f t="shared" si="36"/>
        <v>-3386.119999999999</v>
      </c>
      <c r="M175" s="2"/>
      <c r="N175" s="6">
        <f t="shared" si="37"/>
        <v>-0.22970528079559593</v>
      </c>
      <c r="O175" s="11"/>
      <c r="P175" s="7">
        <v>19341.769999999997</v>
      </c>
      <c r="Q175" s="2"/>
      <c r="R175" s="6">
        <f t="shared" si="38"/>
        <v>7.6619441283455438E-3</v>
      </c>
      <c r="S175" s="2"/>
      <c r="T175" s="7">
        <v>26075.64</v>
      </c>
      <c r="U175" s="2"/>
      <c r="V175" s="6">
        <f t="shared" si="39"/>
        <v>6.6404357176091415E-3</v>
      </c>
      <c r="W175" s="2"/>
      <c r="X175" s="7">
        <f t="shared" si="40"/>
        <v>-6733.8700000000026</v>
      </c>
      <c r="Y175" s="2"/>
      <c r="Z175" s="6">
        <f t="shared" si="41"/>
        <v>-0.25824370945449482</v>
      </c>
    </row>
    <row r="176" spans="1:26" s="24" customFormat="1" hidden="1" outlineLevel="2" x14ac:dyDescent="0.25">
      <c r="A176" s="29"/>
      <c r="B176" s="11" t="str">
        <f>CONCATENATE("          ", "6112", " - ", "COMPENSATION INSURANCE")</f>
        <v xml:space="preserve">          6112 - COMPENSATION INSURANCE</v>
      </c>
      <c r="C176" s="11"/>
      <c r="D176" s="7">
        <v>2455.96</v>
      </c>
      <c r="E176" s="2"/>
      <c r="F176" s="6">
        <f t="shared" si="34"/>
        <v>1.1757979516873504E-3</v>
      </c>
      <c r="G176" s="2"/>
      <c r="H176" s="7">
        <v>3044.49</v>
      </c>
      <c r="I176" s="2"/>
      <c r="J176" s="6">
        <f t="shared" si="35"/>
        <v>9.5006092939094308E-4</v>
      </c>
      <c r="K176" s="2"/>
      <c r="L176" s="7">
        <f t="shared" si="36"/>
        <v>-588.52999999999975</v>
      </c>
      <c r="M176" s="2"/>
      <c r="N176" s="6">
        <f t="shared" si="37"/>
        <v>-0.19330988112951589</v>
      </c>
      <c r="O176" s="11"/>
      <c r="P176" s="7">
        <v>4288.04</v>
      </c>
      <c r="Q176" s="2"/>
      <c r="R176" s="6">
        <f t="shared" si="38"/>
        <v>1.6986409671974608E-3</v>
      </c>
      <c r="S176" s="2"/>
      <c r="T176" s="7">
        <v>5134.4799999999996</v>
      </c>
      <c r="U176" s="2"/>
      <c r="V176" s="6">
        <f t="shared" si="39"/>
        <v>1.3075492829073335E-3</v>
      </c>
      <c r="W176" s="2"/>
      <c r="X176" s="7">
        <f t="shared" si="40"/>
        <v>-846.4399999999996</v>
      </c>
      <c r="Y176" s="2"/>
      <c r="Z176" s="6">
        <f t="shared" si="41"/>
        <v>-0.16485408454215417</v>
      </c>
    </row>
    <row r="177" spans="1:26" s="24" customFormat="1" hidden="1" outlineLevel="2" x14ac:dyDescent="0.25">
      <c r="A177" s="29"/>
      <c r="B177" s="11" t="str">
        <f>CONCATENATE("          ", "6113", " - ", "GROUP INSURANCE")</f>
        <v xml:space="preserve">          6113 - GROUP INSURANCE</v>
      </c>
      <c r="C177" s="11"/>
      <c r="D177" s="7">
        <v>16571.080000000002</v>
      </c>
      <c r="E177" s="2"/>
      <c r="F177" s="6">
        <f t="shared" si="34"/>
        <v>7.9334524671603856E-3</v>
      </c>
      <c r="G177" s="2"/>
      <c r="H177" s="7">
        <v>19962.98</v>
      </c>
      <c r="I177" s="2"/>
      <c r="J177" s="6">
        <f t="shared" si="35"/>
        <v>6.2296303591776658E-3</v>
      </c>
      <c r="K177" s="2"/>
      <c r="L177" s="7">
        <f t="shared" si="36"/>
        <v>-3391.8999999999978</v>
      </c>
      <c r="M177" s="2"/>
      <c r="N177" s="6">
        <f t="shared" si="37"/>
        <v>-0.16990950248910724</v>
      </c>
      <c r="O177" s="11"/>
      <c r="P177" s="7">
        <v>31075.449999999997</v>
      </c>
      <c r="Q177" s="2"/>
      <c r="R177" s="6">
        <f t="shared" si="38"/>
        <v>1.2310060644046307E-2</v>
      </c>
      <c r="S177" s="2"/>
      <c r="T177" s="7">
        <v>39458.310000000005</v>
      </c>
      <c r="U177" s="2"/>
      <c r="V177" s="6">
        <f t="shared" si="39"/>
        <v>1.0048473252449182E-2</v>
      </c>
      <c r="W177" s="2"/>
      <c r="X177" s="7">
        <f t="shared" si="40"/>
        <v>-8382.8600000000079</v>
      </c>
      <c r="Y177" s="2"/>
      <c r="Z177" s="6">
        <f t="shared" si="41"/>
        <v>-0.21244853112056769</v>
      </c>
    </row>
    <row r="178" spans="1:26" s="24" customFormat="1" hidden="1" outlineLevel="2" x14ac:dyDescent="0.25">
      <c r="A178" s="29"/>
      <c r="B178" s="11" t="str">
        <f>CONCATENATE("          ", "6114", " - ", "STATE UNEMPLOYMENT INSURANCE")</f>
        <v xml:space="preserve">          6114 - STATE UNEMPLOYMENT INSURANCE</v>
      </c>
      <c r="C178" s="11"/>
      <c r="D178" s="7">
        <v>393.65</v>
      </c>
      <c r="E178" s="2"/>
      <c r="F178" s="6">
        <f t="shared" si="34"/>
        <v>1.8846107578369576E-4</v>
      </c>
      <c r="G178" s="2"/>
      <c r="H178" s="7">
        <v>501.07</v>
      </c>
      <c r="I178" s="2"/>
      <c r="J178" s="6">
        <f t="shared" si="35"/>
        <v>1.5636347299216615E-4</v>
      </c>
      <c r="K178" s="2"/>
      <c r="L178" s="7">
        <f t="shared" si="36"/>
        <v>-107.42000000000002</v>
      </c>
      <c r="M178" s="2"/>
      <c r="N178" s="6">
        <f t="shared" si="37"/>
        <v>-0.21438122418025429</v>
      </c>
      <c r="O178" s="11"/>
      <c r="P178" s="7">
        <v>683.2</v>
      </c>
      <c r="Q178" s="2"/>
      <c r="R178" s="6">
        <f t="shared" si="38"/>
        <v>2.706391518710892E-4</v>
      </c>
      <c r="S178" s="2"/>
      <c r="T178" s="7">
        <v>885.03</v>
      </c>
      <c r="U178" s="2"/>
      <c r="V178" s="6">
        <f t="shared" si="39"/>
        <v>2.2538218901455988E-4</v>
      </c>
      <c r="W178" s="2"/>
      <c r="X178" s="7">
        <f t="shared" si="40"/>
        <v>-201.82999999999993</v>
      </c>
      <c r="Y178" s="2"/>
      <c r="Z178" s="6">
        <f t="shared" si="41"/>
        <v>-0.22804876670847307</v>
      </c>
    </row>
    <row r="179" spans="1:26" s="24" customFormat="1" hidden="1" outlineLevel="2" x14ac:dyDescent="0.25">
      <c r="A179" s="29"/>
      <c r="B179" s="11" t="str">
        <f>CONCATENATE("          ", "6115", " - ", "P.E.R.S.")</f>
        <v xml:space="preserve">          6115 - P.E.R.S.</v>
      </c>
      <c r="C179" s="11"/>
      <c r="D179" s="7">
        <v>6331.99</v>
      </c>
      <c r="E179" s="2"/>
      <c r="F179" s="6">
        <f t="shared" si="34"/>
        <v>3.0314585221684334E-3</v>
      </c>
      <c r="G179" s="2"/>
      <c r="H179" s="7">
        <v>6374.08</v>
      </c>
      <c r="I179" s="2"/>
      <c r="J179" s="6">
        <f t="shared" si="35"/>
        <v>1.9890899194322277E-3</v>
      </c>
      <c r="K179" s="2"/>
      <c r="L179" s="7">
        <f t="shared" si="36"/>
        <v>-42.090000000000146</v>
      </c>
      <c r="M179" s="2"/>
      <c r="N179" s="6">
        <f t="shared" si="37"/>
        <v>-6.6033058888498647E-3</v>
      </c>
      <c r="O179" s="11"/>
      <c r="P179" s="7">
        <v>14755.11</v>
      </c>
      <c r="Q179" s="2"/>
      <c r="R179" s="6">
        <f t="shared" si="38"/>
        <v>5.8450094498896758E-3</v>
      </c>
      <c r="S179" s="2"/>
      <c r="T179" s="7">
        <v>12671.97</v>
      </c>
      <c r="U179" s="2"/>
      <c r="V179" s="6">
        <f t="shared" si="39"/>
        <v>3.2270503121101346E-3</v>
      </c>
      <c r="W179" s="2"/>
      <c r="X179" s="7">
        <f t="shared" si="40"/>
        <v>2083.1400000000012</v>
      </c>
      <c r="Y179" s="2"/>
      <c r="Z179" s="6">
        <f t="shared" si="41"/>
        <v>0.16438959372536405</v>
      </c>
    </row>
    <row r="180" spans="1:26" s="24" customFormat="1" hidden="1" outlineLevel="2" x14ac:dyDescent="0.25">
      <c r="A180" s="29"/>
      <c r="B180" s="11" t="str">
        <f>CONCATENATE("          ", "6116", " - ", "EDUCATIONAL BENEFITS")</f>
        <v xml:space="preserve">          6116 - EDUCATIONAL BENEFITS</v>
      </c>
      <c r="C180" s="11"/>
      <c r="D180" s="7"/>
      <c r="E180" s="2"/>
      <c r="F180" s="6">
        <f t="shared" si="34"/>
        <v>0</v>
      </c>
      <c r="G180" s="2"/>
      <c r="H180" s="7"/>
      <c r="I180" s="2"/>
      <c r="J180" s="6">
        <f t="shared" si="35"/>
        <v>0</v>
      </c>
      <c r="K180" s="2"/>
      <c r="L180" s="7">
        <f t="shared" si="36"/>
        <v>0</v>
      </c>
      <c r="M180" s="2"/>
      <c r="N180" s="6">
        <f t="shared" si="37"/>
        <v>0</v>
      </c>
      <c r="O180" s="11"/>
      <c r="P180" s="7">
        <v>0</v>
      </c>
      <c r="Q180" s="2"/>
      <c r="R180" s="6">
        <f t="shared" si="38"/>
        <v>0</v>
      </c>
      <c r="S180" s="2"/>
      <c r="T180" s="7"/>
      <c r="U180" s="2"/>
      <c r="V180" s="6">
        <f t="shared" si="39"/>
        <v>0</v>
      </c>
      <c r="W180" s="2"/>
      <c r="X180" s="7">
        <f t="shared" si="40"/>
        <v>0</v>
      </c>
      <c r="Y180" s="2"/>
      <c r="Z180" s="6">
        <f t="shared" si="41"/>
        <v>0</v>
      </c>
    </row>
    <row r="181" spans="1:26" s="24" customFormat="1" hidden="1" outlineLevel="2" x14ac:dyDescent="0.25">
      <c r="A181" s="29"/>
      <c r="B181" s="11" t="str">
        <f>CONCATENATE("          ", "6117", " - ", "RETIREMENT STAFF HOURLY")</f>
        <v xml:space="preserve">          6117 - RETIREMENT STAFF HOURLY</v>
      </c>
      <c r="C181" s="11"/>
      <c r="D181" s="7">
        <v>446.19</v>
      </c>
      <c r="E181" s="2"/>
      <c r="F181" s="6">
        <f t="shared" si="34"/>
        <v>2.1361475270907461E-4</v>
      </c>
      <c r="G181" s="2"/>
      <c r="H181" s="7">
        <v>205.54</v>
      </c>
      <c r="I181" s="2"/>
      <c r="J181" s="6">
        <f t="shared" si="35"/>
        <v>6.4140635517611971E-5</v>
      </c>
      <c r="K181" s="2"/>
      <c r="L181" s="7">
        <f t="shared" si="36"/>
        <v>240.65</v>
      </c>
      <c r="M181" s="2"/>
      <c r="N181" s="6">
        <f t="shared" si="37"/>
        <v>1.1708183321981123</v>
      </c>
      <c r="O181" s="11"/>
      <c r="P181" s="7">
        <v>1026.8699999999999</v>
      </c>
      <c r="Q181" s="2"/>
      <c r="R181" s="6">
        <f t="shared" si="38"/>
        <v>4.0677872640788247E-4</v>
      </c>
      <c r="S181" s="2"/>
      <c r="T181" s="7">
        <v>566.35</v>
      </c>
      <c r="U181" s="2"/>
      <c r="V181" s="6">
        <f t="shared" si="39"/>
        <v>1.442269784621945E-4</v>
      </c>
      <c r="W181" s="2"/>
      <c r="X181" s="7">
        <f t="shared" si="40"/>
        <v>460.51999999999987</v>
      </c>
      <c r="Y181" s="2"/>
      <c r="Z181" s="6">
        <f t="shared" si="41"/>
        <v>0.81313675289132137</v>
      </c>
    </row>
    <row r="182" spans="1:26" s="24" customFormat="1" hidden="1" outlineLevel="2" x14ac:dyDescent="0.25">
      <c r="A182" s="29"/>
      <c r="B182" s="11" t="str">
        <f>CONCATENATE("          ", "6118", " - ", "VACATION")</f>
        <v xml:space="preserve">          6118 - VACATION</v>
      </c>
      <c r="C182" s="11"/>
      <c r="D182" s="7">
        <v>5248.76</v>
      </c>
      <c r="E182" s="2"/>
      <c r="F182" s="6">
        <f t="shared" si="34"/>
        <v>2.5128590273858276E-3</v>
      </c>
      <c r="G182" s="2"/>
      <c r="H182" s="7">
        <v>4856.16</v>
      </c>
      <c r="I182" s="2"/>
      <c r="J182" s="6">
        <f t="shared" si="35"/>
        <v>1.5154091105147734E-3</v>
      </c>
      <c r="K182" s="2"/>
      <c r="L182" s="7">
        <f t="shared" si="36"/>
        <v>392.60000000000036</v>
      </c>
      <c r="M182" s="2"/>
      <c r="N182" s="6">
        <f t="shared" si="37"/>
        <v>8.0845771144278683E-2</v>
      </c>
      <c r="O182" s="11"/>
      <c r="P182" s="7">
        <v>10240.26</v>
      </c>
      <c r="Q182" s="2"/>
      <c r="R182" s="6">
        <f t="shared" si="38"/>
        <v>4.0565211963399291E-3</v>
      </c>
      <c r="S182" s="2"/>
      <c r="T182" s="7">
        <v>12504.39</v>
      </c>
      <c r="U182" s="2"/>
      <c r="V182" s="6">
        <f t="shared" si="39"/>
        <v>3.184374304251576E-3</v>
      </c>
      <c r="W182" s="2"/>
      <c r="X182" s="7">
        <f t="shared" si="40"/>
        <v>-2264.1299999999992</v>
      </c>
      <c r="Y182" s="2"/>
      <c r="Z182" s="6">
        <f t="shared" si="41"/>
        <v>-0.18106680933656094</v>
      </c>
    </row>
    <row r="183" spans="1:26" s="24" customFormat="1" hidden="1" outlineLevel="2" x14ac:dyDescent="0.25">
      <c r="A183" s="29"/>
      <c r="B183" s="11" t="str">
        <f>CONCATENATE("          ", "6119", " - ", "SICK LEAVE")</f>
        <v xml:space="preserve">          6119 - SICK LEAVE</v>
      </c>
      <c r="C183" s="11"/>
      <c r="D183" s="7">
        <v>3875.78</v>
      </c>
      <c r="E183" s="2"/>
      <c r="F183" s="6">
        <f t="shared" si="34"/>
        <v>1.8555408822581798E-3</v>
      </c>
      <c r="G183" s="2"/>
      <c r="H183" s="7">
        <v>3452.28</v>
      </c>
      <c r="I183" s="2"/>
      <c r="J183" s="6">
        <f t="shared" si="35"/>
        <v>1.0773155258574558E-3</v>
      </c>
      <c r="K183" s="2"/>
      <c r="L183" s="7">
        <f t="shared" si="36"/>
        <v>423.5</v>
      </c>
      <c r="M183" s="2"/>
      <c r="N183" s="6">
        <f t="shared" si="37"/>
        <v>0.12267255263188385</v>
      </c>
      <c r="O183" s="11"/>
      <c r="P183" s="7">
        <v>7468.33</v>
      </c>
      <c r="Q183" s="2"/>
      <c r="R183" s="6">
        <f t="shared" si="38"/>
        <v>2.9584638423498411E-3</v>
      </c>
      <c r="S183" s="2"/>
      <c r="T183" s="7">
        <v>11831.98</v>
      </c>
      <c r="U183" s="2"/>
      <c r="V183" s="6">
        <f t="shared" si="39"/>
        <v>3.0131380323565214E-3</v>
      </c>
      <c r="W183" s="2"/>
      <c r="X183" s="7">
        <f t="shared" si="40"/>
        <v>-4363.6499999999996</v>
      </c>
      <c r="Y183" s="2"/>
      <c r="Z183" s="6">
        <f t="shared" si="41"/>
        <v>-0.36880133333558712</v>
      </c>
    </row>
    <row r="184" spans="1:26" s="24" customFormat="1" hidden="1" outlineLevel="2" x14ac:dyDescent="0.25">
      <c r="A184" s="29"/>
      <c r="B184" s="11" t="str">
        <f>CONCATENATE("          ", "6156", " - ", "EMPLOYEE MEALS")</f>
        <v xml:space="preserve">          6156 - EMPLOYEE MEALS</v>
      </c>
      <c r="C184" s="11"/>
      <c r="D184" s="7">
        <v>1610.97</v>
      </c>
      <c r="E184" s="2"/>
      <c r="F184" s="6">
        <f t="shared" si="34"/>
        <v>7.7125654580276995E-4</v>
      </c>
      <c r="G184" s="2"/>
      <c r="H184" s="7">
        <v>2067.3200000000002</v>
      </c>
      <c r="I184" s="2"/>
      <c r="J184" s="6">
        <f t="shared" si="35"/>
        <v>6.4512610011807723E-4</v>
      </c>
      <c r="K184" s="2"/>
      <c r="L184" s="7">
        <f t="shared" si="36"/>
        <v>-456.35000000000014</v>
      </c>
      <c r="M184" s="2"/>
      <c r="N184" s="6">
        <f t="shared" si="37"/>
        <v>-0.22074473231043096</v>
      </c>
      <c r="O184" s="11"/>
      <c r="P184" s="7">
        <v>2805.22</v>
      </c>
      <c r="Q184" s="2"/>
      <c r="R184" s="6">
        <f t="shared" si="38"/>
        <v>1.1112446744903641E-3</v>
      </c>
      <c r="S184" s="2"/>
      <c r="T184" s="7">
        <v>3947.03</v>
      </c>
      <c r="U184" s="2"/>
      <c r="V184" s="6">
        <f t="shared" si="39"/>
        <v>1.0051526631934945E-3</v>
      </c>
      <c r="W184" s="2"/>
      <c r="X184" s="7">
        <f t="shared" si="40"/>
        <v>-1141.8100000000004</v>
      </c>
      <c r="Y184" s="2"/>
      <c r="Z184" s="6">
        <f t="shared" si="41"/>
        <v>-0.28928333455788285</v>
      </c>
    </row>
    <row r="185" spans="1:26" s="28" customFormat="1" outlineLevel="1" collapsed="1" x14ac:dyDescent="0.25">
      <c r="A185" s="27"/>
      <c r="B185" s="14" t="str">
        <f>CONCATENATE("     ","*Payroll                                          ")</f>
        <v xml:space="preserve">     *Payroll                                          </v>
      </c>
      <c r="C185" s="14"/>
      <c r="D185" s="1">
        <f>SUM(OSRRefD22_1x_0)</f>
        <v>169225.68</v>
      </c>
      <c r="E185" s="1"/>
      <c r="F185" s="5">
        <f t="shared" ref="F185:F192" si="42">IF(D$12=0,0,D185/D$12)</f>
        <v>8.1017283635278672E-2</v>
      </c>
      <c r="G185" s="1"/>
      <c r="H185" s="1">
        <f>SUM(OSRRefH22_1x_0)</f>
        <v>233208.95</v>
      </c>
      <c r="I185" s="1"/>
      <c r="J185" s="5">
        <f t="shared" ref="J185:J192" si="43">IF(H$12=0,0,H185/H$12)</f>
        <v>7.2774984243431914E-2</v>
      </c>
      <c r="K185" s="1"/>
      <c r="L185" s="1">
        <f t="shared" ref="L185:L192" si="44">+D185-H185</f>
        <v>-63983.270000000019</v>
      </c>
      <c r="M185" s="1"/>
      <c r="N185" s="5">
        <f t="shared" ref="N185:N192" si="45">IF(H185=0,0,L185/H185)</f>
        <v>-0.27436026790567009</v>
      </c>
      <c r="O185" s="14"/>
      <c r="P185" s="1">
        <f>SUM(OSRRefP22_1x_0)</f>
        <v>296121.06</v>
      </c>
      <c r="Q185" s="1"/>
      <c r="R185" s="5">
        <f t="shared" ref="R185:R192" si="46">IF(P$12=0,0,P185/P$12)</f>
        <v>0.11730379468613569</v>
      </c>
      <c r="S185" s="1"/>
      <c r="T185" s="1">
        <f>SUM(OSRRefT22_1x_0)</f>
        <v>411420.26</v>
      </c>
      <c r="U185" s="1"/>
      <c r="V185" s="5">
        <f t="shared" ref="V185:V192" si="47">IF(T$12=0,0,T185/T$12)</f>
        <v>0.10477249223612688</v>
      </c>
      <c r="W185" s="1"/>
      <c r="X185" s="1">
        <f t="shared" ref="X185:X192" si="48">+P185-T185</f>
        <v>-115299.20000000001</v>
      </c>
      <c r="Y185" s="1"/>
      <c r="Z185" s="5">
        <f t="shared" ref="Z185:Z192" si="49">IF(T185=0,0,X185/T185)</f>
        <v>-0.28024677248514696</v>
      </c>
    </row>
    <row r="186" spans="1:26" s="24" customFormat="1" hidden="1" outlineLevel="2" x14ac:dyDescent="0.25">
      <c r="A186" s="29"/>
      <c r="B186" s="11" t="str">
        <f>CONCATENATE("          ", "6001", " - ", "ADMINISTRATIVE SALARIES")</f>
        <v xml:space="preserve">          6001 - ADMINISTRATIVE SALARIES</v>
      </c>
      <c r="C186" s="11"/>
      <c r="D186" s="7">
        <v>4205.74</v>
      </c>
      <c r="E186" s="2"/>
      <c r="F186" s="6">
        <f t="shared" si="42"/>
        <v>2.0135101863750049E-3</v>
      </c>
      <c r="G186" s="2"/>
      <c r="H186" s="7">
        <v>10181.280000000001</v>
      </c>
      <c r="I186" s="2"/>
      <c r="J186" s="6">
        <f t="shared" si="43"/>
        <v>3.1771614750547459E-3</v>
      </c>
      <c r="K186" s="2"/>
      <c r="L186" s="7">
        <f t="shared" si="44"/>
        <v>-5975.5400000000009</v>
      </c>
      <c r="M186" s="2"/>
      <c r="N186" s="6">
        <f t="shared" si="45"/>
        <v>-0.58691441547624668</v>
      </c>
      <c r="O186" s="11"/>
      <c r="P186" s="7">
        <v>8731.59</v>
      </c>
      <c r="Q186" s="2"/>
      <c r="R186" s="6">
        <f t="shared" si="46"/>
        <v>3.4588848244819725E-3</v>
      </c>
      <c r="S186" s="2"/>
      <c r="T186" s="7">
        <v>23041.56</v>
      </c>
      <c r="U186" s="2"/>
      <c r="V186" s="6">
        <f t="shared" si="47"/>
        <v>5.8677753648015583E-3</v>
      </c>
      <c r="W186" s="2"/>
      <c r="X186" s="7">
        <f t="shared" si="48"/>
        <v>-14309.970000000001</v>
      </c>
      <c r="Y186" s="2"/>
      <c r="Z186" s="6">
        <f t="shared" si="49"/>
        <v>-0.62105039762932723</v>
      </c>
    </row>
    <row r="187" spans="1:26" s="24" customFormat="1" hidden="1" outlineLevel="2" x14ac:dyDescent="0.25">
      <c r="A187" s="29"/>
      <c r="B187" s="11" t="str">
        <f>CONCATENATE("          ", "6002", " - ", "STAFF SALARIES")</f>
        <v xml:space="preserve">          6002 - STAFF SALARIES</v>
      </c>
      <c r="C187" s="11"/>
      <c r="D187" s="7">
        <v>56112.83</v>
      </c>
      <c r="E187" s="2"/>
      <c r="F187" s="6">
        <f t="shared" si="42"/>
        <v>2.6864179619122668E-2</v>
      </c>
      <c r="G187" s="2"/>
      <c r="H187" s="7">
        <v>59133.149999999994</v>
      </c>
      <c r="I187" s="2"/>
      <c r="J187" s="6">
        <f t="shared" si="43"/>
        <v>1.845303990054625E-2</v>
      </c>
      <c r="K187" s="2"/>
      <c r="L187" s="7">
        <f t="shared" si="44"/>
        <v>-3020.3199999999924</v>
      </c>
      <c r="M187" s="2"/>
      <c r="N187" s="6">
        <f t="shared" si="45"/>
        <v>-5.1076595784259639E-2</v>
      </c>
      <c r="O187" s="11"/>
      <c r="P187" s="7">
        <v>123174.29999999999</v>
      </c>
      <c r="Q187" s="2"/>
      <c r="R187" s="6">
        <f t="shared" si="46"/>
        <v>4.8793600825988138E-2</v>
      </c>
      <c r="S187" s="2"/>
      <c r="T187" s="7">
        <v>126412.16</v>
      </c>
      <c r="U187" s="2"/>
      <c r="V187" s="6">
        <f t="shared" si="47"/>
        <v>3.219218482860331E-2</v>
      </c>
      <c r="W187" s="2"/>
      <c r="X187" s="7">
        <f t="shared" si="48"/>
        <v>-3237.8600000000151</v>
      </c>
      <c r="Y187" s="2"/>
      <c r="Z187" s="6">
        <f t="shared" si="49"/>
        <v>-2.5613516927485577E-2</v>
      </c>
    </row>
    <row r="188" spans="1:26" s="24" customFormat="1" hidden="1" outlineLevel="2" x14ac:dyDescent="0.25">
      <c r="A188" s="29"/>
      <c r="B188" s="11" t="str">
        <f>CONCATENATE("          ", "6004", " - ", "STAFF HOURLY")</f>
        <v xml:space="preserve">          6004 - STAFF HOURLY</v>
      </c>
      <c r="C188" s="11"/>
      <c r="D188" s="7">
        <v>17687.32</v>
      </c>
      <c r="E188" s="2"/>
      <c r="F188" s="6">
        <f t="shared" si="42"/>
        <v>8.4678555948951555E-3</v>
      </c>
      <c r="G188" s="2"/>
      <c r="H188" s="7">
        <v>2830.32</v>
      </c>
      <c r="I188" s="2"/>
      <c r="J188" s="6">
        <f t="shared" si="43"/>
        <v>8.8322722350008529E-4</v>
      </c>
      <c r="K188" s="2"/>
      <c r="L188" s="7">
        <f t="shared" si="44"/>
        <v>14857</v>
      </c>
      <c r="M188" s="2"/>
      <c r="N188" s="6">
        <f t="shared" si="45"/>
        <v>5.2492297690720484</v>
      </c>
      <c r="O188" s="11"/>
      <c r="P188" s="7">
        <v>36424.590000000004</v>
      </c>
      <c r="Q188" s="2"/>
      <c r="R188" s="6">
        <f t="shared" si="46"/>
        <v>1.4429040024666506E-2</v>
      </c>
      <c r="S188" s="2"/>
      <c r="T188" s="7">
        <v>4836.25</v>
      </c>
      <c r="U188" s="2"/>
      <c r="V188" s="6">
        <f t="shared" si="47"/>
        <v>1.2316018797347719E-3</v>
      </c>
      <c r="W188" s="2"/>
      <c r="X188" s="7">
        <f t="shared" si="48"/>
        <v>31588.340000000004</v>
      </c>
      <c r="Y188" s="2"/>
      <c r="Z188" s="6">
        <f t="shared" si="49"/>
        <v>6.5315771517187908</v>
      </c>
    </row>
    <row r="189" spans="1:26" s="24" customFormat="1" hidden="1" outlineLevel="2" x14ac:dyDescent="0.25">
      <c r="A189" s="29"/>
      <c r="B189" s="11" t="str">
        <f>CONCATENATE("          ", "6005", " - ", "TEMPORARY WAGES-HOURLY")</f>
        <v xml:space="preserve">          6005 - TEMPORARY WAGES-HOURLY</v>
      </c>
      <c r="C189" s="11"/>
      <c r="D189" s="7">
        <v>22505.489999999998</v>
      </c>
      <c r="E189" s="2"/>
      <c r="F189" s="6">
        <f t="shared" si="42"/>
        <v>1.0774568414681079E-2</v>
      </c>
      <c r="G189" s="2"/>
      <c r="H189" s="7">
        <v>20201.240000000002</v>
      </c>
      <c r="I189" s="2"/>
      <c r="J189" s="6">
        <f t="shared" si="43"/>
        <v>6.3039815697372957E-3</v>
      </c>
      <c r="K189" s="2"/>
      <c r="L189" s="7">
        <f t="shared" si="44"/>
        <v>2304.2499999999964</v>
      </c>
      <c r="M189" s="2"/>
      <c r="N189" s="6">
        <f t="shared" si="45"/>
        <v>0.11406478018181043</v>
      </c>
      <c r="O189" s="11"/>
      <c r="P189" s="7">
        <v>34891.040000000001</v>
      </c>
      <c r="Q189" s="2"/>
      <c r="R189" s="6">
        <f t="shared" si="46"/>
        <v>1.3821547824209964E-2</v>
      </c>
      <c r="S189" s="2"/>
      <c r="T189" s="7">
        <v>40013.58</v>
      </c>
      <c r="U189" s="2"/>
      <c r="V189" s="6">
        <f t="shared" si="47"/>
        <v>1.0189878592487501E-2</v>
      </c>
      <c r="W189" s="2"/>
      <c r="X189" s="7">
        <f t="shared" si="48"/>
        <v>-5122.5400000000009</v>
      </c>
      <c r="Y189" s="2"/>
      <c r="Z189" s="6">
        <f t="shared" si="49"/>
        <v>-0.12802003719737151</v>
      </c>
    </row>
    <row r="190" spans="1:26" s="24" customFormat="1" hidden="1" outlineLevel="2" x14ac:dyDescent="0.25">
      <c r="A190" s="29"/>
      <c r="B190" s="11" t="str">
        <f>CONCATENATE("          ", "6006", " - ", "TEMPORARY PART TIME")</f>
        <v xml:space="preserve">          6006 - TEMPORARY PART TIME</v>
      </c>
      <c r="C190" s="11"/>
      <c r="D190" s="7">
        <v>1927.34</v>
      </c>
      <c r="E190" s="2"/>
      <c r="F190" s="6">
        <f t="shared" si="42"/>
        <v>9.2271959812256625E-4</v>
      </c>
      <c r="G190" s="2"/>
      <c r="H190" s="7">
        <v>6585.94</v>
      </c>
      <c r="I190" s="2"/>
      <c r="J190" s="6">
        <f t="shared" si="43"/>
        <v>2.0552027687110118E-3</v>
      </c>
      <c r="K190" s="2"/>
      <c r="L190" s="7">
        <f t="shared" si="44"/>
        <v>-4658.5999999999995</v>
      </c>
      <c r="M190" s="2"/>
      <c r="N190" s="6">
        <f t="shared" si="45"/>
        <v>-0.7073553661284494</v>
      </c>
      <c r="O190" s="11"/>
      <c r="P190" s="7">
        <v>3975.55</v>
      </c>
      <c r="Q190" s="2"/>
      <c r="R190" s="6">
        <f t="shared" si="46"/>
        <v>1.5748528691760957E-3</v>
      </c>
      <c r="S190" s="2"/>
      <c r="T190" s="7">
        <v>11225.82</v>
      </c>
      <c r="U190" s="2"/>
      <c r="V190" s="6">
        <f t="shared" si="47"/>
        <v>2.8587730190879706E-3</v>
      </c>
      <c r="W190" s="2"/>
      <c r="X190" s="7">
        <f t="shared" si="48"/>
        <v>-7250.2699999999995</v>
      </c>
      <c r="Y190" s="2"/>
      <c r="Z190" s="6">
        <f t="shared" si="49"/>
        <v>-0.64585660557536106</v>
      </c>
    </row>
    <row r="191" spans="1:26" s="24" customFormat="1" hidden="1" outlineLevel="2" x14ac:dyDescent="0.25">
      <c r="A191" s="29"/>
      <c r="B191" s="11" t="str">
        <f>CONCATENATE("          ", "6007", " - ", "STUDENT HOURLY")</f>
        <v xml:space="preserve">          6007 - STUDENT HOURLY</v>
      </c>
      <c r="C191" s="11"/>
      <c r="D191" s="7">
        <v>66353.929999999993</v>
      </c>
      <c r="E191" s="2"/>
      <c r="F191" s="6">
        <f t="shared" si="42"/>
        <v>3.1767135857426756E-2</v>
      </c>
      <c r="G191" s="2"/>
      <c r="H191" s="7">
        <v>132630.02000000002</v>
      </c>
      <c r="I191" s="2"/>
      <c r="J191" s="6">
        <f t="shared" si="43"/>
        <v>4.1388409903247964E-2</v>
      </c>
      <c r="K191" s="2"/>
      <c r="L191" s="7">
        <f t="shared" si="44"/>
        <v>-66276.090000000026</v>
      </c>
      <c r="M191" s="2"/>
      <c r="N191" s="6">
        <f t="shared" si="45"/>
        <v>-0.49970655210637843</v>
      </c>
      <c r="O191" s="11"/>
      <c r="P191" s="7">
        <v>88490.96</v>
      </c>
      <c r="Q191" s="2"/>
      <c r="R191" s="6">
        <f t="shared" si="46"/>
        <v>3.5054330156116038E-2</v>
      </c>
      <c r="S191" s="2"/>
      <c r="T191" s="7">
        <v>203928.88999999998</v>
      </c>
      <c r="U191" s="2"/>
      <c r="V191" s="6">
        <f t="shared" si="47"/>
        <v>5.1932634635559687E-2</v>
      </c>
      <c r="W191" s="2"/>
      <c r="X191" s="7">
        <f t="shared" si="48"/>
        <v>-115437.92999999998</v>
      </c>
      <c r="Y191" s="2"/>
      <c r="Z191" s="6">
        <f t="shared" si="49"/>
        <v>-0.56606952550960277</v>
      </c>
    </row>
    <row r="192" spans="1:26" s="24" customFormat="1" hidden="1" outlineLevel="2" x14ac:dyDescent="0.25">
      <c r="A192" s="29"/>
      <c r="B192" s="11" t="str">
        <f>CONCATENATE("          ", "6008", " - ", "STUDENT HOURLY-FICA EXEMPT")</f>
        <v xml:space="preserve">          6008 - STUDENT HOURLY-FICA EXEMPT</v>
      </c>
      <c r="C192" s="11"/>
      <c r="D192" s="7">
        <v>433.03</v>
      </c>
      <c r="E192" s="2"/>
      <c r="F192" s="6">
        <f t="shared" si="42"/>
        <v>2.0731436465543955E-4</v>
      </c>
      <c r="G192" s="2"/>
      <c r="H192" s="7">
        <v>1647</v>
      </c>
      <c r="I192" s="2"/>
      <c r="J192" s="6">
        <f t="shared" si="43"/>
        <v>5.1396140263455738E-4</v>
      </c>
      <c r="K192" s="2"/>
      <c r="L192" s="7">
        <f t="shared" si="44"/>
        <v>-1213.97</v>
      </c>
      <c r="M192" s="2"/>
      <c r="N192" s="6">
        <f t="shared" si="45"/>
        <v>-0.73707953855494845</v>
      </c>
      <c r="O192" s="11"/>
      <c r="P192" s="7">
        <v>433.03</v>
      </c>
      <c r="Q192" s="2"/>
      <c r="R192" s="6">
        <f t="shared" si="46"/>
        <v>1.7153816149698147E-4</v>
      </c>
      <c r="S192" s="2"/>
      <c r="T192" s="7">
        <v>1962</v>
      </c>
      <c r="U192" s="2"/>
      <c r="V192" s="6">
        <f t="shared" si="47"/>
        <v>4.9964391585208018E-4</v>
      </c>
      <c r="W192" s="2"/>
      <c r="X192" s="7">
        <f t="shared" si="48"/>
        <v>-1528.97</v>
      </c>
      <c r="Y192" s="2"/>
      <c r="Z192" s="6">
        <f t="shared" si="49"/>
        <v>-0.77929153924566774</v>
      </c>
    </row>
    <row r="193" spans="1:26" s="28" customFormat="1" outlineLevel="1" collapsed="1" x14ac:dyDescent="0.25">
      <c r="A193" s="27"/>
      <c r="B193" s="14" t="str">
        <f>CONCATENATE("     ","Advertising/Promo                                 ")</f>
        <v xml:space="preserve">     Advertising/Promo                                 </v>
      </c>
      <c r="C193" s="14"/>
      <c r="D193" s="1">
        <f>SUM(OSRRefD22_2x_0)</f>
        <v>9510.6</v>
      </c>
      <c r="E193" s="1"/>
      <c r="F193" s="5">
        <f t="shared" ref="F193:F201" si="50">IF(D$12=0,0,D193/D$12)</f>
        <v>4.5532272509803563E-3</v>
      </c>
      <c r="G193" s="1"/>
      <c r="H193" s="1">
        <f>SUM(OSRRefH22_2x_0)</f>
        <v>7001.29</v>
      </c>
      <c r="I193" s="1"/>
      <c r="J193" s="5">
        <f t="shared" ref="J193:J201" si="51">IF(H$12=0,0,H193/H$12)</f>
        <v>2.1848165322715845E-3</v>
      </c>
      <c r="K193" s="1"/>
      <c r="L193" s="1">
        <f t="shared" ref="L193:L201" si="52">+D193-H193</f>
        <v>2509.3100000000004</v>
      </c>
      <c r="M193" s="1"/>
      <c r="N193" s="5">
        <f t="shared" ref="N193:N201" si="53">IF(H193=0,0,L193/H193)</f>
        <v>0.35840680788826063</v>
      </c>
      <c r="O193" s="14"/>
      <c r="P193" s="1">
        <f>SUM(OSRRefP22_2x_0)</f>
        <v>12251.08</v>
      </c>
      <c r="Q193" s="1"/>
      <c r="R193" s="5">
        <f t="shared" ref="R193:R201" si="54">IF(P$12=0,0,P193/P$12)</f>
        <v>4.8530765525539562E-3</v>
      </c>
      <c r="S193" s="1"/>
      <c r="T193" s="1">
        <f>SUM(OSRRefT22_2x_0)</f>
        <v>7892.66</v>
      </c>
      <c r="U193" s="1"/>
      <c r="V193" s="5">
        <f t="shared" ref="V193:V201" si="55">IF(T$12=0,0,T193/T$12)</f>
        <v>2.0099488016763908E-3</v>
      </c>
      <c r="W193" s="1"/>
      <c r="X193" s="1">
        <f t="shared" ref="X193:X201" si="56">+P193-T193</f>
        <v>4358.42</v>
      </c>
      <c r="Y193" s="1"/>
      <c r="Z193" s="5">
        <f t="shared" ref="Z193:Z201" si="57">IF(T193=0,0,X193/T193)</f>
        <v>0.55221180185134033</v>
      </c>
    </row>
    <row r="194" spans="1:26" s="24" customFormat="1" hidden="1" outlineLevel="2" x14ac:dyDescent="0.25">
      <c r="A194" s="29"/>
      <c r="B194" s="11" t="str">
        <f>CONCATENATE("          ", "6362", " - ", "ADVERTISING EXPENSE")</f>
        <v xml:space="preserve">          6362 - ADVERTISING EXPENSE</v>
      </c>
      <c r="C194" s="11"/>
      <c r="D194" s="7">
        <v>9510.6</v>
      </c>
      <c r="E194" s="2"/>
      <c r="F194" s="6">
        <f t="shared" si="50"/>
        <v>4.5532272509803563E-3</v>
      </c>
      <c r="G194" s="2"/>
      <c r="H194" s="7">
        <v>7001.29</v>
      </c>
      <c r="I194" s="2"/>
      <c r="J194" s="6">
        <f t="shared" si="51"/>
        <v>2.1848165322715845E-3</v>
      </c>
      <c r="K194" s="2"/>
      <c r="L194" s="7">
        <f t="shared" si="52"/>
        <v>2509.3100000000004</v>
      </c>
      <c r="M194" s="2"/>
      <c r="N194" s="6">
        <f t="shared" si="53"/>
        <v>0.35840680788826063</v>
      </c>
      <c r="O194" s="11"/>
      <c r="P194" s="7">
        <v>12251.08</v>
      </c>
      <c r="Q194" s="2"/>
      <c r="R194" s="6">
        <f t="shared" si="54"/>
        <v>4.8530765525539562E-3</v>
      </c>
      <c r="S194" s="2"/>
      <c r="T194" s="7">
        <v>7892.66</v>
      </c>
      <c r="U194" s="2"/>
      <c r="V194" s="6">
        <f t="shared" si="55"/>
        <v>2.0099488016763908E-3</v>
      </c>
      <c r="W194" s="2"/>
      <c r="X194" s="7">
        <f t="shared" si="56"/>
        <v>4358.42</v>
      </c>
      <c r="Y194" s="2"/>
      <c r="Z194" s="6">
        <f t="shared" si="57"/>
        <v>0.55221180185134033</v>
      </c>
    </row>
    <row r="195" spans="1:26" s="28" customFormat="1" outlineLevel="1" collapsed="1" x14ac:dyDescent="0.25">
      <c r="A195" s="27"/>
      <c r="B195" s="14" t="str">
        <f>CONCATENATE("     ","Bad Debts/Over/Short                              ")</f>
        <v xml:space="preserve">     Bad Debts/Over/Short                              </v>
      </c>
      <c r="C195" s="14"/>
      <c r="D195" s="1">
        <f>SUM(OSRRefD22_3x_0)</f>
        <v>66.81</v>
      </c>
      <c r="E195" s="1"/>
      <c r="F195" s="5">
        <f t="shared" si="50"/>
        <v>3.1985480688704979E-5</v>
      </c>
      <c r="G195" s="1"/>
      <c r="H195" s="1">
        <f>SUM(OSRRefH22_3x_0)</f>
        <v>-63.63</v>
      </c>
      <c r="I195" s="1"/>
      <c r="J195" s="5">
        <f t="shared" si="51"/>
        <v>-1.9856323041673883E-5</v>
      </c>
      <c r="K195" s="1"/>
      <c r="L195" s="1">
        <f t="shared" si="52"/>
        <v>130.44</v>
      </c>
      <c r="M195" s="1"/>
      <c r="N195" s="5">
        <f t="shared" si="53"/>
        <v>-2.0499764262140499</v>
      </c>
      <c r="O195" s="14"/>
      <c r="P195" s="1">
        <f>SUM(OSRRefP22_3x_0)</f>
        <v>71.790000000000006</v>
      </c>
      <c r="Q195" s="1"/>
      <c r="R195" s="5">
        <f t="shared" si="54"/>
        <v>2.843850221432303E-5</v>
      </c>
      <c r="S195" s="1"/>
      <c r="T195" s="1">
        <f>SUM(OSRRefT22_3x_0)</f>
        <v>-82.33</v>
      </c>
      <c r="U195" s="1"/>
      <c r="V195" s="5">
        <f t="shared" si="55"/>
        <v>-2.0966199588227197E-5</v>
      </c>
      <c r="W195" s="1"/>
      <c r="X195" s="1">
        <f t="shared" si="56"/>
        <v>154.12</v>
      </c>
      <c r="Y195" s="1"/>
      <c r="Z195" s="5">
        <f t="shared" si="57"/>
        <v>-1.8719786226163004</v>
      </c>
    </row>
    <row r="196" spans="1:26" s="24" customFormat="1" hidden="1" outlineLevel="2" x14ac:dyDescent="0.25">
      <c r="A196" s="29"/>
      <c r="B196" s="11" t="str">
        <f>CONCATENATE("          ", "6272", " - ", "CASH (OVER/SHORT)")</f>
        <v xml:space="preserve">          6272 - CASH (OVER/SHORT)</v>
      </c>
      <c r="C196" s="11"/>
      <c r="D196" s="7">
        <v>66.81</v>
      </c>
      <c r="E196" s="2"/>
      <c r="F196" s="6">
        <f t="shared" si="50"/>
        <v>3.1985480688704979E-5</v>
      </c>
      <c r="G196" s="2"/>
      <c r="H196" s="7">
        <v>-63.63</v>
      </c>
      <c r="I196" s="2"/>
      <c r="J196" s="6">
        <f t="shared" si="51"/>
        <v>-1.9856323041673883E-5</v>
      </c>
      <c r="K196" s="2"/>
      <c r="L196" s="7">
        <f t="shared" si="52"/>
        <v>130.44</v>
      </c>
      <c r="M196" s="2"/>
      <c r="N196" s="6">
        <f t="shared" si="53"/>
        <v>-2.0499764262140499</v>
      </c>
      <c r="O196" s="11"/>
      <c r="P196" s="7">
        <v>71.790000000000006</v>
      </c>
      <c r="Q196" s="2"/>
      <c r="R196" s="6">
        <f t="shared" si="54"/>
        <v>2.843850221432303E-5</v>
      </c>
      <c r="S196" s="2"/>
      <c r="T196" s="7">
        <v>-82.33</v>
      </c>
      <c r="U196" s="2"/>
      <c r="V196" s="6">
        <f t="shared" si="55"/>
        <v>-2.0966199588227197E-5</v>
      </c>
      <c r="W196" s="2"/>
      <c r="X196" s="7">
        <f t="shared" si="56"/>
        <v>154.12</v>
      </c>
      <c r="Y196" s="2"/>
      <c r="Z196" s="6">
        <f t="shared" si="57"/>
        <v>-1.8719786226163004</v>
      </c>
    </row>
    <row r="197" spans="1:26" s="28" customFormat="1" outlineLevel="1" collapsed="1" x14ac:dyDescent="0.25">
      <c r="A197" s="27"/>
      <c r="B197" s="14" t="str">
        <f>CONCATENATE("     ","Bank/card Fees                                    ")</f>
        <v xml:space="preserve">     Bank/card Fees                                    </v>
      </c>
      <c r="C197" s="14"/>
      <c r="D197" s="1">
        <f>SUM(OSRRefD22_4x_0)</f>
        <v>22080.34</v>
      </c>
      <c r="E197" s="1"/>
      <c r="F197" s="5">
        <f t="shared" si="50"/>
        <v>1.0571026622811557E-2</v>
      </c>
      <c r="G197" s="1"/>
      <c r="H197" s="1">
        <f>SUM(OSRRefH22_4x_0)</f>
        <v>33669.619999999995</v>
      </c>
      <c r="I197" s="1"/>
      <c r="J197" s="5">
        <f t="shared" si="51"/>
        <v>1.0506912641999114E-2</v>
      </c>
      <c r="K197" s="1"/>
      <c r="L197" s="1">
        <f t="shared" si="52"/>
        <v>-11589.279999999995</v>
      </c>
      <c r="M197" s="1"/>
      <c r="N197" s="5">
        <f t="shared" si="53"/>
        <v>-0.34420584491301048</v>
      </c>
      <c r="O197" s="14"/>
      <c r="P197" s="1">
        <f>SUM(OSRRefP22_4x_0)</f>
        <v>25197.550000000003</v>
      </c>
      <c r="Q197" s="1"/>
      <c r="R197" s="5">
        <f t="shared" si="54"/>
        <v>9.9816211376308021E-3</v>
      </c>
      <c r="S197" s="1"/>
      <c r="T197" s="1">
        <f>SUM(OSRRefT22_4x_0)</f>
        <v>39455.51</v>
      </c>
      <c r="U197" s="1"/>
      <c r="V197" s="5">
        <f t="shared" si="55"/>
        <v>1.0047760203027986E-2</v>
      </c>
      <c r="W197" s="1"/>
      <c r="X197" s="1">
        <f t="shared" si="56"/>
        <v>-14257.96</v>
      </c>
      <c r="Y197" s="1"/>
      <c r="Z197" s="5">
        <f t="shared" si="57"/>
        <v>-0.36136803199350354</v>
      </c>
    </row>
    <row r="198" spans="1:26" s="24" customFormat="1" hidden="1" outlineLevel="2" x14ac:dyDescent="0.25">
      <c r="A198" s="29"/>
      <c r="B198" s="11" t="str">
        <f>CONCATENATE("          ", "6381", " - ", "BANK/CREDIT CARD FEES")</f>
        <v xml:space="preserve">          6381 - BANK/CREDIT CARD FEES</v>
      </c>
      <c r="C198" s="11"/>
      <c r="D198" s="7">
        <v>22080.34</v>
      </c>
      <c r="E198" s="2"/>
      <c r="F198" s="6">
        <f t="shared" si="50"/>
        <v>1.0571026622811557E-2</v>
      </c>
      <c r="G198" s="2"/>
      <c r="H198" s="7">
        <v>33669.619999999995</v>
      </c>
      <c r="I198" s="2"/>
      <c r="J198" s="6">
        <f t="shared" si="51"/>
        <v>1.0506912641999114E-2</v>
      </c>
      <c r="K198" s="2"/>
      <c r="L198" s="7">
        <f t="shared" si="52"/>
        <v>-11589.279999999995</v>
      </c>
      <c r="M198" s="2"/>
      <c r="N198" s="6">
        <f t="shared" si="53"/>
        <v>-0.34420584491301048</v>
      </c>
      <c r="O198" s="11"/>
      <c r="P198" s="7">
        <v>25197.550000000003</v>
      </c>
      <c r="Q198" s="2"/>
      <c r="R198" s="6">
        <f t="shared" si="54"/>
        <v>9.9816211376308021E-3</v>
      </c>
      <c r="S198" s="2"/>
      <c r="T198" s="7">
        <v>39455.51</v>
      </c>
      <c r="U198" s="2"/>
      <c r="V198" s="6">
        <f t="shared" si="55"/>
        <v>1.0047760203027986E-2</v>
      </c>
      <c r="W198" s="2"/>
      <c r="X198" s="7">
        <f t="shared" si="56"/>
        <v>-14257.96</v>
      </c>
      <c r="Y198" s="2"/>
      <c r="Z198" s="6">
        <f t="shared" si="57"/>
        <v>-0.36136803199350354</v>
      </c>
    </row>
    <row r="199" spans="1:26" s="28" customFormat="1" outlineLevel="1" collapsed="1" x14ac:dyDescent="0.25">
      <c r="A199" s="27"/>
      <c r="B199" s="14" t="str">
        <f>CONCATENATE("     ","Depreciation                                      ")</f>
        <v xml:space="preserve">     Depreciation                                      </v>
      </c>
      <c r="C199" s="14"/>
      <c r="D199" s="1">
        <f>SUM(OSRRefD22_5x_0)</f>
        <v>31369.769999999997</v>
      </c>
      <c r="E199" s="1"/>
      <c r="F199" s="5">
        <f t="shared" si="50"/>
        <v>1.5018368096753731E-2</v>
      </c>
      <c r="G199" s="1"/>
      <c r="H199" s="1">
        <f>SUM(OSRRefH22_5x_0)</f>
        <v>29887.870000000003</v>
      </c>
      <c r="I199" s="1"/>
      <c r="J199" s="5">
        <f t="shared" si="51"/>
        <v>9.3267829914749894E-3</v>
      </c>
      <c r="K199" s="1"/>
      <c r="L199" s="1">
        <f t="shared" si="52"/>
        <v>1481.8999999999942</v>
      </c>
      <c r="M199" s="1"/>
      <c r="N199" s="5">
        <f t="shared" si="53"/>
        <v>4.958198760901978E-2</v>
      </c>
      <c r="O199" s="14"/>
      <c r="P199" s="1">
        <f>SUM(OSRRefP22_5x_0)</f>
        <v>61997.070000000007</v>
      </c>
      <c r="Q199" s="1"/>
      <c r="R199" s="5">
        <f t="shared" si="54"/>
        <v>2.4559183904116728E-2</v>
      </c>
      <c r="S199" s="1"/>
      <c r="T199" s="1">
        <f>SUM(OSRRefT22_5x_0)</f>
        <v>59775.740000000005</v>
      </c>
      <c r="U199" s="1"/>
      <c r="V199" s="5">
        <f t="shared" si="55"/>
        <v>1.5222520288764436E-2</v>
      </c>
      <c r="W199" s="1"/>
      <c r="X199" s="1">
        <f t="shared" si="56"/>
        <v>2221.3300000000017</v>
      </c>
      <c r="Y199" s="1"/>
      <c r="Z199" s="5">
        <f t="shared" si="57"/>
        <v>3.7161062330637838E-2</v>
      </c>
    </row>
    <row r="200" spans="1:26" s="24" customFormat="1" hidden="1" outlineLevel="2" x14ac:dyDescent="0.25">
      <c r="A200" s="29"/>
      <c r="B200" s="11" t="str">
        <f>CONCATENATE("          ", "6321", " - ", "BUILDING DEPRECIATION")</f>
        <v xml:space="preserve">          6321 - BUILDING DEPRECIATION</v>
      </c>
      <c r="C200" s="11"/>
      <c r="D200" s="7">
        <v>16396.52</v>
      </c>
      <c r="E200" s="2"/>
      <c r="F200" s="6">
        <f t="shared" si="50"/>
        <v>7.8498813624003141E-3</v>
      </c>
      <c r="G200" s="2"/>
      <c r="H200" s="7">
        <v>16396.52</v>
      </c>
      <c r="I200" s="2"/>
      <c r="J200" s="6">
        <f t="shared" si="51"/>
        <v>5.1166839207805537E-3</v>
      </c>
      <c r="K200" s="2"/>
      <c r="L200" s="7">
        <f t="shared" si="52"/>
        <v>0</v>
      </c>
      <c r="M200" s="2"/>
      <c r="N200" s="6">
        <f t="shared" si="53"/>
        <v>0</v>
      </c>
      <c r="O200" s="11"/>
      <c r="P200" s="7">
        <v>32793.040000000001</v>
      </c>
      <c r="Q200" s="2"/>
      <c r="R200" s="6">
        <f t="shared" si="54"/>
        <v>1.2990457454441894E-2</v>
      </c>
      <c r="S200" s="2"/>
      <c r="T200" s="7">
        <v>32793.040000000001</v>
      </c>
      <c r="U200" s="2"/>
      <c r="V200" s="6">
        <f t="shared" si="55"/>
        <v>8.3510922111589697E-3</v>
      </c>
      <c r="W200" s="2"/>
      <c r="X200" s="7">
        <f t="shared" si="56"/>
        <v>0</v>
      </c>
      <c r="Y200" s="2"/>
      <c r="Z200" s="6">
        <f t="shared" si="57"/>
        <v>0</v>
      </c>
    </row>
    <row r="201" spans="1:26" s="24" customFormat="1" hidden="1" outlineLevel="2" x14ac:dyDescent="0.25">
      <c r="A201" s="29"/>
      <c r="B201" s="11" t="str">
        <f>CONCATENATE("          ", "6322", " - ", "EQUIPMENT DEPRECIATION EXPENSE")</f>
        <v xml:space="preserve">          6322 - EQUIPMENT DEPRECIATION EXPENSE</v>
      </c>
      <c r="C201" s="11"/>
      <c r="D201" s="7">
        <v>14973.249999999998</v>
      </c>
      <c r="E201" s="2"/>
      <c r="F201" s="6">
        <f t="shared" si="50"/>
        <v>7.1684867343534166E-3</v>
      </c>
      <c r="G201" s="2"/>
      <c r="H201" s="7">
        <v>13491.35</v>
      </c>
      <c r="I201" s="2"/>
      <c r="J201" s="6">
        <f t="shared" si="51"/>
        <v>4.2100990706944357E-3</v>
      </c>
      <c r="K201" s="2"/>
      <c r="L201" s="7">
        <f t="shared" si="52"/>
        <v>1481.8999999999978</v>
      </c>
      <c r="M201" s="2"/>
      <c r="N201" s="6">
        <f t="shared" si="53"/>
        <v>0.1098407498137694</v>
      </c>
      <c r="O201" s="11"/>
      <c r="P201" s="7">
        <v>29204.030000000002</v>
      </c>
      <c r="Q201" s="2"/>
      <c r="R201" s="6">
        <f t="shared" si="54"/>
        <v>1.1568726449674832E-2</v>
      </c>
      <c r="S201" s="2"/>
      <c r="T201" s="7">
        <v>26982.7</v>
      </c>
      <c r="U201" s="2"/>
      <c r="V201" s="6">
        <f t="shared" si="55"/>
        <v>6.8714280776054661E-3</v>
      </c>
      <c r="W201" s="2"/>
      <c r="X201" s="7">
        <f t="shared" si="56"/>
        <v>2221.3300000000017</v>
      </c>
      <c r="Y201" s="2"/>
      <c r="Z201" s="6">
        <f t="shared" si="57"/>
        <v>8.2324229969573157E-2</v>
      </c>
    </row>
    <row r="202" spans="1:26" s="28" customFormat="1" outlineLevel="1" collapsed="1" x14ac:dyDescent="0.25">
      <c r="A202" s="27"/>
      <c r="B202" s="14" t="str">
        <f>CONCATENATE("     ","Discounts and Markdowns                           ")</f>
        <v xml:space="preserve">     Discounts and Markdowns                           </v>
      </c>
      <c r="C202" s="14"/>
      <c r="D202" s="1">
        <f>SUM(OSRRefD22_6x_0)</f>
        <v>0</v>
      </c>
      <c r="E202" s="1"/>
      <c r="F202" s="5">
        <f t="shared" ref="F202:F204" si="58">IF(D$12=0,0,D202/D$12)</f>
        <v>0</v>
      </c>
      <c r="G202" s="1"/>
      <c r="H202" s="1">
        <f>SUM(OSRRefH22_6x_0)</f>
        <v>91708.719999999987</v>
      </c>
      <c r="I202" s="1"/>
      <c r="J202" s="5">
        <f t="shared" ref="J202:J204" si="59">IF(H$12=0,0,H202/H$12)</f>
        <v>2.8618544241056389E-2</v>
      </c>
      <c r="K202" s="1"/>
      <c r="L202" s="1">
        <f t="shared" ref="L202:L204" si="60">+D202-H202</f>
        <v>-91708.719999999987</v>
      </c>
      <c r="M202" s="1"/>
      <c r="N202" s="5">
        <f t="shared" ref="N202:N204" si="61">IF(H202=0,0,L202/H202)</f>
        <v>-1</v>
      </c>
      <c r="O202" s="14"/>
      <c r="P202" s="1">
        <f>SUM(OSRRefP22_6x_0)</f>
        <v>0</v>
      </c>
      <c r="Q202" s="1"/>
      <c r="R202" s="5">
        <f t="shared" ref="R202:R204" si="62">IF(P$12=0,0,P202/P$12)</f>
        <v>0</v>
      </c>
      <c r="S202" s="1"/>
      <c r="T202" s="1">
        <f>SUM(OSRRefT22_6x_0)</f>
        <v>129102.58</v>
      </c>
      <c r="U202" s="1"/>
      <c r="V202" s="5">
        <f t="shared" ref="V202:V204" si="63">IF(T$12=0,0,T202/T$12)</f>
        <v>3.2877328551379432E-2</v>
      </c>
      <c r="W202" s="1"/>
      <c r="X202" s="1">
        <f t="shared" ref="X202:X204" si="64">+P202-T202</f>
        <v>-129102.58</v>
      </c>
      <c r="Y202" s="1"/>
      <c r="Z202" s="5">
        <f t="shared" ref="Z202:Z204" si="65">IF(T202=0,0,X202/T202)</f>
        <v>-1</v>
      </c>
    </row>
    <row r="203" spans="1:26" s="24" customFormat="1" hidden="1" outlineLevel="2" x14ac:dyDescent="0.25">
      <c r="A203" s="29"/>
      <c r="B203" s="11" t="str">
        <f>CONCATENATE("          ", "6382", " - ", "DISCOUNTS/MARK DOWNS")</f>
        <v xml:space="preserve">          6382 - DISCOUNTS/MARK DOWNS</v>
      </c>
      <c r="C203" s="11"/>
      <c r="D203" s="7"/>
      <c r="E203" s="2"/>
      <c r="F203" s="6">
        <f t="shared" si="58"/>
        <v>0</v>
      </c>
      <c r="G203" s="2"/>
      <c r="H203" s="7">
        <v>92514.569999999992</v>
      </c>
      <c r="I203" s="2"/>
      <c r="J203" s="6">
        <f t="shared" si="59"/>
        <v>2.8870017098562802E-2</v>
      </c>
      <c r="K203" s="2"/>
      <c r="L203" s="7">
        <f t="shared" si="60"/>
        <v>-92514.569999999992</v>
      </c>
      <c r="M203" s="2"/>
      <c r="N203" s="6">
        <f t="shared" si="61"/>
        <v>-1</v>
      </c>
      <c r="O203" s="11"/>
      <c r="P203" s="7"/>
      <c r="Q203" s="2"/>
      <c r="R203" s="6">
        <f t="shared" si="62"/>
        <v>0</v>
      </c>
      <c r="S203" s="2"/>
      <c r="T203" s="7">
        <v>130352.14</v>
      </c>
      <c r="U203" s="2"/>
      <c r="V203" s="6">
        <f t="shared" si="63"/>
        <v>3.3195542135218435E-2</v>
      </c>
      <c r="W203" s="2"/>
      <c r="X203" s="7">
        <f t="shared" si="64"/>
        <v>-130352.14</v>
      </c>
      <c r="Y203" s="2"/>
      <c r="Z203" s="6">
        <f t="shared" si="65"/>
        <v>-1</v>
      </c>
    </row>
    <row r="204" spans="1:26" s="24" customFormat="1" hidden="1" outlineLevel="2" x14ac:dyDescent="0.25">
      <c r="A204" s="29"/>
      <c r="B204" s="11" t="str">
        <f>CONCATENATE("          ", "9175", " - ", "EARNED DISCOUNTS")</f>
        <v xml:space="preserve">          9175 - EARNED DISCOUNTS</v>
      </c>
      <c r="C204" s="11"/>
      <c r="D204" s="7"/>
      <c r="E204" s="2"/>
      <c r="F204" s="6">
        <f t="shared" si="58"/>
        <v>0</v>
      </c>
      <c r="G204" s="2"/>
      <c r="H204" s="7">
        <v>-805.85</v>
      </c>
      <c r="I204" s="2"/>
      <c r="J204" s="6">
        <f t="shared" si="59"/>
        <v>-2.5147285750641048E-4</v>
      </c>
      <c r="K204" s="2"/>
      <c r="L204" s="7">
        <f t="shared" si="60"/>
        <v>805.85</v>
      </c>
      <c r="M204" s="2"/>
      <c r="N204" s="6">
        <f t="shared" si="61"/>
        <v>-1</v>
      </c>
      <c r="O204" s="11"/>
      <c r="P204" s="7"/>
      <c r="Q204" s="2"/>
      <c r="R204" s="6">
        <f t="shared" si="62"/>
        <v>0</v>
      </c>
      <c r="S204" s="2"/>
      <c r="T204" s="7">
        <v>-1249.56</v>
      </c>
      <c r="U204" s="2"/>
      <c r="V204" s="6">
        <f t="shared" si="63"/>
        <v>-3.182135838390037E-4</v>
      </c>
      <c r="W204" s="2"/>
      <c r="X204" s="7">
        <f t="shared" si="64"/>
        <v>1249.56</v>
      </c>
      <c r="Y204" s="2"/>
      <c r="Z204" s="6">
        <f t="shared" si="65"/>
        <v>-1</v>
      </c>
    </row>
    <row r="205" spans="1:26" s="28" customFormat="1" outlineLevel="1" collapsed="1" x14ac:dyDescent="0.25">
      <c r="A205" s="27"/>
      <c r="B205" s="14" t="str">
        <f>CONCATENATE("     ","Donations                                         ")</f>
        <v xml:space="preserve">     Donations                                         </v>
      </c>
      <c r="C205" s="14"/>
      <c r="D205" s="1">
        <f>SUM(OSRRefD22_7x_0)</f>
        <v>0</v>
      </c>
      <c r="E205" s="1"/>
      <c r="F205" s="5">
        <f t="shared" ref="F205:F213" si="66">IF(D$12=0,0,D205/D$12)</f>
        <v>0</v>
      </c>
      <c r="G205" s="1"/>
      <c r="H205" s="1">
        <f>SUM(OSRRefH22_7x_0)</f>
        <v>2691.56</v>
      </c>
      <c r="I205" s="1"/>
      <c r="J205" s="5">
        <f t="shared" ref="J205:J213" si="67">IF(H$12=0,0,H205/H$12)</f>
        <v>8.3992589731333891E-4</v>
      </c>
      <c r="K205" s="1"/>
      <c r="L205" s="1">
        <f t="shared" ref="L205:L213" si="68">+D205-H205</f>
        <v>-2691.56</v>
      </c>
      <c r="M205" s="1"/>
      <c r="N205" s="5">
        <f t="shared" ref="N205:N213" si="69">IF(H205=0,0,L205/H205)</f>
        <v>-1</v>
      </c>
      <c r="O205" s="14"/>
      <c r="P205" s="1">
        <f>SUM(OSRRefP22_7x_0)</f>
        <v>0</v>
      </c>
      <c r="Q205" s="1"/>
      <c r="R205" s="5">
        <f t="shared" ref="R205:R213" si="70">IF(P$12=0,0,P205/P$12)</f>
        <v>0</v>
      </c>
      <c r="S205" s="1"/>
      <c r="T205" s="1">
        <f>SUM(OSRRefT22_7x_0)</f>
        <v>3616.98</v>
      </c>
      <c r="U205" s="1"/>
      <c r="V205" s="5">
        <f t="shared" ref="V205:V213" si="71">IF(T$12=0,0,T205/T$12)</f>
        <v>9.2110196267005957E-4</v>
      </c>
      <c r="W205" s="1"/>
      <c r="X205" s="1">
        <f t="shared" ref="X205:X213" si="72">+P205-T205</f>
        <v>-3616.98</v>
      </c>
      <c r="Y205" s="1"/>
      <c r="Z205" s="5">
        <f t="shared" ref="Z205:Z213" si="73">IF(T205=0,0,X205/T205)</f>
        <v>-1</v>
      </c>
    </row>
    <row r="206" spans="1:26" s="24" customFormat="1" hidden="1" outlineLevel="2" x14ac:dyDescent="0.25">
      <c r="A206" s="29"/>
      <c r="B206" s="11" t="str">
        <f>CONCATENATE("          ", "6399", " - ", "DONATION-ON CAMPUS")</f>
        <v xml:space="preserve">          6399 - DONATION-ON CAMPUS</v>
      </c>
      <c r="C206" s="11"/>
      <c r="D206" s="7"/>
      <c r="E206" s="2"/>
      <c r="F206" s="6">
        <f t="shared" si="66"/>
        <v>0</v>
      </c>
      <c r="G206" s="2"/>
      <c r="H206" s="7">
        <v>2691.56</v>
      </c>
      <c r="I206" s="2"/>
      <c r="J206" s="6">
        <f t="shared" si="67"/>
        <v>8.3992589731333891E-4</v>
      </c>
      <c r="K206" s="2"/>
      <c r="L206" s="7">
        <f t="shared" si="68"/>
        <v>-2691.56</v>
      </c>
      <c r="M206" s="2"/>
      <c r="N206" s="6">
        <f t="shared" si="69"/>
        <v>-1</v>
      </c>
      <c r="O206" s="11"/>
      <c r="P206" s="7"/>
      <c r="Q206" s="2"/>
      <c r="R206" s="6">
        <f t="shared" si="70"/>
        <v>0</v>
      </c>
      <c r="S206" s="2"/>
      <c r="T206" s="7">
        <v>3616.98</v>
      </c>
      <c r="U206" s="2"/>
      <c r="V206" s="6">
        <f t="shared" si="71"/>
        <v>9.2110196267005957E-4</v>
      </c>
      <c r="W206" s="2"/>
      <c r="X206" s="7">
        <f t="shared" si="72"/>
        <v>-3616.98</v>
      </c>
      <c r="Y206" s="2"/>
      <c r="Z206" s="6">
        <f t="shared" si="73"/>
        <v>-1</v>
      </c>
    </row>
    <row r="207" spans="1:26" s="28" customFormat="1" outlineLevel="1" collapsed="1" x14ac:dyDescent="0.25">
      <c r="A207" s="27"/>
      <c r="B207" s="14" t="str">
        <f>CONCATENATE("     ","Employees' Appreciation                           ")</f>
        <v xml:space="preserve">     Employees' Appreciation                           </v>
      </c>
      <c r="C207" s="14"/>
      <c r="D207" s="1">
        <f>SUM(OSRRefD22_8x_0)</f>
        <v>0</v>
      </c>
      <c r="E207" s="1"/>
      <c r="F207" s="5">
        <f t="shared" si="66"/>
        <v>0</v>
      </c>
      <c r="G207" s="1"/>
      <c r="H207" s="1">
        <f>SUM(OSRRefH22_8x_0)</f>
        <v>57.33</v>
      </c>
      <c r="I207" s="1"/>
      <c r="J207" s="5">
        <f t="shared" si="67"/>
        <v>1.7890350463290329E-5</v>
      </c>
      <c r="K207" s="1"/>
      <c r="L207" s="1">
        <f t="shared" si="68"/>
        <v>-57.33</v>
      </c>
      <c r="M207" s="1"/>
      <c r="N207" s="5">
        <f t="shared" si="69"/>
        <v>-1</v>
      </c>
      <c r="O207" s="14"/>
      <c r="P207" s="1">
        <f>SUM(OSRRefP22_8x_0)</f>
        <v>107.7</v>
      </c>
      <c r="Q207" s="1"/>
      <c r="R207" s="5">
        <f t="shared" si="70"/>
        <v>4.2663695340334168E-5</v>
      </c>
      <c r="S207" s="1"/>
      <c r="T207" s="1">
        <f>SUM(OSRRefT22_8x_0)</f>
        <v>450.87</v>
      </c>
      <c r="U207" s="1"/>
      <c r="V207" s="5">
        <f t="shared" si="71"/>
        <v>1.1481878304802618E-4</v>
      </c>
      <c r="W207" s="1"/>
      <c r="X207" s="1">
        <f t="shared" si="72"/>
        <v>-343.17</v>
      </c>
      <c r="Y207" s="1"/>
      <c r="Z207" s="5">
        <f t="shared" si="73"/>
        <v>-0.76112848492913698</v>
      </c>
    </row>
    <row r="208" spans="1:26" s="24" customFormat="1" hidden="1" outlineLevel="2" x14ac:dyDescent="0.25">
      <c r="A208" s="29"/>
      <c r="B208" s="11" t="str">
        <f>CONCATENATE("          ", "6277", " - ", "EMPLOYEE APPRECIATION")</f>
        <v xml:space="preserve">          6277 - EMPLOYEE APPRECIATION</v>
      </c>
      <c r="C208" s="11"/>
      <c r="D208" s="7"/>
      <c r="E208" s="2"/>
      <c r="F208" s="6">
        <f t="shared" si="66"/>
        <v>0</v>
      </c>
      <c r="G208" s="2"/>
      <c r="H208" s="7">
        <v>57.33</v>
      </c>
      <c r="I208" s="2"/>
      <c r="J208" s="6">
        <f t="shared" si="67"/>
        <v>1.7890350463290329E-5</v>
      </c>
      <c r="K208" s="2"/>
      <c r="L208" s="7">
        <f t="shared" si="68"/>
        <v>-57.33</v>
      </c>
      <c r="M208" s="2"/>
      <c r="N208" s="6">
        <f t="shared" si="69"/>
        <v>-1</v>
      </c>
      <c r="O208" s="11"/>
      <c r="P208" s="7">
        <v>107.7</v>
      </c>
      <c r="Q208" s="2"/>
      <c r="R208" s="6">
        <f t="shared" si="70"/>
        <v>4.2663695340334168E-5</v>
      </c>
      <c r="S208" s="2"/>
      <c r="T208" s="7">
        <v>450.87</v>
      </c>
      <c r="U208" s="2"/>
      <c r="V208" s="6">
        <f t="shared" si="71"/>
        <v>1.1481878304802618E-4</v>
      </c>
      <c r="W208" s="2"/>
      <c r="X208" s="7">
        <f t="shared" si="72"/>
        <v>-343.17</v>
      </c>
      <c r="Y208" s="2"/>
      <c r="Z208" s="6">
        <f t="shared" si="73"/>
        <v>-0.76112848492913698</v>
      </c>
    </row>
    <row r="209" spans="1:26" s="28" customFormat="1" outlineLevel="1" collapsed="1" x14ac:dyDescent="0.25">
      <c r="A209" s="27"/>
      <c r="B209" s="14" t="str">
        <f>CONCATENATE("     ","Equipment Rental                                  ")</f>
        <v xml:space="preserve">     Equipment Rental                                  </v>
      </c>
      <c r="C209" s="14"/>
      <c r="D209" s="1">
        <f>SUM(OSRRefD22_9x_0)</f>
        <v>1388.16</v>
      </c>
      <c r="E209" s="1"/>
      <c r="F209" s="5">
        <f t="shared" si="66"/>
        <v>6.6458561402234261E-4</v>
      </c>
      <c r="G209" s="1"/>
      <c r="H209" s="1">
        <f>SUM(OSRRefH22_9x_0)</f>
        <v>1296.9000000000001</v>
      </c>
      <c r="I209" s="1"/>
      <c r="J209" s="5">
        <f t="shared" si="67"/>
        <v>4.047094979215285E-4</v>
      </c>
      <c r="K209" s="1"/>
      <c r="L209" s="1">
        <f t="shared" si="68"/>
        <v>91.259999999999991</v>
      </c>
      <c r="M209" s="1"/>
      <c r="N209" s="5">
        <f t="shared" si="69"/>
        <v>7.03678001387925E-2</v>
      </c>
      <c r="O209" s="14"/>
      <c r="P209" s="1">
        <f>SUM(OSRRefP22_9x_0)</f>
        <v>2776.32</v>
      </c>
      <c r="Q209" s="1"/>
      <c r="R209" s="5">
        <f t="shared" si="70"/>
        <v>1.0997963848400796E-3</v>
      </c>
      <c r="S209" s="1"/>
      <c r="T209" s="1">
        <f>SUM(OSRRefT22_9x_0)</f>
        <v>2593.8000000000002</v>
      </c>
      <c r="U209" s="1"/>
      <c r="V209" s="5">
        <f t="shared" si="71"/>
        <v>6.6053842453472249E-4</v>
      </c>
      <c r="W209" s="1"/>
      <c r="X209" s="1">
        <f t="shared" si="72"/>
        <v>182.51999999999998</v>
      </c>
      <c r="Y209" s="1"/>
      <c r="Z209" s="5">
        <f t="shared" si="73"/>
        <v>7.03678001387925E-2</v>
      </c>
    </row>
    <row r="210" spans="1:26" s="24" customFormat="1" hidden="1" outlineLevel="2" x14ac:dyDescent="0.25">
      <c r="A210" s="29"/>
      <c r="B210" s="11" t="str">
        <f>CONCATENATE("          ", "6351", " - ", "EQUIPMENT RENTAL")</f>
        <v xml:space="preserve">          6351 - EQUIPMENT RENTAL</v>
      </c>
      <c r="C210" s="11"/>
      <c r="D210" s="7">
        <v>1388.16</v>
      </c>
      <c r="E210" s="2"/>
      <c r="F210" s="6">
        <f t="shared" si="66"/>
        <v>6.6458561402234261E-4</v>
      </c>
      <c r="G210" s="2"/>
      <c r="H210" s="7">
        <v>1296.9000000000001</v>
      </c>
      <c r="I210" s="2"/>
      <c r="J210" s="6">
        <f t="shared" si="67"/>
        <v>4.047094979215285E-4</v>
      </c>
      <c r="K210" s="2"/>
      <c r="L210" s="7">
        <f t="shared" si="68"/>
        <v>91.259999999999991</v>
      </c>
      <c r="M210" s="2"/>
      <c r="N210" s="6">
        <f t="shared" si="69"/>
        <v>7.03678001387925E-2</v>
      </c>
      <c r="O210" s="11"/>
      <c r="P210" s="7">
        <v>2776.32</v>
      </c>
      <c r="Q210" s="2"/>
      <c r="R210" s="6">
        <f t="shared" si="70"/>
        <v>1.0997963848400796E-3</v>
      </c>
      <c r="S210" s="2"/>
      <c r="T210" s="7">
        <v>2593.8000000000002</v>
      </c>
      <c r="U210" s="2"/>
      <c r="V210" s="6">
        <f t="shared" si="71"/>
        <v>6.6053842453472249E-4</v>
      </c>
      <c r="W210" s="2"/>
      <c r="X210" s="7">
        <f t="shared" si="72"/>
        <v>182.51999999999998</v>
      </c>
      <c r="Y210" s="2"/>
      <c r="Z210" s="6">
        <f t="shared" si="73"/>
        <v>7.03678001387925E-2</v>
      </c>
    </row>
    <row r="211" spans="1:26" s="28" customFormat="1" outlineLevel="1" collapsed="1" x14ac:dyDescent="0.25">
      <c r="A211" s="27"/>
      <c r="B211" s="14" t="str">
        <f>CONCATENATE("     ","Freight out/Postage                               ")</f>
        <v xml:space="preserve">     Freight out/Postage                               </v>
      </c>
      <c r="C211" s="14"/>
      <c r="D211" s="1">
        <f>SUM(OSRRefD22_10x_0)</f>
        <v>-83561.38</v>
      </c>
      <c r="E211" s="1"/>
      <c r="F211" s="5">
        <f t="shared" si="66"/>
        <v>-4.00052523022233E-2</v>
      </c>
      <c r="G211" s="1"/>
      <c r="H211" s="1">
        <f>SUM(OSRRefH22_10x_0)</f>
        <v>-12904.009999999998</v>
      </c>
      <c r="I211" s="1"/>
      <c r="J211" s="5">
        <f t="shared" si="67"/>
        <v>-4.0268142557439912E-3</v>
      </c>
      <c r="K211" s="1"/>
      <c r="L211" s="1">
        <f t="shared" si="68"/>
        <v>-70657.37000000001</v>
      </c>
      <c r="M211" s="1"/>
      <c r="N211" s="5">
        <f t="shared" si="69"/>
        <v>5.4756133945959453</v>
      </c>
      <c r="O211" s="14"/>
      <c r="P211" s="1">
        <f>SUM(OSRRefP22_10x_0)</f>
        <v>-74622.12</v>
      </c>
      <c r="Q211" s="1"/>
      <c r="R211" s="5">
        <f t="shared" si="70"/>
        <v>-2.9560402909283721E-2</v>
      </c>
      <c r="S211" s="1"/>
      <c r="T211" s="1">
        <f>SUM(OSRRefT22_10x_0)</f>
        <v>-15135.839999999998</v>
      </c>
      <c r="U211" s="1"/>
      <c r="V211" s="5">
        <f t="shared" si="71"/>
        <v>-3.854500696896304E-3</v>
      </c>
      <c r="W211" s="1"/>
      <c r="X211" s="1">
        <f t="shared" si="72"/>
        <v>-59486.28</v>
      </c>
      <c r="Y211" s="1"/>
      <c r="Z211" s="5">
        <f t="shared" si="73"/>
        <v>3.9301604668125458</v>
      </c>
    </row>
    <row r="212" spans="1:26" s="24" customFormat="1" hidden="1" outlineLevel="2" x14ac:dyDescent="0.25">
      <c r="A212" s="29"/>
      <c r="B212" s="11" t="str">
        <f>CONCATENATE("          ", "6305", " - ", "FREIGHT OUT")</f>
        <v xml:space="preserve">          6305 - FREIGHT OUT</v>
      </c>
      <c r="C212" s="11"/>
      <c r="D212" s="7">
        <v>8415.86</v>
      </c>
      <c r="E212" s="2"/>
      <c r="F212" s="6">
        <f t="shared" si="66"/>
        <v>4.0291173104152781E-3</v>
      </c>
      <c r="G212" s="2"/>
      <c r="H212" s="7">
        <v>2860.04</v>
      </c>
      <c r="I212" s="2"/>
      <c r="J212" s="6">
        <f t="shared" si="67"/>
        <v>8.9250162112382476E-4</v>
      </c>
      <c r="K212" s="2"/>
      <c r="L212" s="7">
        <f t="shared" si="68"/>
        <v>5555.8200000000006</v>
      </c>
      <c r="M212" s="2"/>
      <c r="N212" s="6">
        <f t="shared" si="69"/>
        <v>1.9425672368218629</v>
      </c>
      <c r="O212" s="11"/>
      <c r="P212" s="7">
        <v>20510.560000000001</v>
      </c>
      <c r="Q212" s="2"/>
      <c r="R212" s="6">
        <f t="shared" si="70"/>
        <v>8.1249422757627143E-3</v>
      </c>
      <c r="S212" s="2"/>
      <c r="T212" s="7">
        <v>4277.76</v>
      </c>
      <c r="U212" s="2"/>
      <c r="V212" s="6">
        <f t="shared" si="71"/>
        <v>1.0893765328620767E-3</v>
      </c>
      <c r="W212" s="2"/>
      <c r="X212" s="7">
        <f t="shared" si="72"/>
        <v>16232.800000000001</v>
      </c>
      <c r="Y212" s="2"/>
      <c r="Z212" s="6">
        <f t="shared" si="73"/>
        <v>3.7946962896469181</v>
      </c>
    </row>
    <row r="213" spans="1:26" s="24" customFormat="1" hidden="1" outlineLevel="2" x14ac:dyDescent="0.25">
      <c r="A213" s="29"/>
      <c r="B213" s="11" t="str">
        <f>CONCATENATE("          ", "6307", " - ", "POSTAGE")</f>
        <v xml:space="preserve">          6307 - POSTAGE</v>
      </c>
      <c r="C213" s="11"/>
      <c r="D213" s="7">
        <v>-91977.24</v>
      </c>
      <c r="E213" s="2"/>
      <c r="F213" s="6">
        <f t="shared" si="66"/>
        <v>-4.4034369612638576E-2</v>
      </c>
      <c r="G213" s="2"/>
      <c r="H213" s="7">
        <v>-15764.049999999997</v>
      </c>
      <c r="I213" s="2"/>
      <c r="J213" s="6">
        <f t="shared" si="67"/>
        <v>-4.9193158768678158E-3</v>
      </c>
      <c r="K213" s="2"/>
      <c r="L213" s="7">
        <f t="shared" si="68"/>
        <v>-76213.19</v>
      </c>
      <c r="M213" s="2"/>
      <c r="N213" s="6">
        <f t="shared" si="69"/>
        <v>4.8346199104925454</v>
      </c>
      <c r="O213" s="11"/>
      <c r="P213" s="7">
        <v>-95132.68</v>
      </c>
      <c r="Q213" s="2"/>
      <c r="R213" s="6">
        <f t="shared" si="70"/>
        <v>-3.7685345185046439E-2</v>
      </c>
      <c r="S213" s="2"/>
      <c r="T213" s="7">
        <v>-19413.599999999999</v>
      </c>
      <c r="U213" s="2"/>
      <c r="V213" s="6">
        <f t="shared" si="71"/>
        <v>-4.9438772297583809E-3</v>
      </c>
      <c r="W213" s="2"/>
      <c r="X213" s="7">
        <f t="shared" si="72"/>
        <v>-75719.079999999987</v>
      </c>
      <c r="Y213" s="2"/>
      <c r="Z213" s="6">
        <f t="shared" si="73"/>
        <v>3.9003111220999709</v>
      </c>
    </row>
    <row r="214" spans="1:26" s="28" customFormat="1" outlineLevel="1" collapsed="1" x14ac:dyDescent="0.25">
      <c r="A214" s="27"/>
      <c r="B214" s="14" t="str">
        <f>CONCATENATE("     ","General                                           ")</f>
        <v xml:space="preserve">     General                                           </v>
      </c>
      <c r="C214" s="14"/>
      <c r="D214" s="1">
        <f>SUM(OSRRefD22_11x_0)</f>
        <v>113.26</v>
      </c>
      <c r="E214" s="1"/>
      <c r="F214" s="5">
        <f t="shared" ref="F214:F228" si="74">IF(D$12=0,0,D214/D$12)</f>
        <v>5.4223552504156954E-5</v>
      </c>
      <c r="G214" s="1"/>
      <c r="H214" s="1">
        <f>SUM(OSRRefH22_11x_0)</f>
        <v>-15111.76</v>
      </c>
      <c r="I214" s="1"/>
      <c r="J214" s="5">
        <f t="shared" ref="J214:J228" si="75">IF(H$12=0,0,H214/H$12)</f>
        <v>-4.7157628208116566E-3</v>
      </c>
      <c r="K214" s="1"/>
      <c r="L214" s="1">
        <f t="shared" ref="L214:L228" si="76">+D214-H214</f>
        <v>15225.02</v>
      </c>
      <c r="M214" s="1"/>
      <c r="N214" s="5">
        <f t="shared" ref="N214:N228" si="77">IF(H214=0,0,L214/H214)</f>
        <v>-1.0074948252222111</v>
      </c>
      <c r="O214" s="14"/>
      <c r="P214" s="1">
        <f>SUM(OSRRefP22_11x_0)</f>
        <v>-3236.98</v>
      </c>
      <c r="Q214" s="1"/>
      <c r="R214" s="5">
        <f t="shared" ref="R214:R228" si="78">IF(P$12=0,0,P214/P$12)</f>
        <v>-1.282279745058077E-3</v>
      </c>
      <c r="S214" s="1"/>
      <c r="T214" s="1">
        <f>SUM(OSRRefT22_11x_0)</f>
        <v>-14335.58</v>
      </c>
      <c r="U214" s="1"/>
      <c r="V214" s="5">
        <f t="shared" ref="V214:V228" si="79">IF(T$12=0,0,T214/T$12)</f>
        <v>-3.6507060791084421E-3</v>
      </c>
      <c r="W214" s="1"/>
      <c r="X214" s="1">
        <f t="shared" ref="X214:X228" si="80">+P214-T214</f>
        <v>11098.6</v>
      </c>
      <c r="Y214" s="1"/>
      <c r="Z214" s="5">
        <f t="shared" ref="Z214:Z228" si="81">IF(T214=0,0,X214/T214)</f>
        <v>-0.77419957894971814</v>
      </c>
    </row>
    <row r="215" spans="1:26" s="24" customFormat="1" hidden="1" outlineLevel="2" x14ac:dyDescent="0.25">
      <c r="A215" s="29"/>
      <c r="B215" s="11" t="str">
        <f>CONCATENATE("          ", "6279", " - ", "GENERAL EXPENSE")</f>
        <v xml:space="preserve">          6279 - GENERAL EXPENSE</v>
      </c>
      <c r="C215" s="11"/>
      <c r="D215" s="7">
        <v>113.26</v>
      </c>
      <c r="E215" s="2"/>
      <c r="F215" s="6">
        <f t="shared" si="74"/>
        <v>5.4223552504156954E-5</v>
      </c>
      <c r="G215" s="2"/>
      <c r="H215" s="7">
        <v>-15111.76</v>
      </c>
      <c r="I215" s="2"/>
      <c r="J215" s="6">
        <f t="shared" si="75"/>
        <v>-4.7157628208116566E-3</v>
      </c>
      <c r="K215" s="2"/>
      <c r="L215" s="7">
        <f t="shared" si="76"/>
        <v>15225.02</v>
      </c>
      <c r="M215" s="2"/>
      <c r="N215" s="6">
        <f t="shared" si="77"/>
        <v>-1.0074948252222111</v>
      </c>
      <c r="O215" s="11"/>
      <c r="P215" s="7">
        <v>-3236.98</v>
      </c>
      <c r="Q215" s="2"/>
      <c r="R215" s="6">
        <f t="shared" si="78"/>
        <v>-1.282279745058077E-3</v>
      </c>
      <c r="S215" s="2"/>
      <c r="T215" s="7">
        <v>-14335.58</v>
      </c>
      <c r="U215" s="2"/>
      <c r="V215" s="6">
        <f t="shared" si="79"/>
        <v>-3.6507060791084421E-3</v>
      </c>
      <c r="W215" s="2"/>
      <c r="X215" s="7">
        <f t="shared" si="80"/>
        <v>11098.6</v>
      </c>
      <c r="Y215" s="2"/>
      <c r="Z215" s="6">
        <f t="shared" si="81"/>
        <v>-0.77419957894971814</v>
      </c>
    </row>
    <row r="216" spans="1:26" s="28" customFormat="1" outlineLevel="1" collapsed="1" x14ac:dyDescent="0.25">
      <c r="A216" s="27"/>
      <c r="B216" s="14" t="str">
        <f>CONCATENATE("     ","Insurance                                         ")</f>
        <v xml:space="preserve">     Insurance                                         </v>
      </c>
      <c r="C216" s="14"/>
      <c r="D216" s="1">
        <f>SUM(OSRRefD22_12x_0)</f>
        <v>4044.74</v>
      </c>
      <c r="E216" s="1"/>
      <c r="F216" s="5">
        <f t="shared" si="74"/>
        <v>1.9364309708252143E-3</v>
      </c>
      <c r="G216" s="1"/>
      <c r="H216" s="1">
        <f>SUM(OSRRefH22_12x_0)</f>
        <v>4044.74</v>
      </c>
      <c r="I216" s="1"/>
      <c r="J216" s="5">
        <f t="shared" si="75"/>
        <v>1.2621980836017605E-3</v>
      </c>
      <c r="K216" s="1"/>
      <c r="L216" s="1">
        <f t="shared" si="76"/>
        <v>0</v>
      </c>
      <c r="M216" s="1"/>
      <c r="N216" s="5">
        <f t="shared" si="77"/>
        <v>0</v>
      </c>
      <c r="O216" s="14"/>
      <c r="P216" s="1">
        <f>SUM(OSRRefP22_12x_0)</f>
        <v>8089.48</v>
      </c>
      <c r="Q216" s="1"/>
      <c r="R216" s="5">
        <f t="shared" si="78"/>
        <v>3.204522842912966E-3</v>
      </c>
      <c r="S216" s="1"/>
      <c r="T216" s="1">
        <f>SUM(OSRRefT22_12x_0)</f>
        <v>8089.48</v>
      </c>
      <c r="U216" s="1"/>
      <c r="V216" s="5">
        <f t="shared" si="79"/>
        <v>2.060071082776292E-3</v>
      </c>
      <c r="W216" s="1"/>
      <c r="X216" s="1">
        <f t="shared" si="80"/>
        <v>0</v>
      </c>
      <c r="Y216" s="1"/>
      <c r="Z216" s="5">
        <f t="shared" si="81"/>
        <v>0</v>
      </c>
    </row>
    <row r="217" spans="1:26" s="24" customFormat="1" hidden="1" outlineLevel="2" x14ac:dyDescent="0.25">
      <c r="A217" s="29"/>
      <c r="B217" s="11" t="str">
        <f>CONCATENATE("          ", "6314", " - ", "LIABILITY INSURANCE")</f>
        <v xml:space="preserve">          6314 - LIABILITY INSURANCE</v>
      </c>
      <c r="C217" s="11"/>
      <c r="D217" s="7">
        <v>4044.74</v>
      </c>
      <c r="E217" s="2"/>
      <c r="F217" s="6">
        <f t="shared" si="74"/>
        <v>1.9364309708252143E-3</v>
      </c>
      <c r="G217" s="2"/>
      <c r="H217" s="7">
        <v>4044.74</v>
      </c>
      <c r="I217" s="2"/>
      <c r="J217" s="6">
        <f t="shared" si="75"/>
        <v>1.2621980836017605E-3</v>
      </c>
      <c r="K217" s="2"/>
      <c r="L217" s="7">
        <f t="shared" si="76"/>
        <v>0</v>
      </c>
      <c r="M217" s="2"/>
      <c r="N217" s="6">
        <f t="shared" si="77"/>
        <v>0</v>
      </c>
      <c r="O217" s="11"/>
      <c r="P217" s="7">
        <v>8089.48</v>
      </c>
      <c r="Q217" s="2"/>
      <c r="R217" s="6">
        <f t="shared" si="78"/>
        <v>3.204522842912966E-3</v>
      </c>
      <c r="S217" s="2"/>
      <c r="T217" s="7">
        <v>8089.48</v>
      </c>
      <c r="U217" s="2"/>
      <c r="V217" s="6">
        <f t="shared" si="79"/>
        <v>2.060071082776292E-3</v>
      </c>
      <c r="W217" s="2"/>
      <c r="X217" s="7">
        <f t="shared" si="80"/>
        <v>0</v>
      </c>
      <c r="Y217" s="2"/>
      <c r="Z217" s="6">
        <f t="shared" si="81"/>
        <v>0</v>
      </c>
    </row>
    <row r="218" spans="1:26" s="28" customFormat="1" outlineLevel="1" collapsed="1" x14ac:dyDescent="0.25">
      <c r="A218" s="27"/>
      <c r="B218" s="14" t="str">
        <f>CONCATENATE("     ","Inventory Adjustment                              ")</f>
        <v xml:space="preserve">     Inventory Adjustment                              </v>
      </c>
      <c r="C218" s="14"/>
      <c r="D218" s="1">
        <f>SUM(OSRRefD22_13x_0)</f>
        <v>3350</v>
      </c>
      <c r="E218" s="1"/>
      <c r="F218" s="5">
        <f t="shared" si="74"/>
        <v>1.6038221869055782E-3</v>
      </c>
      <c r="G218" s="1"/>
      <c r="H218" s="1">
        <f>SUM(OSRRefH22_13x_0)</f>
        <v>4250</v>
      </c>
      <c r="I218" s="1"/>
      <c r="J218" s="5">
        <f t="shared" si="75"/>
        <v>1.326251342560333E-3</v>
      </c>
      <c r="K218" s="1"/>
      <c r="L218" s="1">
        <f t="shared" si="76"/>
        <v>-900</v>
      </c>
      <c r="M218" s="1"/>
      <c r="N218" s="5">
        <f t="shared" si="77"/>
        <v>-0.21176470588235294</v>
      </c>
      <c r="O218" s="14"/>
      <c r="P218" s="1">
        <f>SUM(OSRRefP22_13x_0)</f>
        <v>6700</v>
      </c>
      <c r="Q218" s="1"/>
      <c r="R218" s="5">
        <f t="shared" si="78"/>
        <v>2.654101752834159E-3</v>
      </c>
      <c r="S218" s="1"/>
      <c r="T218" s="1">
        <f>SUM(OSRRefT22_13x_0)</f>
        <v>8400</v>
      </c>
      <c r="U218" s="1"/>
      <c r="V218" s="5">
        <f t="shared" si="79"/>
        <v>2.1391482635868876E-3</v>
      </c>
      <c r="W218" s="1"/>
      <c r="X218" s="1">
        <f t="shared" si="80"/>
        <v>-1700</v>
      </c>
      <c r="Y218" s="1"/>
      <c r="Z218" s="5">
        <f t="shared" si="81"/>
        <v>-0.20238095238095238</v>
      </c>
    </row>
    <row r="219" spans="1:26" s="24" customFormat="1" hidden="1" outlineLevel="2" x14ac:dyDescent="0.25">
      <c r="A219" s="29"/>
      <c r="B219" s="11" t="str">
        <f>CONCATENATE("          ", "6408", " - ", "INVENTORY ADJUSTMENT")</f>
        <v xml:space="preserve">          6408 - INVENTORY ADJUSTMENT</v>
      </c>
      <c r="C219" s="11"/>
      <c r="D219" s="7">
        <v>3350</v>
      </c>
      <c r="E219" s="2"/>
      <c r="F219" s="6">
        <f t="shared" si="74"/>
        <v>1.6038221869055782E-3</v>
      </c>
      <c r="G219" s="2"/>
      <c r="H219" s="7">
        <v>4250</v>
      </c>
      <c r="I219" s="2"/>
      <c r="J219" s="6">
        <f t="shared" si="75"/>
        <v>1.326251342560333E-3</v>
      </c>
      <c r="K219" s="2"/>
      <c r="L219" s="7">
        <f t="shared" si="76"/>
        <v>-900</v>
      </c>
      <c r="M219" s="2"/>
      <c r="N219" s="6">
        <f t="shared" si="77"/>
        <v>-0.21176470588235294</v>
      </c>
      <c r="O219" s="11"/>
      <c r="P219" s="7">
        <v>6700</v>
      </c>
      <c r="Q219" s="2"/>
      <c r="R219" s="6">
        <f t="shared" si="78"/>
        <v>2.654101752834159E-3</v>
      </c>
      <c r="S219" s="2"/>
      <c r="T219" s="7">
        <v>8400</v>
      </c>
      <c r="U219" s="2"/>
      <c r="V219" s="6">
        <f t="shared" si="79"/>
        <v>2.1391482635868876E-3</v>
      </c>
      <c r="W219" s="2"/>
      <c r="X219" s="7">
        <f t="shared" si="80"/>
        <v>-1700</v>
      </c>
      <c r="Y219" s="2"/>
      <c r="Z219" s="6">
        <f t="shared" si="81"/>
        <v>-0.20238095238095238</v>
      </c>
    </row>
    <row r="220" spans="1:26" s="28" customFormat="1" outlineLevel="1" collapsed="1" x14ac:dyDescent="0.25">
      <c r="A220" s="27"/>
      <c r="B220" s="14" t="str">
        <f>CONCATENATE("     ","Professional Services                             ")</f>
        <v xml:space="preserve">     Professional Services                             </v>
      </c>
      <c r="C220" s="14"/>
      <c r="D220" s="1">
        <f>SUM(OSRRefD22_14x_0)</f>
        <v>0</v>
      </c>
      <c r="E220" s="1"/>
      <c r="F220" s="5">
        <f t="shared" si="74"/>
        <v>0</v>
      </c>
      <c r="G220" s="1"/>
      <c r="H220" s="1">
        <f>SUM(OSRRefH22_14x_0)</f>
        <v>0</v>
      </c>
      <c r="I220" s="1"/>
      <c r="J220" s="5">
        <f t="shared" si="75"/>
        <v>0</v>
      </c>
      <c r="K220" s="1"/>
      <c r="L220" s="1">
        <f t="shared" si="76"/>
        <v>0</v>
      </c>
      <c r="M220" s="1"/>
      <c r="N220" s="5">
        <f t="shared" si="77"/>
        <v>0</v>
      </c>
      <c r="O220" s="14"/>
      <c r="P220" s="1">
        <f>SUM(OSRRefP22_14x_0)</f>
        <v>0</v>
      </c>
      <c r="Q220" s="1"/>
      <c r="R220" s="5">
        <f t="shared" si="78"/>
        <v>0</v>
      </c>
      <c r="S220" s="1"/>
      <c r="T220" s="1">
        <f>SUM(OSRRefT22_14x_0)</f>
        <v>6158.41</v>
      </c>
      <c r="U220" s="1"/>
      <c r="V220" s="5">
        <f t="shared" si="79"/>
        <v>1.568303816423348E-3</v>
      </c>
      <c r="W220" s="1"/>
      <c r="X220" s="1">
        <f t="shared" si="80"/>
        <v>-6158.41</v>
      </c>
      <c r="Y220" s="1"/>
      <c r="Z220" s="5">
        <f t="shared" si="81"/>
        <v>-1</v>
      </c>
    </row>
    <row r="221" spans="1:26" s="24" customFormat="1" hidden="1" outlineLevel="2" x14ac:dyDescent="0.25">
      <c r="A221" s="29"/>
      <c r="B221" s="11" t="str">
        <f>CONCATENATE("          ", "6336", " - ", "PROFESSIONAL SERVICES")</f>
        <v xml:space="preserve">          6336 - PROFESSIONAL SERVICES</v>
      </c>
      <c r="C221" s="11"/>
      <c r="D221" s="7"/>
      <c r="E221" s="2"/>
      <c r="F221" s="6">
        <f t="shared" si="74"/>
        <v>0</v>
      </c>
      <c r="G221" s="2"/>
      <c r="H221" s="7"/>
      <c r="I221" s="2"/>
      <c r="J221" s="6">
        <f t="shared" si="75"/>
        <v>0</v>
      </c>
      <c r="K221" s="2"/>
      <c r="L221" s="7">
        <f t="shared" si="76"/>
        <v>0</v>
      </c>
      <c r="M221" s="2"/>
      <c r="N221" s="6">
        <f t="shared" si="77"/>
        <v>0</v>
      </c>
      <c r="O221" s="11"/>
      <c r="P221" s="7"/>
      <c r="Q221" s="2"/>
      <c r="R221" s="6">
        <f t="shared" si="78"/>
        <v>0</v>
      </c>
      <c r="S221" s="2"/>
      <c r="T221" s="7">
        <v>6158.41</v>
      </c>
      <c r="U221" s="2"/>
      <c r="V221" s="6">
        <f t="shared" si="79"/>
        <v>1.568303816423348E-3</v>
      </c>
      <c r="W221" s="2"/>
      <c r="X221" s="7">
        <f t="shared" si="80"/>
        <v>-6158.41</v>
      </c>
      <c r="Y221" s="2"/>
      <c r="Z221" s="6">
        <f t="shared" si="81"/>
        <v>-1</v>
      </c>
    </row>
    <row r="222" spans="1:26" s="28" customFormat="1" outlineLevel="1" collapsed="1" x14ac:dyDescent="0.25">
      <c r="A222" s="27"/>
      <c r="B222" s="14" t="str">
        <f>CONCATENATE("     ","Rent                                              ")</f>
        <v xml:space="preserve">     Rent                                              </v>
      </c>
      <c r="C222" s="14"/>
      <c r="D222" s="1">
        <f>SUM(OSRRefD22_15x_0)</f>
        <v>6100</v>
      </c>
      <c r="E222" s="1"/>
      <c r="F222" s="5">
        <f t="shared" si="74"/>
        <v>2.9203926388429932E-3</v>
      </c>
      <c r="G222" s="1"/>
      <c r="H222" s="1">
        <f>SUM(OSRRefH22_15x_0)</f>
        <v>6100</v>
      </c>
      <c r="I222" s="1"/>
      <c r="J222" s="5">
        <f t="shared" si="75"/>
        <v>1.9035607504983604E-3</v>
      </c>
      <c r="K222" s="1"/>
      <c r="L222" s="1">
        <f t="shared" si="76"/>
        <v>0</v>
      </c>
      <c r="M222" s="1"/>
      <c r="N222" s="5">
        <f t="shared" si="77"/>
        <v>0</v>
      </c>
      <c r="O222" s="14"/>
      <c r="P222" s="1">
        <f>SUM(OSRRefP22_15x_0)</f>
        <v>12200</v>
      </c>
      <c r="Q222" s="1"/>
      <c r="R222" s="5">
        <f t="shared" si="78"/>
        <v>4.8328419976980206E-3</v>
      </c>
      <c r="S222" s="1"/>
      <c r="T222" s="1">
        <f>SUM(OSRRefT22_15x_0)</f>
        <v>12200</v>
      </c>
      <c r="U222" s="1"/>
      <c r="V222" s="5">
        <f t="shared" si="79"/>
        <v>3.1068581923523841E-3</v>
      </c>
      <c r="W222" s="1"/>
      <c r="X222" s="1">
        <f t="shared" si="80"/>
        <v>0</v>
      </c>
      <c r="Y222" s="1"/>
      <c r="Z222" s="5">
        <f t="shared" si="81"/>
        <v>0</v>
      </c>
    </row>
    <row r="223" spans="1:26" s="24" customFormat="1" hidden="1" outlineLevel="2" x14ac:dyDescent="0.25">
      <c r="A223" s="29"/>
      <c r="B223" s="11" t="str">
        <f>CONCATENATE("          ", "6273", " - ", "RENT")</f>
        <v xml:space="preserve">          6273 - RENT</v>
      </c>
      <c r="C223" s="11"/>
      <c r="D223" s="7">
        <v>6100</v>
      </c>
      <c r="E223" s="2"/>
      <c r="F223" s="6">
        <f t="shared" si="74"/>
        <v>2.9203926388429932E-3</v>
      </c>
      <c r="G223" s="2"/>
      <c r="H223" s="7">
        <v>6100</v>
      </c>
      <c r="I223" s="2"/>
      <c r="J223" s="6">
        <f t="shared" si="75"/>
        <v>1.9035607504983604E-3</v>
      </c>
      <c r="K223" s="2"/>
      <c r="L223" s="7">
        <f t="shared" si="76"/>
        <v>0</v>
      </c>
      <c r="M223" s="2"/>
      <c r="N223" s="6">
        <f t="shared" si="77"/>
        <v>0</v>
      </c>
      <c r="O223" s="11"/>
      <c r="P223" s="7">
        <v>12200</v>
      </c>
      <c r="Q223" s="2"/>
      <c r="R223" s="6">
        <f t="shared" si="78"/>
        <v>4.8328419976980206E-3</v>
      </c>
      <c r="S223" s="2"/>
      <c r="T223" s="7">
        <v>12200</v>
      </c>
      <c r="U223" s="2"/>
      <c r="V223" s="6">
        <f t="shared" si="79"/>
        <v>3.1068581923523841E-3</v>
      </c>
      <c r="W223" s="2"/>
      <c r="X223" s="7">
        <f t="shared" si="80"/>
        <v>0</v>
      </c>
      <c r="Y223" s="2"/>
      <c r="Z223" s="6">
        <f t="shared" si="81"/>
        <v>0</v>
      </c>
    </row>
    <row r="224" spans="1:26" s="28" customFormat="1" outlineLevel="1" collapsed="1" x14ac:dyDescent="0.25">
      <c r="A224" s="27"/>
      <c r="B224" s="14" t="str">
        <f>CONCATENATE("     ","Repair and Maintenance                            ")</f>
        <v xml:space="preserve">     Repair and Maintenance                            </v>
      </c>
      <c r="C224" s="14"/>
      <c r="D224" s="1">
        <f>SUM(OSRRefD22_16x_0)</f>
        <v>6705.0199999999995</v>
      </c>
      <c r="E224" s="1"/>
      <c r="F224" s="5">
        <f t="shared" si="74"/>
        <v>3.2100477133270564E-3</v>
      </c>
      <c r="G224" s="1"/>
      <c r="H224" s="1">
        <f>SUM(OSRRefH22_16x_0)</f>
        <v>14932.49</v>
      </c>
      <c r="I224" s="1"/>
      <c r="J224" s="5">
        <f t="shared" si="75"/>
        <v>4.6598199788867641E-3</v>
      </c>
      <c r="K224" s="1"/>
      <c r="L224" s="1">
        <f t="shared" si="76"/>
        <v>-8227.4700000000012</v>
      </c>
      <c r="M224" s="1"/>
      <c r="N224" s="5">
        <f t="shared" si="77"/>
        <v>-0.55097776727123216</v>
      </c>
      <c r="O224" s="14"/>
      <c r="P224" s="1">
        <f>SUM(OSRRefP22_16x_0)</f>
        <v>73052.790000000008</v>
      </c>
      <c r="Q224" s="1"/>
      <c r="R224" s="5">
        <f t="shared" si="78"/>
        <v>2.8938737013197872E-2</v>
      </c>
      <c r="S224" s="1"/>
      <c r="T224" s="1">
        <f>SUM(OSRRefT22_16x_0)</f>
        <v>37677.800000000003</v>
      </c>
      <c r="U224" s="1"/>
      <c r="V224" s="5">
        <f t="shared" si="79"/>
        <v>9.5950476721159573E-3</v>
      </c>
      <c r="W224" s="1"/>
      <c r="X224" s="1">
        <f t="shared" si="80"/>
        <v>35374.990000000005</v>
      </c>
      <c r="Y224" s="1"/>
      <c r="Z224" s="5">
        <f t="shared" si="81"/>
        <v>0.93888151643673468</v>
      </c>
    </row>
    <row r="225" spans="1:26" s="24" customFormat="1" hidden="1" outlineLevel="2" x14ac:dyDescent="0.25">
      <c r="A225" s="29"/>
      <c r="B225" s="11" t="str">
        <f>CONCATENATE("          ", "6371", " - ", "COMPUTER SOFTWARE MAINTENANCE")</f>
        <v xml:space="preserve">          6371 - COMPUTER SOFTWARE MAINTENANCE</v>
      </c>
      <c r="C225" s="11"/>
      <c r="D225" s="7"/>
      <c r="E225" s="2"/>
      <c r="F225" s="6">
        <f t="shared" si="74"/>
        <v>0</v>
      </c>
      <c r="G225" s="2"/>
      <c r="H225" s="7">
        <v>7887.25</v>
      </c>
      <c r="I225" s="2"/>
      <c r="J225" s="6">
        <f t="shared" si="75"/>
        <v>2.461288447437409E-3</v>
      </c>
      <c r="K225" s="2"/>
      <c r="L225" s="7">
        <f t="shared" si="76"/>
        <v>-7887.25</v>
      </c>
      <c r="M225" s="2"/>
      <c r="N225" s="6">
        <f t="shared" si="77"/>
        <v>-1</v>
      </c>
      <c r="O225" s="11"/>
      <c r="P225" s="7">
        <v>58428.780000000006</v>
      </c>
      <c r="Q225" s="2"/>
      <c r="R225" s="6">
        <f t="shared" si="78"/>
        <v>2.3145660808053952E-2</v>
      </c>
      <c r="S225" s="2"/>
      <c r="T225" s="7">
        <v>8488.25</v>
      </c>
      <c r="U225" s="2"/>
      <c r="V225" s="6">
        <f t="shared" si="79"/>
        <v>2.1616220533799283E-3</v>
      </c>
      <c r="W225" s="2"/>
      <c r="X225" s="7">
        <f t="shared" si="80"/>
        <v>49940.530000000006</v>
      </c>
      <c r="Y225" s="2"/>
      <c r="Z225" s="6">
        <f t="shared" si="81"/>
        <v>5.8834895296439207</v>
      </c>
    </row>
    <row r="226" spans="1:26" s="24" customFormat="1" hidden="1" outlineLevel="2" x14ac:dyDescent="0.25">
      <c r="A226" s="29"/>
      <c r="B226" s="11" t="str">
        <f>CONCATENATE("          ", "6372", " - ", "COMPUTER HARDWARE MAINTENANCE")</f>
        <v xml:space="preserve">          6372 - COMPUTER HARDWARE MAINTENANCE</v>
      </c>
      <c r="C226" s="11"/>
      <c r="D226" s="7">
        <v>0.98</v>
      </c>
      <c r="E226" s="2"/>
      <c r="F226" s="6">
        <f t="shared" si="74"/>
        <v>4.6917783378133331E-7</v>
      </c>
      <c r="G226" s="2"/>
      <c r="H226" s="7"/>
      <c r="I226" s="2"/>
      <c r="J226" s="6">
        <f t="shared" si="75"/>
        <v>0</v>
      </c>
      <c r="K226" s="2"/>
      <c r="L226" s="7">
        <f t="shared" si="76"/>
        <v>0.98</v>
      </c>
      <c r="M226" s="2"/>
      <c r="N226" s="6">
        <f t="shared" si="77"/>
        <v>0</v>
      </c>
      <c r="O226" s="11"/>
      <c r="P226" s="7">
        <v>0.98</v>
      </c>
      <c r="Q226" s="2"/>
      <c r="R226" s="6">
        <f t="shared" si="78"/>
        <v>3.8821189817574267E-7</v>
      </c>
      <c r="S226" s="2"/>
      <c r="T226" s="7"/>
      <c r="U226" s="2"/>
      <c r="V226" s="6">
        <f t="shared" si="79"/>
        <v>0</v>
      </c>
      <c r="W226" s="2"/>
      <c r="X226" s="7">
        <f t="shared" si="80"/>
        <v>0.98</v>
      </c>
      <c r="Y226" s="2"/>
      <c r="Z226" s="6">
        <f t="shared" si="81"/>
        <v>0</v>
      </c>
    </row>
    <row r="227" spans="1:26" s="24" customFormat="1" hidden="1" outlineLevel="2" x14ac:dyDescent="0.25">
      <c r="A227" s="29"/>
      <c r="B227" s="11" t="str">
        <f>CONCATENATE("          ", "6373", " - ", "MAINTENANCE CONTRACTS")</f>
        <v xml:space="preserve">          6373 - MAINTENANCE CONTRACTS</v>
      </c>
      <c r="C227" s="11"/>
      <c r="D227" s="7">
        <v>6370.22</v>
      </c>
      <c r="E227" s="2"/>
      <c r="F227" s="6">
        <f t="shared" si="74"/>
        <v>3.0497612452148218E-3</v>
      </c>
      <c r="G227" s="2"/>
      <c r="H227" s="7">
        <v>5896.58</v>
      </c>
      <c r="I227" s="2"/>
      <c r="J227" s="6">
        <f t="shared" si="75"/>
        <v>1.8400816803563315E-3</v>
      </c>
      <c r="K227" s="2"/>
      <c r="L227" s="7">
        <f t="shared" si="76"/>
        <v>473.64000000000033</v>
      </c>
      <c r="M227" s="2"/>
      <c r="N227" s="6">
        <f t="shared" si="77"/>
        <v>8.0324527098758994E-2</v>
      </c>
      <c r="O227" s="11"/>
      <c r="P227" s="7">
        <v>12786.23</v>
      </c>
      <c r="Q227" s="2"/>
      <c r="R227" s="6">
        <f t="shared" si="78"/>
        <v>5.0650679783792105E-3</v>
      </c>
      <c r="S227" s="2"/>
      <c r="T227" s="7">
        <v>12375.44</v>
      </c>
      <c r="U227" s="2"/>
      <c r="V227" s="6">
        <f t="shared" si="79"/>
        <v>3.1515358318004419E-3</v>
      </c>
      <c r="W227" s="2"/>
      <c r="X227" s="7">
        <f t="shared" si="80"/>
        <v>410.78999999999905</v>
      </c>
      <c r="Y227" s="2"/>
      <c r="Z227" s="6">
        <f t="shared" si="81"/>
        <v>3.3193971285061304E-2</v>
      </c>
    </row>
    <row r="228" spans="1:26" s="24" customFormat="1" hidden="1" outlineLevel="2" x14ac:dyDescent="0.25">
      <c r="A228" s="29"/>
      <c r="B228" s="11" t="str">
        <f>CONCATENATE("          ", "6375", " - ", "OUTSIDE REPAIRS &amp; MAINTENANCE")</f>
        <v xml:space="preserve">          6375 - OUTSIDE REPAIRS &amp; MAINTENANCE</v>
      </c>
      <c r="C228" s="11"/>
      <c r="D228" s="7">
        <v>333.82</v>
      </c>
      <c r="E228" s="2"/>
      <c r="F228" s="6">
        <f t="shared" si="74"/>
        <v>1.5981729027845376E-4</v>
      </c>
      <c r="G228" s="2"/>
      <c r="H228" s="7">
        <v>1148.6600000000001</v>
      </c>
      <c r="I228" s="2"/>
      <c r="J228" s="6">
        <f t="shared" si="75"/>
        <v>3.5844985109302407E-4</v>
      </c>
      <c r="K228" s="2"/>
      <c r="L228" s="7">
        <f t="shared" si="76"/>
        <v>-814.84000000000015</v>
      </c>
      <c r="M228" s="2"/>
      <c r="N228" s="6">
        <f t="shared" si="77"/>
        <v>-0.70938310727282228</v>
      </c>
      <c r="O228" s="11"/>
      <c r="P228" s="7">
        <v>1836.8</v>
      </c>
      <c r="Q228" s="2"/>
      <c r="R228" s="6">
        <f t="shared" si="78"/>
        <v>7.2762001486653476E-4</v>
      </c>
      <c r="S228" s="2"/>
      <c r="T228" s="7">
        <v>16814.11</v>
      </c>
      <c r="U228" s="2"/>
      <c r="V228" s="6">
        <f t="shared" si="79"/>
        <v>4.2818897869355858E-3</v>
      </c>
      <c r="W228" s="2"/>
      <c r="X228" s="7">
        <f t="shared" si="80"/>
        <v>-14977.310000000001</v>
      </c>
      <c r="Y228" s="2"/>
      <c r="Z228" s="6">
        <f t="shared" si="81"/>
        <v>-0.89075841659177923</v>
      </c>
    </row>
    <row r="229" spans="1:26" s="28" customFormat="1" outlineLevel="1" collapsed="1" x14ac:dyDescent="0.25">
      <c r="A229" s="27"/>
      <c r="B229" s="14" t="str">
        <f>CONCATENATE("     ","Royalty &amp; Commissions                             ")</f>
        <v xml:space="preserve">     Royalty &amp; Commissions                             </v>
      </c>
      <c r="C229" s="14"/>
      <c r="D229" s="1">
        <f>SUM(OSRRefD22_17x_0)</f>
        <v>2254.65</v>
      </c>
      <c r="E229" s="1"/>
      <c r="F229" s="5">
        <f t="shared" ref="F229:F232" si="82">IF(D$12=0,0,D229/D$12)</f>
        <v>1.0794202070766156E-3</v>
      </c>
      <c r="G229" s="1"/>
      <c r="H229" s="1">
        <f>SUM(OSRRefH22_17x_0)</f>
        <v>3785.57</v>
      </c>
      <c r="I229" s="1"/>
      <c r="J229" s="5">
        <f t="shared" ref="J229:J232" si="83">IF(H$12=0,0,H229/H$12)</f>
        <v>1.1813217164367343E-3</v>
      </c>
      <c r="K229" s="1"/>
      <c r="L229" s="1">
        <f t="shared" ref="L229:L232" si="84">+D229-H229</f>
        <v>-1530.92</v>
      </c>
      <c r="M229" s="1"/>
      <c r="N229" s="5">
        <f t="shared" ref="N229:N232" si="85">IF(H229=0,0,L229/H229)</f>
        <v>-0.4044093756026173</v>
      </c>
      <c r="O229" s="14"/>
      <c r="P229" s="1">
        <f>SUM(OSRRefP22_17x_0)</f>
        <v>13244.4</v>
      </c>
      <c r="Q229" s="1"/>
      <c r="R229" s="5">
        <f t="shared" ref="R229:R232" si="86">IF(P$12=0,0,P229/P$12)</f>
        <v>5.2465649634681694E-3</v>
      </c>
      <c r="S229" s="1"/>
      <c r="T229" s="1">
        <f>SUM(OSRRefT22_17x_0)</f>
        <v>8871.619999999999</v>
      </c>
      <c r="U229" s="1"/>
      <c r="V229" s="5">
        <f t="shared" ref="V229:V232" si="87">IF(T$12=0,0,T229/T$12)</f>
        <v>2.2592512521669881E-3</v>
      </c>
      <c r="W229" s="1"/>
      <c r="X229" s="1">
        <f t="shared" ref="X229:X232" si="88">+P229-T229</f>
        <v>4372.7800000000007</v>
      </c>
      <c r="Y229" s="1"/>
      <c r="Z229" s="5">
        <f t="shared" ref="Z229:Z232" si="89">IF(T229=0,0,X229/T229)</f>
        <v>0.49289532238756856</v>
      </c>
    </row>
    <row r="230" spans="1:26" s="24" customFormat="1" hidden="1" outlineLevel="2" x14ac:dyDescent="0.25">
      <c r="A230" s="29"/>
      <c r="B230" s="11" t="str">
        <f>CONCATENATE("          ", "6253", " - ", "ROYALTY DUE ATHLETICS-LRG")</f>
        <v xml:space="preserve">          6253 - ROYALTY DUE ATHLETICS-LRG</v>
      </c>
      <c r="C230" s="11"/>
      <c r="D230" s="7">
        <v>2250</v>
      </c>
      <c r="E230" s="2"/>
      <c r="F230" s="6">
        <f t="shared" si="82"/>
        <v>1.0771940061306121E-3</v>
      </c>
      <c r="G230" s="2"/>
      <c r="H230" s="7"/>
      <c r="I230" s="2"/>
      <c r="J230" s="6">
        <f t="shared" si="83"/>
        <v>0</v>
      </c>
      <c r="K230" s="2"/>
      <c r="L230" s="7">
        <f t="shared" si="84"/>
        <v>2250</v>
      </c>
      <c r="M230" s="2"/>
      <c r="N230" s="6">
        <f t="shared" si="85"/>
        <v>0</v>
      </c>
      <c r="O230" s="11"/>
      <c r="P230" s="7">
        <v>7922.2</v>
      </c>
      <c r="Q230" s="2"/>
      <c r="R230" s="6">
        <f t="shared" si="86"/>
        <v>3.1382574487019066E-3</v>
      </c>
      <c r="S230" s="2"/>
      <c r="T230" s="7">
        <v>4366.95</v>
      </c>
      <c r="U230" s="2"/>
      <c r="V230" s="6">
        <f t="shared" si="87"/>
        <v>1.112089703532233E-3</v>
      </c>
      <c r="W230" s="2"/>
      <c r="X230" s="7">
        <f t="shared" si="88"/>
        <v>3555.25</v>
      </c>
      <c r="Y230" s="2"/>
      <c r="Z230" s="6">
        <f t="shared" si="89"/>
        <v>0.81412656430689612</v>
      </c>
    </row>
    <row r="231" spans="1:26" s="24" customFormat="1" hidden="1" outlineLevel="2" x14ac:dyDescent="0.25">
      <c r="A231" s="29"/>
      <c r="B231" s="11" t="str">
        <f>CONCATENATE("          ", "6254", " - ", "ROYALTY &amp; COMMISSIONS")</f>
        <v xml:space="preserve">          6254 - ROYALTY &amp; COMMISSIONS</v>
      </c>
      <c r="C231" s="11"/>
      <c r="D231" s="7"/>
      <c r="E231" s="2"/>
      <c r="F231" s="6">
        <f t="shared" si="82"/>
        <v>0</v>
      </c>
      <c r="G231" s="2"/>
      <c r="H231" s="7">
        <v>136.4</v>
      </c>
      <c r="I231" s="2"/>
      <c r="J231" s="6">
        <f t="shared" si="83"/>
        <v>4.2564866617701043E-5</v>
      </c>
      <c r="K231" s="2"/>
      <c r="L231" s="7">
        <f t="shared" si="84"/>
        <v>-136.4</v>
      </c>
      <c r="M231" s="2"/>
      <c r="N231" s="6">
        <f t="shared" si="85"/>
        <v>-1</v>
      </c>
      <c r="O231" s="11"/>
      <c r="P231" s="7"/>
      <c r="Q231" s="2"/>
      <c r="R231" s="6">
        <f t="shared" si="86"/>
        <v>0</v>
      </c>
      <c r="S231" s="2"/>
      <c r="T231" s="7">
        <v>250.49</v>
      </c>
      <c r="U231" s="2"/>
      <c r="V231" s="6">
        <f t="shared" si="87"/>
        <v>6.3789910541176131E-5</v>
      </c>
      <c r="W231" s="2"/>
      <c r="X231" s="7">
        <f t="shared" si="88"/>
        <v>-250.49</v>
      </c>
      <c r="Y231" s="2"/>
      <c r="Z231" s="6">
        <f t="shared" si="89"/>
        <v>-1</v>
      </c>
    </row>
    <row r="232" spans="1:26" s="24" customFormat="1" hidden="1" outlineLevel="2" x14ac:dyDescent="0.25">
      <c r="A232" s="29"/>
      <c r="B232" s="11" t="str">
        <f>CONCATENATE("          ", "6259", " - ", "ROYALTY &amp; COMMISSIONS")</f>
        <v xml:space="preserve">          6259 - ROYALTY &amp; COMMISSIONS</v>
      </c>
      <c r="C232" s="11"/>
      <c r="D232" s="7">
        <v>4.6500000000000004</v>
      </c>
      <c r="E232" s="2"/>
      <c r="F232" s="6">
        <f t="shared" si="82"/>
        <v>2.2262009460032655E-6</v>
      </c>
      <c r="G232" s="2"/>
      <c r="H232" s="7">
        <v>3649.17</v>
      </c>
      <c r="I232" s="2"/>
      <c r="J232" s="6">
        <f t="shared" si="83"/>
        <v>1.1387568498190332E-3</v>
      </c>
      <c r="K232" s="2"/>
      <c r="L232" s="7">
        <f t="shared" si="84"/>
        <v>-3644.52</v>
      </c>
      <c r="M232" s="2"/>
      <c r="N232" s="6">
        <f t="shared" si="85"/>
        <v>-0.99872573763348926</v>
      </c>
      <c r="O232" s="11"/>
      <c r="P232" s="7">
        <v>5322.2</v>
      </c>
      <c r="Q232" s="2"/>
      <c r="R232" s="6">
        <f t="shared" si="86"/>
        <v>2.1083075147662628E-3</v>
      </c>
      <c r="S232" s="2"/>
      <c r="T232" s="7">
        <v>4254.18</v>
      </c>
      <c r="U232" s="2"/>
      <c r="V232" s="6">
        <f t="shared" si="87"/>
        <v>1.0833716380935794E-3</v>
      </c>
      <c r="W232" s="2"/>
      <c r="X232" s="7">
        <f t="shared" si="88"/>
        <v>1068.0199999999995</v>
      </c>
      <c r="Y232" s="2"/>
      <c r="Z232" s="6">
        <f t="shared" si="89"/>
        <v>0.25105190659539545</v>
      </c>
    </row>
    <row r="233" spans="1:26" s="28" customFormat="1" outlineLevel="1" collapsed="1" x14ac:dyDescent="0.25">
      <c r="A233" s="27"/>
      <c r="B233" s="14" t="str">
        <f>CONCATENATE("     ","Services                                          ")</f>
        <v xml:space="preserve">     Services                                          </v>
      </c>
      <c r="C233" s="14"/>
      <c r="D233" s="1">
        <f>SUM(OSRRefD22_18x_0)</f>
        <v>421.78</v>
      </c>
      <c r="E233" s="1"/>
      <c r="F233" s="5">
        <f t="shared" ref="F233:F237" si="90">IF(D$12=0,0,D233/D$12)</f>
        <v>2.019283946247865E-4</v>
      </c>
      <c r="G233" s="1"/>
      <c r="H233" s="1">
        <f>SUM(OSRRefH22_18x_0)</f>
        <v>4676.59</v>
      </c>
      <c r="I233" s="1"/>
      <c r="J233" s="5">
        <f t="shared" ref="J233:J237" si="91">IF(H$12=0,0,H233/H$12)</f>
        <v>1.4593726508480538E-3</v>
      </c>
      <c r="K233" s="1"/>
      <c r="L233" s="1">
        <f t="shared" ref="L233:L237" si="92">+D233-H233</f>
        <v>-4254.8100000000004</v>
      </c>
      <c r="M233" s="1"/>
      <c r="N233" s="5">
        <f t="shared" ref="N233:N237" si="93">IF(H233=0,0,L233/H233)</f>
        <v>-0.90981035327022475</v>
      </c>
      <c r="O233" s="14"/>
      <c r="P233" s="1">
        <f>SUM(OSRRefP22_18x_0)</f>
        <v>4305.5200000000004</v>
      </c>
      <c r="Q233" s="1"/>
      <c r="R233" s="5">
        <f t="shared" ref="R233:R237" si="94">IF(P$12=0,0,P233/P$12)</f>
        <v>1.7055653998302282E-3</v>
      </c>
      <c r="S233" s="1"/>
      <c r="T233" s="1">
        <f>SUM(OSRRefT22_18x_0)</f>
        <v>9305.67</v>
      </c>
      <c r="U233" s="1"/>
      <c r="V233" s="5">
        <f t="shared" ref="V233:V237" si="95">IF(T$12=0,0,T233/T$12)</f>
        <v>2.3697866454776896E-3</v>
      </c>
      <c r="W233" s="1"/>
      <c r="X233" s="1">
        <f t="shared" ref="X233:X237" si="96">+P233-T233</f>
        <v>-5000.1499999999996</v>
      </c>
      <c r="Y233" s="1"/>
      <c r="Z233" s="5">
        <f t="shared" ref="Z233:Z237" si="97">IF(T233=0,0,X233/T233)</f>
        <v>-0.53732294396856961</v>
      </c>
    </row>
    <row r="234" spans="1:26" s="24" customFormat="1" hidden="1" outlineLevel="2" x14ac:dyDescent="0.25">
      <c r="A234" s="29"/>
      <c r="B234" s="11" t="str">
        <f>CONCATENATE("          ", "6282", " - ", "JANITORIAL/EXTERMINATOR EXPENS")</f>
        <v xml:space="preserve">          6282 - JANITORIAL/EXTERMINATOR EXPENS</v>
      </c>
      <c r="C234" s="11"/>
      <c r="D234" s="7">
        <v>339.94</v>
      </c>
      <c r="E234" s="2"/>
      <c r="F234" s="6">
        <f t="shared" si="90"/>
        <v>1.6274725797512903E-4</v>
      </c>
      <c r="G234" s="2"/>
      <c r="H234" s="7">
        <v>266.5</v>
      </c>
      <c r="I234" s="2"/>
      <c r="J234" s="6">
        <f t="shared" si="91"/>
        <v>8.3163760657018536E-5</v>
      </c>
      <c r="K234" s="2"/>
      <c r="L234" s="7">
        <f t="shared" si="92"/>
        <v>73.44</v>
      </c>
      <c r="M234" s="2"/>
      <c r="N234" s="6">
        <f t="shared" si="93"/>
        <v>0.27557223264540337</v>
      </c>
      <c r="O234" s="11"/>
      <c r="P234" s="7">
        <v>476.44</v>
      </c>
      <c r="Q234" s="2"/>
      <c r="R234" s="6">
        <f t="shared" si="94"/>
        <v>1.8873436404780698E-4</v>
      </c>
      <c r="S234" s="2"/>
      <c r="T234" s="7">
        <v>533</v>
      </c>
      <c r="U234" s="2"/>
      <c r="V234" s="6">
        <f t="shared" si="95"/>
        <v>1.3573405053473941E-4</v>
      </c>
      <c r="W234" s="2"/>
      <c r="X234" s="7">
        <f t="shared" si="96"/>
        <v>-56.56</v>
      </c>
      <c r="Y234" s="2"/>
      <c r="Z234" s="6">
        <f t="shared" si="97"/>
        <v>-0.10611632270168855</v>
      </c>
    </row>
    <row r="235" spans="1:26" s="24" customFormat="1" hidden="1" outlineLevel="2" x14ac:dyDescent="0.25">
      <c r="A235" s="29"/>
      <c r="B235" s="11" t="str">
        <f>CONCATENATE("          ", "6283", " - ", "PLANT SERVICE")</f>
        <v xml:space="preserve">          6283 - PLANT SERVICE</v>
      </c>
      <c r="C235" s="11"/>
      <c r="D235" s="7"/>
      <c r="E235" s="2"/>
      <c r="F235" s="6">
        <f t="shared" si="90"/>
        <v>0</v>
      </c>
      <c r="G235" s="2"/>
      <c r="H235" s="7">
        <v>180.66</v>
      </c>
      <c r="I235" s="2"/>
      <c r="J235" s="6">
        <f t="shared" si="91"/>
        <v>5.6376604128694069E-5</v>
      </c>
      <c r="K235" s="2"/>
      <c r="L235" s="7">
        <f t="shared" si="92"/>
        <v>-180.66</v>
      </c>
      <c r="M235" s="2"/>
      <c r="N235" s="6">
        <f t="shared" si="93"/>
        <v>-1</v>
      </c>
      <c r="O235" s="11"/>
      <c r="P235" s="7">
        <v>130</v>
      </c>
      <c r="Q235" s="2"/>
      <c r="R235" s="6">
        <f t="shared" si="94"/>
        <v>5.1497496696782193E-5</v>
      </c>
      <c r="S235" s="2"/>
      <c r="T235" s="7">
        <v>361.32</v>
      </c>
      <c r="U235" s="2"/>
      <c r="V235" s="6">
        <f t="shared" si="95"/>
        <v>9.2013934595144549E-5</v>
      </c>
      <c r="W235" s="2"/>
      <c r="X235" s="7">
        <f t="shared" si="96"/>
        <v>-231.32</v>
      </c>
      <c r="Y235" s="2"/>
      <c r="Z235" s="6">
        <f t="shared" si="97"/>
        <v>-0.6402081257610982</v>
      </c>
    </row>
    <row r="236" spans="1:26" s="24" customFormat="1" hidden="1" outlineLevel="2" x14ac:dyDescent="0.25">
      <c r="A236" s="29"/>
      <c r="B236" s="11" t="str">
        <f>CONCATENATE("          ", "6284", " - ", "TRASH REMOVAL EXPENSE")</f>
        <v xml:space="preserve">          6284 - TRASH REMOVAL EXPENSE</v>
      </c>
      <c r="C236" s="11"/>
      <c r="D236" s="7">
        <v>142.57</v>
      </c>
      <c r="E236" s="2"/>
      <c r="F236" s="6">
        <f t="shared" si="90"/>
        <v>6.8255799757351723E-5</v>
      </c>
      <c r="G236" s="2"/>
      <c r="H236" s="7">
        <v>134.82</v>
      </c>
      <c r="I236" s="2"/>
      <c r="J236" s="6">
        <f t="shared" si="91"/>
        <v>4.2071813177408023E-5</v>
      </c>
      <c r="K236" s="2"/>
      <c r="L236" s="7">
        <f t="shared" si="92"/>
        <v>7.75</v>
      </c>
      <c r="M236" s="2"/>
      <c r="N236" s="6">
        <f t="shared" si="93"/>
        <v>5.7484052811155616E-2</v>
      </c>
      <c r="O236" s="11"/>
      <c r="P236" s="7">
        <v>285.14</v>
      </c>
      <c r="Q236" s="2"/>
      <c r="R236" s="6">
        <f t="shared" si="94"/>
        <v>1.129538169855421E-4</v>
      </c>
      <c r="S236" s="2"/>
      <c r="T236" s="7">
        <v>269.64</v>
      </c>
      <c r="U236" s="2"/>
      <c r="V236" s="6">
        <f t="shared" si="95"/>
        <v>6.8666659261139084E-5</v>
      </c>
      <c r="W236" s="2"/>
      <c r="X236" s="7">
        <f t="shared" si="96"/>
        <v>15.5</v>
      </c>
      <c r="Y236" s="2"/>
      <c r="Z236" s="6">
        <f t="shared" si="97"/>
        <v>5.7484052811155616E-2</v>
      </c>
    </row>
    <row r="237" spans="1:26" s="24" customFormat="1" hidden="1" outlineLevel="2" x14ac:dyDescent="0.25">
      <c r="A237" s="29"/>
      <c r="B237" s="11" t="str">
        <f>CONCATENATE("          ", "6285", " - ", "JANITORIAL SERVICES")</f>
        <v xml:space="preserve">          6285 - JANITORIAL SERVICES</v>
      </c>
      <c r="C237" s="11"/>
      <c r="D237" s="7">
        <v>-60.73</v>
      </c>
      <c r="E237" s="2"/>
      <c r="F237" s="6">
        <f t="shared" si="90"/>
        <v>-2.9074663107694256E-5</v>
      </c>
      <c r="G237" s="2"/>
      <c r="H237" s="7">
        <v>4094.61</v>
      </c>
      <c r="I237" s="2"/>
      <c r="J237" s="6">
        <f t="shared" si="91"/>
        <v>1.2777604728849332E-3</v>
      </c>
      <c r="K237" s="2"/>
      <c r="L237" s="7">
        <f t="shared" si="92"/>
        <v>-4155.34</v>
      </c>
      <c r="M237" s="2"/>
      <c r="N237" s="6">
        <f t="shared" si="93"/>
        <v>-1.0148316933725068</v>
      </c>
      <c r="O237" s="11"/>
      <c r="P237" s="7">
        <v>3413.94</v>
      </c>
      <c r="Q237" s="2"/>
      <c r="R237" s="6">
        <f t="shared" si="94"/>
        <v>1.3523797221000969E-3</v>
      </c>
      <c r="S237" s="2"/>
      <c r="T237" s="7">
        <v>8141.71</v>
      </c>
      <c r="U237" s="2"/>
      <c r="V237" s="6">
        <f t="shared" si="95"/>
        <v>2.0733720010866663E-3</v>
      </c>
      <c r="W237" s="2"/>
      <c r="X237" s="7">
        <f t="shared" si="96"/>
        <v>-4727.7700000000004</v>
      </c>
      <c r="Y237" s="2"/>
      <c r="Z237" s="6">
        <f t="shared" si="97"/>
        <v>-0.58068513862566962</v>
      </c>
    </row>
    <row r="238" spans="1:26" s="28" customFormat="1" outlineLevel="1" collapsed="1" x14ac:dyDescent="0.25">
      <c r="A238" s="27"/>
      <c r="B238" s="14" t="str">
        <f>CONCATENATE("     ","Subscriptions &amp; Dues                              ")</f>
        <v xml:space="preserve">     Subscriptions &amp; Dues                              </v>
      </c>
      <c r="C238" s="14"/>
      <c r="D238" s="1">
        <f>SUM(OSRRefD22_19x_0)</f>
        <v>270</v>
      </c>
      <c r="E238" s="1"/>
      <c r="F238" s="5">
        <f t="shared" ref="F238:F240" si="98">IF(D$12=0,0,D238/D$12)</f>
        <v>1.2926328073567346E-4</v>
      </c>
      <c r="G238" s="1"/>
      <c r="H238" s="1">
        <f>SUM(OSRRefH22_19x_0)</f>
        <v>-4470.0200000000004</v>
      </c>
      <c r="I238" s="1"/>
      <c r="J238" s="5">
        <f t="shared" ref="J238:J240" si="99">IF(H$12=0,0,H238/H$12)</f>
        <v>-1.3949105944168331E-3</v>
      </c>
      <c r="K238" s="1"/>
      <c r="L238" s="1">
        <f t="shared" ref="L238:L240" si="100">+D238-H238</f>
        <v>4740.0200000000004</v>
      </c>
      <c r="M238" s="1"/>
      <c r="N238" s="5">
        <f t="shared" ref="N238:N240" si="101">IF(H238=0,0,L238/H238)</f>
        <v>-1.0604024143068711</v>
      </c>
      <c r="O238" s="14"/>
      <c r="P238" s="1">
        <f>SUM(OSRRefP22_19x_0)</f>
        <v>635</v>
      </c>
      <c r="Q238" s="1"/>
      <c r="R238" s="5">
        <f t="shared" ref="R238:R240" si="102">IF(P$12=0,0,P238/P$12)</f>
        <v>2.5154546463428221E-4</v>
      </c>
      <c r="S238" s="1"/>
      <c r="T238" s="1">
        <f>SUM(OSRRefT22_19x_0)</f>
        <v>-4007.7699999999995</v>
      </c>
      <c r="U238" s="1"/>
      <c r="V238" s="5">
        <f t="shared" ref="V238:V240" si="103">IF(T$12=0,0,T238/T$12)</f>
        <v>-1.0206207424232881E-3</v>
      </c>
      <c r="W238" s="1"/>
      <c r="X238" s="1">
        <f t="shared" ref="X238:X240" si="104">+P238-T238</f>
        <v>4642.7699999999995</v>
      </c>
      <c r="Y238" s="1"/>
      <c r="Z238" s="5">
        <f t="shared" ref="Z238:Z240" si="105">IF(T238=0,0,X238/T238)</f>
        <v>-1.1584422259760416</v>
      </c>
    </row>
    <row r="239" spans="1:26" s="24" customFormat="1" hidden="1" outlineLevel="2" x14ac:dyDescent="0.25">
      <c r="A239" s="29"/>
      <c r="B239" s="11" t="str">
        <f>CONCATENATE("          ", "6258", " - ", "MEMBERSHIP DUES")</f>
        <v xml:space="preserve">          6258 - MEMBERSHIP DUES</v>
      </c>
      <c r="C239" s="11"/>
      <c r="D239" s="7">
        <v>270</v>
      </c>
      <c r="E239" s="2"/>
      <c r="F239" s="6">
        <f t="shared" si="98"/>
        <v>1.2926328073567346E-4</v>
      </c>
      <c r="G239" s="2"/>
      <c r="H239" s="7">
        <v>-4630</v>
      </c>
      <c r="I239" s="2"/>
      <c r="J239" s="6">
        <f t="shared" si="99"/>
        <v>-1.4448338155421982E-3</v>
      </c>
      <c r="K239" s="2"/>
      <c r="L239" s="7">
        <f t="shared" si="100"/>
        <v>4900</v>
      </c>
      <c r="M239" s="2"/>
      <c r="N239" s="6">
        <f t="shared" si="101"/>
        <v>-1.0583153347732182</v>
      </c>
      <c r="O239" s="11"/>
      <c r="P239" s="7">
        <v>560</v>
      </c>
      <c r="Q239" s="2"/>
      <c r="R239" s="6">
        <f t="shared" si="102"/>
        <v>2.2183537038613865E-4</v>
      </c>
      <c r="S239" s="2"/>
      <c r="T239" s="7">
        <v>-4341.1499999999996</v>
      </c>
      <c r="U239" s="2"/>
      <c r="V239" s="6">
        <f t="shared" si="103"/>
        <v>-1.1055194624369304E-3</v>
      </c>
      <c r="W239" s="2"/>
      <c r="X239" s="7">
        <f t="shared" si="104"/>
        <v>4901.1499999999996</v>
      </c>
      <c r="Y239" s="2"/>
      <c r="Z239" s="6">
        <f t="shared" si="105"/>
        <v>-1.1289980765465373</v>
      </c>
    </row>
    <row r="240" spans="1:26" s="24" customFormat="1" hidden="1" outlineLevel="2" x14ac:dyDescent="0.25">
      <c r="A240" s="29"/>
      <c r="B240" s="11" t="str">
        <f>CONCATENATE("          ", "6275", " - ", "SUBSCRIPTIONS")</f>
        <v xml:space="preserve">          6275 - SUBSCRIPTIONS</v>
      </c>
      <c r="C240" s="11"/>
      <c r="D240" s="7"/>
      <c r="E240" s="2"/>
      <c r="F240" s="6">
        <f t="shared" si="98"/>
        <v>0</v>
      </c>
      <c r="G240" s="2"/>
      <c r="H240" s="7">
        <v>159.97999999999999</v>
      </c>
      <c r="I240" s="2"/>
      <c r="J240" s="6">
        <f t="shared" si="99"/>
        <v>4.9923221125365193E-5</v>
      </c>
      <c r="K240" s="2"/>
      <c r="L240" s="7">
        <f t="shared" si="100"/>
        <v>-159.97999999999999</v>
      </c>
      <c r="M240" s="2"/>
      <c r="N240" s="6">
        <f t="shared" si="101"/>
        <v>-1</v>
      </c>
      <c r="O240" s="11"/>
      <c r="P240" s="7">
        <v>75</v>
      </c>
      <c r="Q240" s="2"/>
      <c r="R240" s="6">
        <f t="shared" si="102"/>
        <v>2.9710094248143569E-5</v>
      </c>
      <c r="S240" s="2"/>
      <c r="T240" s="7">
        <v>333.38</v>
      </c>
      <c r="U240" s="2"/>
      <c r="V240" s="6">
        <f t="shared" si="103"/>
        <v>8.4898720013642444E-5</v>
      </c>
      <c r="W240" s="2"/>
      <c r="X240" s="7">
        <f t="shared" si="104"/>
        <v>-258.38</v>
      </c>
      <c r="Y240" s="2"/>
      <c r="Z240" s="6">
        <f t="shared" si="105"/>
        <v>-0.77503149559061735</v>
      </c>
    </row>
    <row r="241" spans="1:26" s="28" customFormat="1" outlineLevel="1" collapsed="1" x14ac:dyDescent="0.25">
      <c r="A241" s="27"/>
      <c r="B241" s="14" t="str">
        <f>CONCATENATE("     ","Supplies                                          ")</f>
        <v xml:space="preserve">     Supplies                                          </v>
      </c>
      <c r="C241" s="14"/>
      <c r="D241" s="1">
        <f>SUM(OSRRefD22_20x_0)</f>
        <v>8805.4500000000007</v>
      </c>
      <c r="E241" s="1"/>
      <c r="F241" s="5">
        <f t="shared" ref="F241:F248" si="106">IF(D$12=0,0,D241/D$12)</f>
        <v>4.2156346494590224E-3</v>
      </c>
      <c r="G241" s="1"/>
      <c r="H241" s="1">
        <f>SUM(OSRRefH22_20x_0)</f>
        <v>5591.47</v>
      </c>
      <c r="I241" s="1"/>
      <c r="J241" s="5">
        <f t="shared" ref="J241:J248" si="107">IF(H$12=0,0,H241/H$12)</f>
        <v>1.7448693163260767E-3</v>
      </c>
      <c r="K241" s="1"/>
      <c r="L241" s="1">
        <f t="shared" ref="L241:L248" si="108">+D241-H241</f>
        <v>3213.9800000000005</v>
      </c>
      <c r="M241" s="1"/>
      <c r="N241" s="5">
        <f t="shared" ref="N241:N248" si="109">IF(H241=0,0,L241/H241)</f>
        <v>0.57480054440066752</v>
      </c>
      <c r="O241" s="14"/>
      <c r="P241" s="1">
        <f>SUM(OSRRefP22_20x_0)</f>
        <v>20993.49</v>
      </c>
      <c r="Q241" s="1"/>
      <c r="R241" s="5">
        <f t="shared" ref="R241:R248" si="110">IF(P$12=0,0,P241/P$12)</f>
        <v>8.3162475532994624E-3</v>
      </c>
      <c r="S241" s="1"/>
      <c r="T241" s="1">
        <f>SUM(OSRRefT22_20x_0)</f>
        <v>13212.26</v>
      </c>
      <c r="U241" s="1"/>
      <c r="V241" s="5">
        <f t="shared" ref="V241:V248" si="111">IF(T$12=0,0,T241/T$12)</f>
        <v>3.3646408377450586E-3</v>
      </c>
      <c r="W241" s="1"/>
      <c r="X241" s="1">
        <f t="shared" ref="X241:X248" si="112">+P241-T241</f>
        <v>7781.2300000000014</v>
      </c>
      <c r="Y241" s="1"/>
      <c r="Z241" s="5">
        <f t="shared" ref="Z241:Z248" si="113">IF(T241=0,0,X241/T241)</f>
        <v>0.58894012076662139</v>
      </c>
    </row>
    <row r="242" spans="1:26" s="24" customFormat="1" hidden="1" outlineLevel="2" x14ac:dyDescent="0.25">
      <c r="A242" s="29"/>
      <c r="B242" s="11" t="str">
        <f>CONCATENATE("          ", "6234", " - ", "EXPENDABLE SUPPLIES &amp; EQUIPMEN")</f>
        <v xml:space="preserve">          6234 - EXPENDABLE SUPPLIES &amp; EQUIPMEN</v>
      </c>
      <c r="C242" s="11"/>
      <c r="D242" s="7"/>
      <c r="E242" s="2"/>
      <c r="F242" s="6">
        <f t="shared" si="106"/>
        <v>0</v>
      </c>
      <c r="G242" s="2"/>
      <c r="H242" s="7">
        <v>1014.02</v>
      </c>
      <c r="I242" s="2"/>
      <c r="J242" s="6">
        <f t="shared" si="107"/>
        <v>3.1643420856071269E-4</v>
      </c>
      <c r="K242" s="2"/>
      <c r="L242" s="7">
        <f t="shared" si="108"/>
        <v>-1014.02</v>
      </c>
      <c r="M242" s="2"/>
      <c r="N242" s="6">
        <f t="shared" si="109"/>
        <v>-1</v>
      </c>
      <c r="O242" s="11"/>
      <c r="P242" s="7"/>
      <c r="Q242" s="2"/>
      <c r="R242" s="6">
        <f t="shared" si="110"/>
        <v>0</v>
      </c>
      <c r="S242" s="2"/>
      <c r="T242" s="7">
        <v>1716.1</v>
      </c>
      <c r="U242" s="2"/>
      <c r="V242" s="6">
        <f t="shared" si="111"/>
        <v>4.3702289704064968E-4</v>
      </c>
      <c r="W242" s="2"/>
      <c r="X242" s="7">
        <f t="shared" si="112"/>
        <v>-1716.1</v>
      </c>
      <c r="Y242" s="2"/>
      <c r="Z242" s="6">
        <f t="shared" si="113"/>
        <v>-1</v>
      </c>
    </row>
    <row r="243" spans="1:26" s="24" customFormat="1" hidden="1" outlineLevel="2" x14ac:dyDescent="0.25">
      <c r="A243" s="29"/>
      <c r="B243" s="11" t="str">
        <f>CONCATENATE("          ", "6235", " - ", "COVID-19 EXPENSES")</f>
        <v xml:space="preserve">          6235 - COVID-19 EXPENSES</v>
      </c>
      <c r="C243" s="11"/>
      <c r="D243" s="7">
        <v>621.78</v>
      </c>
      <c r="E243" s="2"/>
      <c r="F243" s="6">
        <f t="shared" si="106"/>
        <v>2.9767897294750756E-4</v>
      </c>
      <c r="G243" s="2"/>
      <c r="H243" s="7"/>
      <c r="I243" s="2"/>
      <c r="J243" s="6">
        <f t="shared" si="107"/>
        <v>0</v>
      </c>
      <c r="K243" s="2"/>
      <c r="L243" s="7">
        <f t="shared" si="108"/>
        <v>621.78</v>
      </c>
      <c r="M243" s="2"/>
      <c r="N243" s="6">
        <f t="shared" si="109"/>
        <v>0</v>
      </c>
      <c r="O243" s="11"/>
      <c r="P243" s="7">
        <v>7302.01</v>
      </c>
      <c r="Q243" s="2"/>
      <c r="R243" s="6">
        <f t="shared" si="110"/>
        <v>2.8925787373451578E-3</v>
      </c>
      <c r="S243" s="2"/>
      <c r="T243" s="7"/>
      <c r="U243" s="2"/>
      <c r="V243" s="6">
        <f t="shared" si="111"/>
        <v>0</v>
      </c>
      <c r="W243" s="2"/>
      <c r="X243" s="7">
        <f t="shared" si="112"/>
        <v>7302.01</v>
      </c>
      <c r="Y243" s="2"/>
      <c r="Z243" s="6">
        <f t="shared" si="113"/>
        <v>0</v>
      </c>
    </row>
    <row r="244" spans="1:26" s="24" customFormat="1" hidden="1" outlineLevel="2" x14ac:dyDescent="0.25">
      <c r="A244" s="29"/>
      <c r="B244" s="11" t="str">
        <f>CONCATENATE("          ", "6237", " - ", "JANITORIAL SUPPLIES")</f>
        <v xml:space="preserve">          6237 - JANITORIAL SUPPLIES</v>
      </c>
      <c r="C244" s="11"/>
      <c r="D244" s="7"/>
      <c r="E244" s="2"/>
      <c r="F244" s="6">
        <f t="shared" si="106"/>
        <v>0</v>
      </c>
      <c r="G244" s="2"/>
      <c r="H244" s="7">
        <v>326.57</v>
      </c>
      <c r="I244" s="2"/>
      <c r="J244" s="6">
        <f t="shared" si="107"/>
        <v>1.0190915316233599E-4</v>
      </c>
      <c r="K244" s="2"/>
      <c r="L244" s="7">
        <f t="shared" si="108"/>
        <v>-326.57</v>
      </c>
      <c r="M244" s="2"/>
      <c r="N244" s="6">
        <f t="shared" si="109"/>
        <v>-1</v>
      </c>
      <c r="O244" s="11"/>
      <c r="P244" s="7">
        <v>139.31</v>
      </c>
      <c r="Q244" s="2"/>
      <c r="R244" s="6">
        <f t="shared" si="110"/>
        <v>5.5185509729451743E-5</v>
      </c>
      <c r="S244" s="2"/>
      <c r="T244" s="7">
        <v>775.4</v>
      </c>
      <c r="U244" s="2"/>
      <c r="V244" s="6">
        <f t="shared" si="111"/>
        <v>1.974637575696753E-4</v>
      </c>
      <c r="W244" s="2"/>
      <c r="X244" s="7">
        <f t="shared" si="112"/>
        <v>-636.08999999999992</v>
      </c>
      <c r="Y244" s="2"/>
      <c r="Z244" s="6">
        <f t="shared" si="113"/>
        <v>-0.82033789012122771</v>
      </c>
    </row>
    <row r="245" spans="1:26" s="24" customFormat="1" hidden="1" outlineLevel="2" x14ac:dyDescent="0.25">
      <c r="A245" s="29"/>
      <c r="B245" s="11" t="str">
        <f>CONCATENATE("          ", "6241", " - ", "OFFICE EXPENSE")</f>
        <v xml:space="preserve">          6241 - OFFICE EXPENSE</v>
      </c>
      <c r="C245" s="11"/>
      <c r="D245" s="7">
        <v>3080.94</v>
      </c>
      <c r="E245" s="2"/>
      <c r="F245" s="6">
        <f t="shared" si="106"/>
        <v>1.4750089338880215E-3</v>
      </c>
      <c r="G245" s="2"/>
      <c r="H245" s="7">
        <v>4708.0200000000004</v>
      </c>
      <c r="I245" s="2"/>
      <c r="J245" s="6">
        <f t="shared" si="107"/>
        <v>1.4691806696002117E-3</v>
      </c>
      <c r="K245" s="2"/>
      <c r="L245" s="7">
        <f t="shared" si="108"/>
        <v>-1627.0800000000004</v>
      </c>
      <c r="M245" s="2"/>
      <c r="N245" s="6">
        <f t="shared" si="109"/>
        <v>-0.34559751233002411</v>
      </c>
      <c r="O245" s="11"/>
      <c r="P245" s="7">
        <v>3511.35</v>
      </c>
      <c r="Q245" s="2"/>
      <c r="R245" s="6">
        <f t="shared" si="110"/>
        <v>1.3909671925095856E-3</v>
      </c>
      <c r="S245" s="2"/>
      <c r="T245" s="7">
        <v>7198.51</v>
      </c>
      <c r="U245" s="2"/>
      <c r="V245" s="6">
        <f t="shared" si="111"/>
        <v>1.8331762103467675E-3</v>
      </c>
      <c r="W245" s="2"/>
      <c r="X245" s="7">
        <f t="shared" si="112"/>
        <v>-3687.1600000000003</v>
      </c>
      <c r="Y245" s="2"/>
      <c r="Z245" s="6">
        <f t="shared" si="113"/>
        <v>-0.51221155489122061</v>
      </c>
    </row>
    <row r="246" spans="1:26" s="24" customFormat="1" hidden="1" outlineLevel="2" x14ac:dyDescent="0.25">
      <c r="A246" s="29"/>
      <c r="B246" s="11" t="str">
        <f>CONCATENATE("          ", "6243", " - ", "PAPER SUPPLIES")</f>
        <v xml:space="preserve">          6243 - PAPER SUPPLIES</v>
      </c>
      <c r="C246" s="11"/>
      <c r="D246" s="7">
        <v>2044.69</v>
      </c>
      <c r="E246" s="2"/>
      <c r="F246" s="6">
        <f t="shared" si="106"/>
        <v>9.7890124995342288E-4</v>
      </c>
      <c r="G246" s="2"/>
      <c r="H246" s="7">
        <v>1496.95</v>
      </c>
      <c r="I246" s="2"/>
      <c r="J246" s="6">
        <f t="shared" si="107"/>
        <v>4.6713692876369193E-4</v>
      </c>
      <c r="K246" s="2"/>
      <c r="L246" s="7">
        <f t="shared" si="108"/>
        <v>547.74</v>
      </c>
      <c r="M246" s="2"/>
      <c r="N246" s="6">
        <f t="shared" si="109"/>
        <v>0.36590400480977986</v>
      </c>
      <c r="O246" s="11"/>
      <c r="P246" s="7">
        <v>3124.69</v>
      </c>
      <c r="Q246" s="2"/>
      <c r="R246" s="6">
        <f t="shared" si="110"/>
        <v>1.2377977919497565E-3</v>
      </c>
      <c r="S246" s="2"/>
      <c r="T246" s="7">
        <v>2658.29</v>
      </c>
      <c r="U246" s="2"/>
      <c r="V246" s="6">
        <f t="shared" si="111"/>
        <v>6.7696148066790328E-4</v>
      </c>
      <c r="W246" s="2"/>
      <c r="X246" s="7">
        <f t="shared" si="112"/>
        <v>466.40000000000009</v>
      </c>
      <c r="Y246" s="2"/>
      <c r="Z246" s="6">
        <f t="shared" si="113"/>
        <v>0.17545113588058492</v>
      </c>
    </row>
    <row r="247" spans="1:26" s="24" customFormat="1" hidden="1" outlineLevel="2" x14ac:dyDescent="0.25">
      <c r="A247" s="29"/>
      <c r="B247" s="11" t="str">
        <f>CONCATENATE("          ", "6245", " - ", "PRINTING")</f>
        <v xml:space="preserve">          6245 - PRINTING</v>
      </c>
      <c r="C247" s="11"/>
      <c r="D247" s="7">
        <v>1248</v>
      </c>
      <c r="E247" s="2"/>
      <c r="F247" s="6">
        <f t="shared" si="106"/>
        <v>5.9748360873377964E-4</v>
      </c>
      <c r="G247" s="2"/>
      <c r="H247" s="7">
        <v>4985.1099999999997</v>
      </c>
      <c r="I247" s="2"/>
      <c r="J247" s="6">
        <f t="shared" si="107"/>
        <v>1.555649136543751E-3</v>
      </c>
      <c r="K247" s="2"/>
      <c r="L247" s="7">
        <f t="shared" si="108"/>
        <v>-3737.1099999999997</v>
      </c>
      <c r="M247" s="2"/>
      <c r="N247" s="6">
        <f t="shared" si="109"/>
        <v>-0.74965447101468174</v>
      </c>
      <c r="O247" s="11"/>
      <c r="P247" s="7">
        <v>-295.5</v>
      </c>
      <c r="Q247" s="2"/>
      <c r="R247" s="6">
        <f t="shared" si="110"/>
        <v>-1.1705777133768567E-4</v>
      </c>
      <c r="S247" s="2"/>
      <c r="T247" s="7">
        <v>4985.1099999999997</v>
      </c>
      <c r="U247" s="2"/>
      <c r="V247" s="6">
        <f t="shared" si="111"/>
        <v>1.2695106428916225E-3</v>
      </c>
      <c r="W247" s="2"/>
      <c r="X247" s="7">
        <f t="shared" si="112"/>
        <v>-5280.61</v>
      </c>
      <c r="Y247" s="2"/>
      <c r="Z247" s="6">
        <f t="shared" si="113"/>
        <v>-1.059276525492918</v>
      </c>
    </row>
    <row r="248" spans="1:26" s="24" customFormat="1" hidden="1" outlineLevel="2" x14ac:dyDescent="0.25">
      <c r="A248" s="29"/>
      <c r="B248" s="11" t="str">
        <f>CONCATENATE("          ", "6247", " - ", "STORE SUPPLIES")</f>
        <v xml:space="preserve">          6247 - STORE SUPPLIES</v>
      </c>
      <c r="C248" s="11"/>
      <c r="D248" s="7">
        <v>1810.04</v>
      </c>
      <c r="E248" s="2"/>
      <c r="F248" s="6">
        <f t="shared" si="106"/>
        <v>8.6656188393629033E-4</v>
      </c>
      <c r="G248" s="2"/>
      <c r="H248" s="7">
        <v>-6939.2</v>
      </c>
      <c r="I248" s="2"/>
      <c r="J248" s="6">
        <f t="shared" si="107"/>
        <v>-2.1654407803046267E-3</v>
      </c>
      <c r="K248" s="2"/>
      <c r="L248" s="7">
        <f t="shared" si="108"/>
        <v>8749.24</v>
      </c>
      <c r="M248" s="2"/>
      <c r="N248" s="6">
        <f t="shared" si="109"/>
        <v>-1.2608427484436247</v>
      </c>
      <c r="O248" s="11"/>
      <c r="P248" s="7">
        <v>7211.63</v>
      </c>
      <c r="Q248" s="2"/>
      <c r="R248" s="6">
        <f t="shared" si="110"/>
        <v>2.856776093103195E-3</v>
      </c>
      <c r="S248" s="2"/>
      <c r="T248" s="7">
        <v>-4121.1499999999996</v>
      </c>
      <c r="U248" s="2"/>
      <c r="V248" s="6">
        <f t="shared" si="111"/>
        <v>-1.0494941507715595E-3</v>
      </c>
      <c r="W248" s="2"/>
      <c r="X248" s="7">
        <f t="shared" si="112"/>
        <v>11332.779999999999</v>
      </c>
      <c r="Y248" s="2"/>
      <c r="Z248" s="6">
        <f t="shared" si="113"/>
        <v>-2.749907186100967</v>
      </c>
    </row>
    <row r="249" spans="1:26" s="28" customFormat="1" outlineLevel="1" collapsed="1" x14ac:dyDescent="0.25">
      <c r="A249" s="27"/>
      <c r="B249" s="14" t="str">
        <f>CONCATENATE("     ","Telephone/Data Lines                              ")</f>
        <v xml:space="preserve">     Telephone/Data Lines                              </v>
      </c>
      <c r="C249" s="14"/>
      <c r="D249" s="1">
        <f>SUM(OSRRefD22_21x_0)</f>
        <v>2403.75</v>
      </c>
      <c r="E249" s="1"/>
      <c r="F249" s="5">
        <f t="shared" ref="F249:F251" si="114">IF(D$12=0,0,D249/D$12)</f>
        <v>1.1508022632162041E-3</v>
      </c>
      <c r="G249" s="1"/>
      <c r="H249" s="1">
        <f>SUM(OSRRefH22_21x_0)</f>
        <v>2882.35</v>
      </c>
      <c r="I249" s="1"/>
      <c r="J249" s="5">
        <f t="shared" ref="J249:J251" si="115">IF(H$12=0,0,H249/H$12)</f>
        <v>8.9946366052441791E-4</v>
      </c>
      <c r="K249" s="1"/>
      <c r="L249" s="1">
        <f t="shared" ref="L249:L251" si="116">+D249-H249</f>
        <v>-478.59999999999991</v>
      </c>
      <c r="M249" s="1"/>
      <c r="N249" s="5">
        <f t="shared" ref="N249:N251" si="117">IF(H249=0,0,L249/H249)</f>
        <v>-0.16604506739292588</v>
      </c>
      <c r="O249" s="14"/>
      <c r="P249" s="1">
        <f>SUM(OSRRefP22_21x_0)</f>
        <v>5081.8</v>
      </c>
      <c r="Q249" s="1"/>
      <c r="R249" s="5">
        <f t="shared" ref="R249:R251" si="118">IF(P$12=0,0,P249/P$12)</f>
        <v>2.0130767593362132E-3</v>
      </c>
      <c r="S249" s="1"/>
      <c r="T249" s="1">
        <f>SUM(OSRRefT22_21x_0)</f>
        <v>4848.67</v>
      </c>
      <c r="U249" s="1"/>
      <c r="V249" s="5">
        <f t="shared" ref="V249:V251" si="119">IF(T$12=0,0,T249/T$12)</f>
        <v>1.2347647632387898E-3</v>
      </c>
      <c r="W249" s="1"/>
      <c r="X249" s="1">
        <f t="shared" ref="X249:X251" si="120">+P249-T249</f>
        <v>233.13000000000011</v>
      </c>
      <c r="Y249" s="1"/>
      <c r="Z249" s="5">
        <f t="shared" ref="Z249:Z251" si="121">IF(T249=0,0,X249/T249)</f>
        <v>4.8081226398166942E-2</v>
      </c>
    </row>
    <row r="250" spans="1:26" s="24" customFormat="1" hidden="1" outlineLevel="2" x14ac:dyDescent="0.25">
      <c r="A250" s="29"/>
      <c r="B250" s="11" t="str">
        <f>CONCATENATE("          ", "6303", " - ", "DATA PHONE LINES")</f>
        <v xml:space="preserve">          6303 - DATA PHONE LINES</v>
      </c>
      <c r="C250" s="11"/>
      <c r="D250" s="7"/>
      <c r="E250" s="2"/>
      <c r="F250" s="6">
        <f t="shared" si="114"/>
        <v>0</v>
      </c>
      <c r="G250" s="2"/>
      <c r="H250" s="7">
        <v>295</v>
      </c>
      <c r="I250" s="2"/>
      <c r="J250" s="6">
        <f t="shared" si="115"/>
        <v>9.205744613065842E-5</v>
      </c>
      <c r="K250" s="2"/>
      <c r="L250" s="7">
        <f t="shared" si="116"/>
        <v>-295</v>
      </c>
      <c r="M250" s="2"/>
      <c r="N250" s="6">
        <f t="shared" si="117"/>
        <v>-1</v>
      </c>
      <c r="O250" s="11"/>
      <c r="P250" s="7">
        <v>295</v>
      </c>
      <c r="Q250" s="2"/>
      <c r="R250" s="6">
        <f t="shared" si="118"/>
        <v>1.1685970404269804E-4</v>
      </c>
      <c r="S250" s="2"/>
      <c r="T250" s="7">
        <v>590</v>
      </c>
      <c r="U250" s="2"/>
      <c r="V250" s="6">
        <f t="shared" si="119"/>
        <v>1.5024969946622187E-4</v>
      </c>
      <c r="W250" s="2"/>
      <c r="X250" s="7">
        <f t="shared" si="120"/>
        <v>-295</v>
      </c>
      <c r="Y250" s="2"/>
      <c r="Z250" s="6">
        <f t="shared" si="121"/>
        <v>-0.5</v>
      </c>
    </row>
    <row r="251" spans="1:26" s="24" customFormat="1" hidden="1" outlineLevel="2" x14ac:dyDescent="0.25">
      <c r="A251" s="29"/>
      <c r="B251" s="11" t="str">
        <f>CONCATENATE("          ", "6309", " - ", "TELEPHONE")</f>
        <v xml:space="preserve">          6309 - TELEPHONE</v>
      </c>
      <c r="C251" s="11"/>
      <c r="D251" s="7">
        <v>2403.75</v>
      </c>
      <c r="E251" s="2"/>
      <c r="F251" s="6">
        <f t="shared" si="114"/>
        <v>1.1508022632162041E-3</v>
      </c>
      <c r="G251" s="2"/>
      <c r="H251" s="7">
        <v>2587.35</v>
      </c>
      <c r="I251" s="2"/>
      <c r="J251" s="6">
        <f t="shared" si="115"/>
        <v>8.0740621439375946E-4</v>
      </c>
      <c r="K251" s="2"/>
      <c r="L251" s="7">
        <f t="shared" si="116"/>
        <v>-183.59999999999991</v>
      </c>
      <c r="M251" s="2"/>
      <c r="N251" s="6">
        <f t="shared" si="117"/>
        <v>-7.0960635399153538E-2</v>
      </c>
      <c r="O251" s="11"/>
      <c r="P251" s="7">
        <v>4786.8</v>
      </c>
      <c r="Q251" s="2"/>
      <c r="R251" s="6">
        <f t="shared" si="118"/>
        <v>1.8962170552935154E-3</v>
      </c>
      <c r="S251" s="2"/>
      <c r="T251" s="7">
        <v>4258.67</v>
      </c>
      <c r="U251" s="2"/>
      <c r="V251" s="6">
        <f t="shared" si="119"/>
        <v>1.0845150637725678E-3</v>
      </c>
      <c r="W251" s="2"/>
      <c r="X251" s="7">
        <f t="shared" si="120"/>
        <v>528.13000000000011</v>
      </c>
      <c r="Y251" s="2"/>
      <c r="Z251" s="6">
        <f t="shared" si="121"/>
        <v>0.12401289604500938</v>
      </c>
    </row>
    <row r="252" spans="1:26" s="28" customFormat="1" outlineLevel="1" collapsed="1" x14ac:dyDescent="0.25">
      <c r="A252" s="27"/>
      <c r="B252" s="14" t="str">
        <f>CONCATENATE("     ","Training                                          ")</f>
        <v xml:space="preserve">     Training                                          </v>
      </c>
      <c r="C252" s="14"/>
      <c r="D252" s="1">
        <f>SUM(OSRRefD22_22x_0)</f>
        <v>0</v>
      </c>
      <c r="E252" s="1"/>
      <c r="F252" s="5">
        <f t="shared" ref="F252:F257" si="122">IF(D$12=0,0,D252/D$12)</f>
        <v>0</v>
      </c>
      <c r="G252" s="1"/>
      <c r="H252" s="1">
        <f>SUM(OSRRefH22_22x_0)</f>
        <v>6530.86</v>
      </c>
      <c r="I252" s="1"/>
      <c r="J252" s="5">
        <f t="shared" ref="J252:J257" si="123">IF(H$12=0,0,H252/H$12)</f>
        <v>2.03801455131143E-3</v>
      </c>
      <c r="K252" s="1"/>
      <c r="L252" s="1">
        <f t="shared" ref="L252:L257" si="124">+D252-H252</f>
        <v>-6530.86</v>
      </c>
      <c r="M252" s="1"/>
      <c r="N252" s="5">
        <f t="shared" ref="N252:N257" si="125">IF(H252=0,0,L252/H252)</f>
        <v>-1</v>
      </c>
      <c r="O252" s="14"/>
      <c r="P252" s="1">
        <f>SUM(OSRRefP22_22x_0)</f>
        <v>131.63</v>
      </c>
      <c r="Q252" s="1"/>
      <c r="R252" s="5">
        <f t="shared" ref="R252:R257" si="126">IF(P$12=0,0,P252/P$12)</f>
        <v>5.2143196078441839E-5</v>
      </c>
      <c r="S252" s="1"/>
      <c r="T252" s="1">
        <f>SUM(OSRRefT22_22x_0)</f>
        <v>7322.53</v>
      </c>
      <c r="U252" s="1"/>
      <c r="V252" s="5">
        <f t="shared" ref="V252:V257" si="127">IF(T$12=0,0,T252/T$12)</f>
        <v>1.8647592064955823E-3</v>
      </c>
      <c r="W252" s="1"/>
      <c r="X252" s="1">
        <f t="shared" ref="X252:X257" si="128">+P252-T252</f>
        <v>-7190.9</v>
      </c>
      <c r="Y252" s="1"/>
      <c r="Z252" s="5">
        <f t="shared" ref="Z252:Z257" si="129">IF(T252=0,0,X252/T252)</f>
        <v>-0.9820239725887091</v>
      </c>
    </row>
    <row r="253" spans="1:26" s="24" customFormat="1" hidden="1" outlineLevel="2" x14ac:dyDescent="0.25">
      <c r="A253" s="29"/>
      <c r="B253" s="11" t="str">
        <f>CONCATENATE("          ", "6376", " - ", "TRAINING")</f>
        <v xml:space="preserve">          6376 - TRAINING</v>
      </c>
      <c r="C253" s="11"/>
      <c r="D253" s="7"/>
      <c r="E253" s="2"/>
      <c r="F253" s="6">
        <f t="shared" si="122"/>
        <v>0</v>
      </c>
      <c r="G253" s="2"/>
      <c r="H253" s="7">
        <v>6530.86</v>
      </c>
      <c r="I253" s="2"/>
      <c r="J253" s="6">
        <f t="shared" si="123"/>
        <v>2.03801455131143E-3</v>
      </c>
      <c r="K253" s="2"/>
      <c r="L253" s="7">
        <f t="shared" si="124"/>
        <v>-6530.86</v>
      </c>
      <c r="M253" s="2"/>
      <c r="N253" s="6">
        <f t="shared" si="125"/>
        <v>-1</v>
      </c>
      <c r="O253" s="11"/>
      <c r="P253" s="7">
        <v>131.63</v>
      </c>
      <c r="Q253" s="2"/>
      <c r="R253" s="6">
        <f t="shared" si="126"/>
        <v>5.2143196078441839E-5</v>
      </c>
      <c r="S253" s="2"/>
      <c r="T253" s="7">
        <v>7322.53</v>
      </c>
      <c r="U253" s="2"/>
      <c r="V253" s="6">
        <f t="shared" si="127"/>
        <v>1.8647592064955823E-3</v>
      </c>
      <c r="W253" s="2"/>
      <c r="X253" s="7">
        <f t="shared" si="128"/>
        <v>-7190.9</v>
      </c>
      <c r="Y253" s="2"/>
      <c r="Z253" s="6">
        <f t="shared" si="129"/>
        <v>-0.9820239725887091</v>
      </c>
    </row>
    <row r="254" spans="1:26" s="28" customFormat="1" outlineLevel="1" collapsed="1" x14ac:dyDescent="0.25">
      <c r="A254" s="27"/>
      <c r="B254" s="14" t="str">
        <f>CONCATENATE("     ","Travel                                            ")</f>
        <v xml:space="preserve">     Travel                                            </v>
      </c>
      <c r="C254" s="14"/>
      <c r="D254" s="1">
        <f>SUM(OSRRefD22_23x_0)</f>
        <v>25.76</v>
      </c>
      <c r="E254" s="1"/>
      <c r="F254" s="5">
        <f t="shared" si="122"/>
        <v>1.2332674487966477E-5</v>
      </c>
      <c r="G254" s="1"/>
      <c r="H254" s="1">
        <f>SUM(OSRRefH22_23x_0)</f>
        <v>184.35</v>
      </c>
      <c r="I254" s="1"/>
      <c r="J254" s="5">
        <f t="shared" si="123"/>
        <v>5.7528102353175857E-5</v>
      </c>
      <c r="K254" s="1"/>
      <c r="L254" s="1">
        <f t="shared" si="124"/>
        <v>-158.59</v>
      </c>
      <c r="M254" s="1"/>
      <c r="N254" s="5">
        <f t="shared" si="125"/>
        <v>-0.8602657987523733</v>
      </c>
      <c r="O254" s="14"/>
      <c r="P254" s="1">
        <f>SUM(OSRRefP22_23x_0)</f>
        <v>300.96999999999997</v>
      </c>
      <c r="Q254" s="1"/>
      <c r="R254" s="5">
        <f t="shared" si="126"/>
        <v>1.1922462754485027E-4</v>
      </c>
      <c r="S254" s="1"/>
      <c r="T254" s="1">
        <f>SUM(OSRRefT22_23x_0)</f>
        <v>406.03</v>
      </c>
      <c r="U254" s="1"/>
      <c r="V254" s="5">
        <f t="shared" si="127"/>
        <v>1.0339980588859332E-4</v>
      </c>
      <c r="W254" s="1"/>
      <c r="X254" s="1">
        <f t="shared" si="128"/>
        <v>-105.06</v>
      </c>
      <c r="Y254" s="1"/>
      <c r="Z254" s="5">
        <f t="shared" si="129"/>
        <v>-0.25874935349604711</v>
      </c>
    </row>
    <row r="255" spans="1:26" s="24" customFormat="1" hidden="1" outlineLevel="2" x14ac:dyDescent="0.25">
      <c r="A255" s="29"/>
      <c r="B255" s="11" t="str">
        <f>CONCATENATE("          ", "6292", " - ", "TRAVEL/CONFERENCE")</f>
        <v xml:space="preserve">          6292 - TRAVEL/CONFERENCE</v>
      </c>
      <c r="C255" s="11"/>
      <c r="D255" s="7"/>
      <c r="E255" s="2"/>
      <c r="F255" s="6">
        <f t="shared" si="122"/>
        <v>0</v>
      </c>
      <c r="G255" s="2"/>
      <c r="H255" s="7">
        <v>100.16</v>
      </c>
      <c r="I255" s="2"/>
      <c r="J255" s="6">
        <f t="shared" si="123"/>
        <v>3.1255843404904223E-5</v>
      </c>
      <c r="K255" s="2"/>
      <c r="L255" s="7">
        <f t="shared" si="124"/>
        <v>-100.16</v>
      </c>
      <c r="M255" s="2"/>
      <c r="N255" s="6">
        <f t="shared" si="125"/>
        <v>-1</v>
      </c>
      <c r="O255" s="11"/>
      <c r="P255" s="7">
        <v>0.16</v>
      </c>
      <c r="Q255" s="2"/>
      <c r="R255" s="6">
        <f t="shared" si="126"/>
        <v>6.338153439603962E-8</v>
      </c>
      <c r="S255" s="2"/>
      <c r="T255" s="7">
        <v>250.64</v>
      </c>
      <c r="U255" s="2"/>
      <c r="V255" s="6">
        <f t="shared" si="127"/>
        <v>6.3828109617311606E-5</v>
      </c>
      <c r="W255" s="2"/>
      <c r="X255" s="7">
        <f t="shared" si="128"/>
        <v>-250.48</v>
      </c>
      <c r="Y255" s="2"/>
      <c r="Z255" s="6">
        <f t="shared" si="129"/>
        <v>-0.999361634216406</v>
      </c>
    </row>
    <row r="256" spans="1:26" s="24" customFormat="1" hidden="1" outlineLevel="2" x14ac:dyDescent="0.25">
      <c r="A256" s="29"/>
      <c r="B256" s="11" t="str">
        <f>CONCATENATE("          ", "6294", " - ", "TRAVEL OPERATIONAL")</f>
        <v xml:space="preserve">          6294 - TRAVEL OPERATIONAL</v>
      </c>
      <c r="C256" s="11"/>
      <c r="D256" s="7">
        <v>25.76</v>
      </c>
      <c r="E256" s="2"/>
      <c r="F256" s="6">
        <f t="shared" si="122"/>
        <v>1.2332674487966477E-5</v>
      </c>
      <c r="G256" s="2"/>
      <c r="H256" s="7">
        <v>68.67</v>
      </c>
      <c r="I256" s="2"/>
      <c r="J256" s="6">
        <f t="shared" si="123"/>
        <v>2.1429101104380725E-5</v>
      </c>
      <c r="K256" s="2"/>
      <c r="L256" s="7">
        <f t="shared" si="124"/>
        <v>-42.91</v>
      </c>
      <c r="M256" s="2"/>
      <c r="N256" s="6">
        <f t="shared" si="125"/>
        <v>-0.62487257900101933</v>
      </c>
      <c r="O256" s="11"/>
      <c r="P256" s="7">
        <v>240.92</v>
      </c>
      <c r="Q256" s="2"/>
      <c r="R256" s="6">
        <f t="shared" si="126"/>
        <v>9.5436745416836654E-5</v>
      </c>
      <c r="S256" s="2"/>
      <c r="T256" s="7">
        <v>68.67</v>
      </c>
      <c r="U256" s="2"/>
      <c r="V256" s="6">
        <f t="shared" si="127"/>
        <v>1.7487537054822808E-5</v>
      </c>
      <c r="W256" s="2"/>
      <c r="X256" s="7">
        <f t="shared" si="128"/>
        <v>172.25</v>
      </c>
      <c r="Y256" s="2"/>
      <c r="Z256" s="6">
        <f t="shared" si="129"/>
        <v>2.5083733799330128</v>
      </c>
    </row>
    <row r="257" spans="1:26" s="24" customFormat="1" hidden="1" outlineLevel="2" x14ac:dyDescent="0.25">
      <c r="A257" s="29"/>
      <c r="B257" s="11" t="str">
        <f>CONCATENATE("          ", "6298", " - ", "VEHICLE MILEAGE")</f>
        <v xml:space="preserve">          6298 - VEHICLE MILEAGE</v>
      </c>
      <c r="C257" s="11"/>
      <c r="D257" s="7"/>
      <c r="E257" s="2"/>
      <c r="F257" s="6">
        <f t="shared" si="122"/>
        <v>0</v>
      </c>
      <c r="G257" s="2"/>
      <c r="H257" s="7">
        <v>15.52</v>
      </c>
      <c r="I257" s="2"/>
      <c r="J257" s="6">
        <f t="shared" si="123"/>
        <v>4.8431578438909102E-6</v>
      </c>
      <c r="K257" s="2"/>
      <c r="L257" s="7">
        <f t="shared" si="124"/>
        <v>-15.52</v>
      </c>
      <c r="M257" s="2"/>
      <c r="N257" s="6">
        <f t="shared" si="125"/>
        <v>-1</v>
      </c>
      <c r="O257" s="11"/>
      <c r="P257" s="7">
        <v>59.89</v>
      </c>
      <c r="Q257" s="2"/>
      <c r="R257" s="6">
        <f t="shared" si="126"/>
        <v>2.3724500593617579E-5</v>
      </c>
      <c r="S257" s="2"/>
      <c r="T257" s="7">
        <v>86.72</v>
      </c>
      <c r="U257" s="2"/>
      <c r="V257" s="6">
        <f t="shared" si="127"/>
        <v>2.2084159216458916E-5</v>
      </c>
      <c r="W257" s="2"/>
      <c r="X257" s="7">
        <f t="shared" si="128"/>
        <v>-26.83</v>
      </c>
      <c r="Y257" s="2"/>
      <c r="Z257" s="6">
        <f t="shared" si="129"/>
        <v>-0.30938653136531363</v>
      </c>
    </row>
    <row r="258" spans="1:26" s="28" customFormat="1" outlineLevel="1" collapsed="1" x14ac:dyDescent="0.25">
      <c r="A258" s="27"/>
      <c r="B258" s="14" t="str">
        <f>CONCATENATE("     ","Utilities                                         ")</f>
        <v xml:space="preserve">     Utilities                                         </v>
      </c>
      <c r="C258" s="14"/>
      <c r="D258" s="1">
        <f>SUM(OSRRefD22_24x_0)</f>
        <v>6159.91</v>
      </c>
      <c r="E258" s="1"/>
      <c r="F258" s="5">
        <f t="shared" ref="F258:F259" si="130">IF(D$12=0,0,D258/D$12)</f>
        <v>2.9490747245795642E-3</v>
      </c>
      <c r="G258" s="1"/>
      <c r="H258" s="1">
        <f>SUM(OSRRefH22_24x_0)</f>
        <v>53.78</v>
      </c>
      <c r="I258" s="1"/>
      <c r="J258" s="5">
        <f t="shared" ref="J258:J259" si="131">IF(H$12=0,0,H258/H$12)</f>
        <v>1.6782540518328168E-5</v>
      </c>
      <c r="K258" s="1"/>
      <c r="L258" s="1">
        <f t="shared" ref="L258:L259" si="132">+D258-H258</f>
        <v>6106.13</v>
      </c>
      <c r="M258" s="1"/>
      <c r="N258" s="5">
        <f t="shared" ref="N258:N259" si="133">IF(H258=0,0,L258/H258)</f>
        <v>113.53904797322424</v>
      </c>
      <c r="O258" s="14"/>
      <c r="P258" s="1">
        <f>SUM(OSRRefP22_24x_0)</f>
        <v>12321.37</v>
      </c>
      <c r="Q258" s="1"/>
      <c r="R258" s="5">
        <f t="shared" ref="R258:R259" si="134">IF(P$12=0,0,P258/P$12)</f>
        <v>4.8809208528833173E-3</v>
      </c>
      <c r="S258" s="1"/>
      <c r="T258" s="1">
        <f>SUM(OSRRefT22_24x_0)</f>
        <v>5689.78</v>
      </c>
      <c r="U258" s="1"/>
      <c r="V258" s="5">
        <f t="shared" ref="V258:V259" si="135">IF(T$12=0,0,T258/T$12)</f>
        <v>1.448962262760881E-3</v>
      </c>
      <c r="W258" s="1"/>
      <c r="X258" s="1">
        <f t="shared" ref="X258:X259" si="136">+P258-T258</f>
        <v>6631.5900000000011</v>
      </c>
      <c r="Y258" s="1"/>
      <c r="Z258" s="5">
        <f t="shared" ref="Z258:Z259" si="137">IF(T258=0,0,X258/T258)</f>
        <v>1.1655266108707194</v>
      </c>
    </row>
    <row r="259" spans="1:26" s="24" customFormat="1" hidden="1" outlineLevel="2" x14ac:dyDescent="0.25">
      <c r="A259" s="29"/>
      <c r="B259" s="11" t="str">
        <f>CONCATENATE("          ", "6274", " - ", "UTILITIES")</f>
        <v xml:space="preserve">          6274 - UTILITIES</v>
      </c>
      <c r="C259" s="11"/>
      <c r="D259" s="7">
        <v>6159.91</v>
      </c>
      <c r="E259" s="2"/>
      <c r="F259" s="6">
        <f t="shared" si="130"/>
        <v>2.9490747245795642E-3</v>
      </c>
      <c r="G259" s="2"/>
      <c r="H259" s="7">
        <v>53.78</v>
      </c>
      <c r="I259" s="2"/>
      <c r="J259" s="6">
        <f t="shared" si="131"/>
        <v>1.6782540518328168E-5</v>
      </c>
      <c r="K259" s="2"/>
      <c r="L259" s="7">
        <f t="shared" si="132"/>
        <v>6106.13</v>
      </c>
      <c r="M259" s="2"/>
      <c r="N259" s="6">
        <f t="shared" si="133"/>
        <v>113.53904797322424</v>
      </c>
      <c r="O259" s="11"/>
      <c r="P259" s="7">
        <v>12321.37</v>
      </c>
      <c r="Q259" s="2"/>
      <c r="R259" s="6">
        <f t="shared" si="134"/>
        <v>4.8809208528833173E-3</v>
      </c>
      <c r="S259" s="2"/>
      <c r="T259" s="7">
        <v>5689.78</v>
      </c>
      <c r="U259" s="2"/>
      <c r="V259" s="6">
        <f t="shared" si="135"/>
        <v>1.448962262760881E-3</v>
      </c>
      <c r="W259" s="2"/>
      <c r="X259" s="7">
        <f t="shared" si="136"/>
        <v>6631.5900000000011</v>
      </c>
      <c r="Y259" s="2"/>
      <c r="Z259" s="6">
        <f t="shared" si="137"/>
        <v>1.1655266108707194</v>
      </c>
    </row>
    <row r="260" spans="1:26" s="52" customFormat="1" x14ac:dyDescent="0.25">
      <c r="A260" s="37"/>
      <c r="B260" s="37"/>
      <c r="C260" s="37"/>
      <c r="D260" s="1"/>
      <c r="E260" s="1"/>
      <c r="F260" s="5"/>
      <c r="G260" s="1"/>
      <c r="H260" s="1"/>
      <c r="I260" s="1"/>
      <c r="J260" s="5"/>
      <c r="K260" s="1"/>
      <c r="L260" s="1"/>
      <c r="M260" s="1"/>
      <c r="N260" s="5"/>
      <c r="O260" s="37"/>
      <c r="P260" s="1"/>
      <c r="Q260" s="1"/>
      <c r="R260" s="5"/>
      <c r="S260" s="1"/>
      <c r="T260" s="1"/>
      <c r="U260" s="1"/>
      <c r="V260" s="5"/>
      <c r="W260" s="1"/>
      <c r="X260" s="1"/>
      <c r="Y260" s="1"/>
      <c r="Z260" s="5"/>
    </row>
    <row r="261" spans="1:26" s="23" customFormat="1" collapsed="1" x14ac:dyDescent="0.25">
      <c r="A261" s="10"/>
      <c r="B261" s="25" t="s">
        <v>0</v>
      </c>
      <c r="C261" s="10"/>
      <c r="D261" s="4">
        <f>SUM(OSRRefD25x_0)</f>
        <v>56729.3</v>
      </c>
      <c r="E261" s="4"/>
      <c r="F261" s="12">
        <f t="shared" ref="F261:F271" si="138">IF(D$12=0,0,D261/D$12)</f>
        <v>2.715931641421571E-2</v>
      </c>
      <c r="G261" s="4"/>
      <c r="H261" s="4">
        <f>SUM(OSRRefH25x_0)</f>
        <v>47308.399999999994</v>
      </c>
      <c r="I261" s="4"/>
      <c r="J261" s="12">
        <f t="shared" ref="J261:J271" si="139">IF(H$12=0,0,H261/H$12)</f>
        <v>1.4763018591619119E-2</v>
      </c>
      <c r="K261" s="4"/>
      <c r="L261" s="4">
        <f t="shared" ref="L261:L271" si="140">+D261-H261</f>
        <v>9420.9000000000087</v>
      </c>
      <c r="M261" s="4"/>
      <c r="N261" s="12">
        <f t="shared" ref="N261:N271" si="141">IF(H261=0,0,L261/H261)</f>
        <v>0.1991379966348473</v>
      </c>
      <c r="O261" s="10"/>
      <c r="P261" s="4">
        <f>SUM(OSRRefP25x_0)</f>
        <v>254226.49</v>
      </c>
      <c r="Q261" s="4"/>
      <c r="R261" s="12">
        <f t="shared" ref="R261:R271" si="142">IF(P$12=0,0,P261/P$12)</f>
        <v>0.10070790637699638</v>
      </c>
      <c r="S261" s="4"/>
      <c r="T261" s="4">
        <f>SUM(OSRRefT25x_0)</f>
        <v>118193.31</v>
      </c>
      <c r="U261" s="4"/>
      <c r="V261" s="12">
        <f t="shared" ref="V261:V271" si="143">IF(T$12=0,0,T261/T$12)</f>
        <v>3.0099168315962703E-2</v>
      </c>
      <c r="W261" s="4"/>
      <c r="X261" s="4">
        <f t="shared" ref="X261:X271" si="144">+P261-T261</f>
        <v>136033.18</v>
      </c>
      <c r="Y261" s="4"/>
      <c r="Z261" s="12">
        <f t="shared" ref="Z261:Z271" si="145">IF(T261=0,0,X261/T261)</f>
        <v>1.1509380691682125</v>
      </c>
    </row>
    <row r="262" spans="1:26" s="24" customFormat="1" hidden="1" outlineLevel="1" x14ac:dyDescent="0.25">
      <c r="A262" s="44"/>
      <c r="B262" s="11" t="str">
        <f>CONCATENATE("          ", "4098", " - ", "TAXABLE SALES-GRAD RENTALS")</f>
        <v xml:space="preserve">          4098 - TAXABLE SALES-GRAD RENTALS</v>
      </c>
      <c r="C262" s="11"/>
      <c r="D262" s="2">
        <f t="shared" ref="D262:D266" si="146">0</f>
        <v>0</v>
      </c>
      <c r="E262" s="2"/>
      <c r="F262" s="19">
        <f t="shared" si="138"/>
        <v>0</v>
      </c>
      <c r="G262" s="2"/>
      <c r="H262" s="2">
        <f>--1552.15</f>
        <v>1552.15</v>
      </c>
      <c r="I262" s="2"/>
      <c r="J262" s="19">
        <f t="shared" si="139"/>
        <v>4.8436259326000499E-4</v>
      </c>
      <c r="K262" s="2"/>
      <c r="L262" s="2">
        <f t="shared" si="140"/>
        <v>-1552.15</v>
      </c>
      <c r="M262" s="2"/>
      <c r="N262" s="19">
        <f t="shared" si="141"/>
        <v>-1</v>
      </c>
      <c r="O262" s="11"/>
      <c r="P262" s="2">
        <f>0</f>
        <v>0</v>
      </c>
      <c r="Q262" s="2"/>
      <c r="R262" s="19">
        <f t="shared" si="142"/>
        <v>0</v>
      </c>
      <c r="S262" s="2"/>
      <c r="T262" s="2">
        <f>--1626.85</f>
        <v>1626.85</v>
      </c>
      <c r="U262" s="2"/>
      <c r="V262" s="19">
        <f t="shared" si="143"/>
        <v>4.1429444674003901E-4</v>
      </c>
      <c r="W262" s="2"/>
      <c r="X262" s="2">
        <f t="shared" si="144"/>
        <v>-1626.85</v>
      </c>
      <c r="Y262" s="2"/>
      <c r="Z262" s="19">
        <f t="shared" si="145"/>
        <v>-1</v>
      </c>
    </row>
    <row r="263" spans="1:26" s="24" customFormat="1" hidden="1" outlineLevel="1" x14ac:dyDescent="0.25">
      <c r="A263" s="44"/>
      <c r="B263" s="11" t="str">
        <f>CONCATENATE("          ", "4187", " - ", "NON-TAXABLE SALES-COMPUTER REP")</f>
        <v xml:space="preserve">          4187 - NON-TAXABLE SALES-COMPUTER REP</v>
      </c>
      <c r="C263" s="11"/>
      <c r="D263" s="2">
        <f t="shared" si="146"/>
        <v>0</v>
      </c>
      <c r="E263" s="2"/>
      <c r="F263" s="19">
        <f t="shared" si="138"/>
        <v>0</v>
      </c>
      <c r="G263" s="2"/>
      <c r="H263" s="2">
        <f>--1700.37</f>
        <v>1700.37</v>
      </c>
      <c r="I263" s="2"/>
      <c r="J263" s="19">
        <f t="shared" si="139"/>
        <v>5.3061599890572085E-4</v>
      </c>
      <c r="K263" s="2"/>
      <c r="L263" s="2">
        <f t="shared" si="140"/>
        <v>-1700.37</v>
      </c>
      <c r="M263" s="2"/>
      <c r="N263" s="19">
        <f t="shared" si="141"/>
        <v>-1</v>
      </c>
      <c r="O263" s="11"/>
      <c r="P263" s="2">
        <f>--19.99</f>
        <v>19.989999999999998</v>
      </c>
      <c r="Q263" s="2"/>
      <c r="R263" s="19">
        <f t="shared" si="142"/>
        <v>7.9187304536051995E-6</v>
      </c>
      <c r="S263" s="2"/>
      <c r="T263" s="2">
        <f>--2482.26</f>
        <v>2482.2600000000002</v>
      </c>
      <c r="U263" s="2"/>
      <c r="V263" s="19">
        <f t="shared" si="143"/>
        <v>6.3213359152037955E-4</v>
      </c>
      <c r="W263" s="2"/>
      <c r="X263" s="2">
        <f t="shared" si="144"/>
        <v>-2462.2700000000004</v>
      </c>
      <c r="Y263" s="2"/>
      <c r="Z263" s="19">
        <f t="shared" si="145"/>
        <v>-0.99194685488224454</v>
      </c>
    </row>
    <row r="264" spans="1:26" s="24" customFormat="1" hidden="1" outlineLevel="1" x14ac:dyDescent="0.25">
      <c r="A264" s="44"/>
      <c r="B264" s="11" t="str">
        <f>CONCATENATE("          ", "4197", " - ", "NON-TAXABLE SALES-RETURNED CHE")</f>
        <v xml:space="preserve">          4197 - NON-TAXABLE SALES-RETURNED CHE</v>
      </c>
      <c r="C264" s="11"/>
      <c r="D264" s="2">
        <f t="shared" si="146"/>
        <v>0</v>
      </c>
      <c r="E264" s="2"/>
      <c r="F264" s="19">
        <f t="shared" si="138"/>
        <v>0</v>
      </c>
      <c r="G264" s="2"/>
      <c r="H264" s="2">
        <f>--30</f>
        <v>30</v>
      </c>
      <c r="I264" s="2"/>
      <c r="J264" s="19">
        <f t="shared" si="139"/>
        <v>9.3617741827788218E-6</v>
      </c>
      <c r="K264" s="2"/>
      <c r="L264" s="2">
        <f t="shared" si="140"/>
        <v>-30</v>
      </c>
      <c r="M264" s="2"/>
      <c r="N264" s="19">
        <f t="shared" si="141"/>
        <v>-1</v>
      </c>
      <c r="O264" s="11"/>
      <c r="P264" s="2">
        <f t="shared" ref="P264:P266" si="147">0</f>
        <v>0</v>
      </c>
      <c r="Q264" s="2"/>
      <c r="R264" s="19">
        <f t="shared" si="142"/>
        <v>0</v>
      </c>
      <c r="S264" s="2"/>
      <c r="T264" s="2">
        <f>--30</f>
        <v>30</v>
      </c>
      <c r="U264" s="2"/>
      <c r="V264" s="19">
        <f t="shared" si="143"/>
        <v>7.6398152270960268E-6</v>
      </c>
      <c r="W264" s="2"/>
      <c r="X264" s="2">
        <f t="shared" si="144"/>
        <v>-30</v>
      </c>
      <c r="Y264" s="2"/>
      <c r="Z264" s="19">
        <f t="shared" si="145"/>
        <v>-1</v>
      </c>
    </row>
    <row r="265" spans="1:26" s="24" customFormat="1" hidden="1" outlineLevel="1" x14ac:dyDescent="0.25">
      <c r="A265" s="44"/>
      <c r="B265" s="11" t="str">
        <f>CONCATENATE("          ", "4198", " - ", "NON-TAXABLE SALES-GRAD RENTALS")</f>
        <v xml:space="preserve">          4198 - NON-TAXABLE SALES-GRAD RENTALS</v>
      </c>
      <c r="C265" s="11"/>
      <c r="D265" s="2">
        <f t="shared" si="146"/>
        <v>0</v>
      </c>
      <c r="E265" s="2"/>
      <c r="F265" s="19">
        <f t="shared" si="138"/>
        <v>0</v>
      </c>
      <c r="G265" s="2"/>
      <c r="H265" s="2">
        <f>--210</f>
        <v>210</v>
      </c>
      <c r="I265" s="2"/>
      <c r="J265" s="19">
        <f t="shared" si="139"/>
        <v>6.5532419279451756E-5</v>
      </c>
      <c r="K265" s="2"/>
      <c r="L265" s="2">
        <f t="shared" si="140"/>
        <v>-210</v>
      </c>
      <c r="M265" s="2"/>
      <c r="N265" s="19">
        <f t="shared" si="141"/>
        <v>-1</v>
      </c>
      <c r="O265" s="11"/>
      <c r="P265" s="2">
        <f t="shared" si="147"/>
        <v>0</v>
      </c>
      <c r="Q265" s="2"/>
      <c r="R265" s="19">
        <f t="shared" si="142"/>
        <v>0</v>
      </c>
      <c r="S265" s="2"/>
      <c r="T265" s="2">
        <f>--465</f>
        <v>465</v>
      </c>
      <c r="U265" s="2"/>
      <c r="V265" s="19">
        <f t="shared" si="143"/>
        <v>1.1841713601998842E-4</v>
      </c>
      <c r="W265" s="2"/>
      <c r="X265" s="2">
        <f t="shared" si="144"/>
        <v>-465</v>
      </c>
      <c r="Y265" s="2"/>
      <c r="Z265" s="19">
        <f t="shared" si="145"/>
        <v>-1</v>
      </c>
    </row>
    <row r="266" spans="1:26" s="24" customFormat="1" hidden="1" outlineLevel="1" x14ac:dyDescent="0.25">
      <c r="A266" s="44"/>
      <c r="B266" s="11" t="str">
        <f>CONCATENATE("          ", "4387", " - ", "SALES RETURN NON TAXABLE-COMPU")</f>
        <v xml:space="preserve">          4387 - SALES RETURN NON TAXABLE-COMPU</v>
      </c>
      <c r="C266" s="11"/>
      <c r="D266" s="2">
        <f t="shared" si="146"/>
        <v>0</v>
      </c>
      <c r="E266" s="2"/>
      <c r="F266" s="19">
        <f t="shared" si="138"/>
        <v>0</v>
      </c>
      <c r="G266" s="2"/>
      <c r="H266" s="2">
        <f>-2820.7</f>
        <v>-2820.7</v>
      </c>
      <c r="I266" s="2"/>
      <c r="J266" s="19">
        <f t="shared" si="139"/>
        <v>-8.8022521457880741E-4</v>
      </c>
      <c r="K266" s="2"/>
      <c r="L266" s="2">
        <f t="shared" si="140"/>
        <v>2820.7</v>
      </c>
      <c r="M266" s="2"/>
      <c r="N266" s="19">
        <f t="shared" si="141"/>
        <v>-1</v>
      </c>
      <c r="O266" s="11"/>
      <c r="P266" s="2">
        <f t="shared" si="147"/>
        <v>0</v>
      </c>
      <c r="Q266" s="2"/>
      <c r="R266" s="19">
        <f t="shared" si="142"/>
        <v>0</v>
      </c>
      <c r="S266" s="2"/>
      <c r="T266" s="2">
        <f>-3451.5</f>
        <v>-3451.5</v>
      </c>
      <c r="U266" s="2"/>
      <c r="V266" s="19">
        <f t="shared" si="143"/>
        <v>-8.7896074187739787E-4</v>
      </c>
      <c r="W266" s="2"/>
      <c r="X266" s="2">
        <f t="shared" si="144"/>
        <v>3451.5</v>
      </c>
      <c r="Y266" s="2"/>
      <c r="Z266" s="19">
        <f t="shared" si="145"/>
        <v>-1</v>
      </c>
    </row>
    <row r="267" spans="1:26" s="24" customFormat="1" hidden="1" outlineLevel="1" x14ac:dyDescent="0.25">
      <c r="A267" s="44"/>
      <c r="B267" s="11" t="str">
        <f>CONCATENATE("          ", "9150", " - ", "MISC. INCOME")</f>
        <v xml:space="preserve">          9150 - MISC. INCOME</v>
      </c>
      <c r="C267" s="11"/>
      <c r="D267" s="2">
        <f>--56657.3</f>
        <v>56657.3</v>
      </c>
      <c r="E267" s="2"/>
      <c r="F267" s="19">
        <f t="shared" si="138"/>
        <v>2.7124846206019529E-2</v>
      </c>
      <c r="G267" s="2"/>
      <c r="H267" s="2">
        <f>--25629.17</f>
        <v>25629.17</v>
      </c>
      <c r="I267" s="2"/>
      <c r="J267" s="19">
        <f t="shared" si="139"/>
        <v>7.9978167344016502E-3</v>
      </c>
      <c r="K267" s="2"/>
      <c r="L267" s="2">
        <f t="shared" si="140"/>
        <v>31028.130000000005</v>
      </c>
      <c r="M267" s="2"/>
      <c r="N267" s="19">
        <f t="shared" si="141"/>
        <v>1.2106568414037602</v>
      </c>
      <c r="O267" s="11"/>
      <c r="P267" s="2">
        <f>--91996.21</f>
        <v>91996.21</v>
      </c>
      <c r="Q267" s="2"/>
      <c r="R267" s="19">
        <f t="shared" si="142"/>
        <v>3.6442880927626778E-2</v>
      </c>
      <c r="S267" s="2"/>
      <c r="T267" s="2">
        <f>--96127.78</f>
        <v>96127.78</v>
      </c>
      <c r="U267" s="2"/>
      <c r="V267" s="19">
        <f t="shared" si="143"/>
        <v>2.4479949246364565E-2</v>
      </c>
      <c r="W267" s="2"/>
      <c r="X267" s="2">
        <f t="shared" si="144"/>
        <v>-4131.5699999999924</v>
      </c>
      <c r="Y267" s="2"/>
      <c r="Z267" s="19">
        <f t="shared" si="145"/>
        <v>-4.2979979356643758E-2</v>
      </c>
    </row>
    <row r="268" spans="1:26" s="24" customFormat="1" hidden="1" outlineLevel="1" x14ac:dyDescent="0.25">
      <c r="A268" s="44"/>
      <c r="B268" s="11" t="str">
        <f>CONCATENATE("          ", "9151", " - ", "MISC. INCOME")</f>
        <v xml:space="preserve">          9151 - MISC. INCOME</v>
      </c>
      <c r="C268" s="11"/>
      <c r="D268" s="2">
        <f>0</f>
        <v>0</v>
      </c>
      <c r="E268" s="2"/>
      <c r="F268" s="19">
        <f t="shared" si="138"/>
        <v>0</v>
      </c>
      <c r="G268" s="2"/>
      <c r="H268" s="2">
        <f>-170.02</f>
        <v>-170.02</v>
      </c>
      <c r="I268" s="2"/>
      <c r="J268" s="19">
        <f t="shared" si="139"/>
        <v>-5.305629488520185E-5</v>
      </c>
      <c r="K268" s="2"/>
      <c r="L268" s="2">
        <f t="shared" si="140"/>
        <v>170.02</v>
      </c>
      <c r="M268" s="2"/>
      <c r="N268" s="19">
        <f t="shared" si="141"/>
        <v>-1</v>
      </c>
      <c r="O268" s="11"/>
      <c r="P268" s="2">
        <f>0</f>
        <v>0</v>
      </c>
      <c r="Q268" s="2"/>
      <c r="R268" s="19">
        <f t="shared" si="142"/>
        <v>0</v>
      </c>
      <c r="S268" s="2"/>
      <c r="T268" s="2">
        <f>-264.51</f>
        <v>-264.51</v>
      </c>
      <c r="U268" s="2"/>
      <c r="V268" s="19">
        <f t="shared" si="143"/>
        <v>-6.7360250857305664E-5</v>
      </c>
      <c r="W268" s="2"/>
      <c r="X268" s="2">
        <f t="shared" si="144"/>
        <v>264.51</v>
      </c>
      <c r="Y268" s="2"/>
      <c r="Z268" s="19">
        <f t="shared" si="145"/>
        <v>-1</v>
      </c>
    </row>
    <row r="269" spans="1:26" s="24" customFormat="1" hidden="1" outlineLevel="1" x14ac:dyDescent="0.25">
      <c r="A269" s="44"/>
      <c r="B269" s="11" t="str">
        <f>CONCATENATE("          ", "9152", " - ", "MISC. INCOME")</f>
        <v xml:space="preserve">          9152 - MISC. INCOME</v>
      </c>
      <c r="C269" s="11"/>
      <c r="D269" s="2">
        <f>--72</f>
        <v>72</v>
      </c>
      <c r="E269" s="2"/>
      <c r="F269" s="19">
        <f t="shared" si="138"/>
        <v>3.4470208196179589E-5</v>
      </c>
      <c r="G269" s="2"/>
      <c r="H269" s="2">
        <f>--7.43</f>
        <v>7.43</v>
      </c>
      <c r="I269" s="2"/>
      <c r="J269" s="19">
        <f t="shared" si="139"/>
        <v>2.318599405934888E-6</v>
      </c>
      <c r="K269" s="2"/>
      <c r="L269" s="2">
        <f t="shared" si="140"/>
        <v>64.569999999999993</v>
      </c>
      <c r="M269" s="2"/>
      <c r="N269" s="19">
        <f t="shared" si="141"/>
        <v>8.6904441453566612</v>
      </c>
      <c r="O269" s="11"/>
      <c r="P269" s="2">
        <f>--1546.39</f>
        <v>1546.39</v>
      </c>
      <c r="Q269" s="2"/>
      <c r="R269" s="19">
        <f t="shared" si="142"/>
        <v>6.1257856859182316E-4</v>
      </c>
      <c r="S269" s="2"/>
      <c r="T269" s="2">
        <f>--7.43</f>
        <v>7.43</v>
      </c>
      <c r="U269" s="2"/>
      <c r="V269" s="19">
        <f t="shared" si="143"/>
        <v>1.892127571244116E-6</v>
      </c>
      <c r="W269" s="2"/>
      <c r="X269" s="2">
        <f t="shared" si="144"/>
        <v>1538.96</v>
      </c>
      <c r="Y269" s="2"/>
      <c r="Z269" s="19">
        <f t="shared" si="145"/>
        <v>207.12786002691792</v>
      </c>
    </row>
    <row r="270" spans="1:26" s="24" customFormat="1" hidden="1" outlineLevel="1" x14ac:dyDescent="0.25">
      <c r="A270" s="44"/>
      <c r="B270" s="11" t="str">
        <f>CONCATENATE("          ", "9160", " - ", "MISC. INCOME")</f>
        <v xml:space="preserve">          9160 - MISC. INCOME</v>
      </c>
      <c r="C270" s="11"/>
      <c r="D270" s="2">
        <f t="shared" ref="D270:D271" si="148">0</f>
        <v>0</v>
      </c>
      <c r="E270" s="2"/>
      <c r="F270" s="19">
        <f t="shared" si="138"/>
        <v>0</v>
      </c>
      <c r="G270" s="2"/>
      <c r="H270" s="2">
        <f>--21170</f>
        <v>21170</v>
      </c>
      <c r="I270" s="2"/>
      <c r="J270" s="19">
        <f t="shared" si="139"/>
        <v>6.606291981647589E-3</v>
      </c>
      <c r="K270" s="2"/>
      <c r="L270" s="2">
        <f t="shared" si="140"/>
        <v>-21170</v>
      </c>
      <c r="M270" s="2"/>
      <c r="N270" s="19">
        <f t="shared" si="141"/>
        <v>-1</v>
      </c>
      <c r="O270" s="11"/>
      <c r="P270" s="2">
        <f>0</f>
        <v>0</v>
      </c>
      <c r="Q270" s="2"/>
      <c r="R270" s="19">
        <f t="shared" si="142"/>
        <v>0</v>
      </c>
      <c r="S270" s="2"/>
      <c r="T270" s="2">
        <f>--21170</f>
        <v>21170</v>
      </c>
      <c r="U270" s="2"/>
      <c r="V270" s="19">
        <f t="shared" si="143"/>
        <v>5.391162945254096E-3</v>
      </c>
      <c r="W270" s="2"/>
      <c r="X270" s="2">
        <f t="shared" si="144"/>
        <v>-21170</v>
      </c>
      <c r="Y270" s="2"/>
      <c r="Z270" s="19">
        <f t="shared" si="145"/>
        <v>-1</v>
      </c>
    </row>
    <row r="271" spans="1:26" s="24" customFormat="1" hidden="1" outlineLevel="1" x14ac:dyDescent="0.25">
      <c r="A271" s="44"/>
      <c r="B271" s="11" t="str">
        <f>CONCATENATE("          ", "9163", " - ", "MISC. INCOME")</f>
        <v xml:space="preserve">          9163 - MISC. INCOME</v>
      </c>
      <c r="C271" s="11"/>
      <c r="D271" s="2">
        <f t="shared" si="148"/>
        <v>0</v>
      </c>
      <c r="E271" s="2"/>
      <c r="F271" s="19">
        <f t="shared" si="138"/>
        <v>0</v>
      </c>
      <c r="G271" s="2"/>
      <c r="H271" s="2">
        <f>0</f>
        <v>0</v>
      </c>
      <c r="I271" s="2"/>
      <c r="J271" s="19">
        <f t="shared" si="139"/>
        <v>0</v>
      </c>
      <c r="K271" s="2"/>
      <c r="L271" s="2">
        <f t="shared" si="140"/>
        <v>0</v>
      </c>
      <c r="M271" s="2"/>
      <c r="N271" s="19">
        <f t="shared" si="141"/>
        <v>0</v>
      </c>
      <c r="O271" s="11"/>
      <c r="P271" s="2">
        <f>--160663.9</f>
        <v>160663.9</v>
      </c>
      <c r="Q271" s="2"/>
      <c r="R271" s="19">
        <f t="shared" si="142"/>
        <v>6.3644528150324176E-2</v>
      </c>
      <c r="S271" s="2"/>
      <c r="T271" s="2">
        <f>0</f>
        <v>0</v>
      </c>
      <c r="U271" s="2"/>
      <c r="V271" s="19">
        <f t="shared" si="143"/>
        <v>0</v>
      </c>
      <c r="W271" s="2"/>
      <c r="X271" s="2">
        <f t="shared" si="144"/>
        <v>160663.9</v>
      </c>
      <c r="Y271" s="2"/>
      <c r="Z271" s="19">
        <f t="shared" si="145"/>
        <v>0</v>
      </c>
    </row>
    <row r="272" spans="1:26" x14ac:dyDescent="0.25">
      <c r="A272" s="9"/>
      <c r="B272" s="10"/>
      <c r="C272" s="10"/>
      <c r="D272" s="3"/>
      <c r="E272" s="3"/>
      <c r="F272" s="8"/>
      <c r="G272" s="3"/>
      <c r="H272" s="3"/>
      <c r="I272" s="3"/>
      <c r="J272" s="8"/>
      <c r="K272" s="3"/>
      <c r="L272" s="3"/>
      <c r="M272" s="3"/>
      <c r="N272" s="8"/>
      <c r="O272" s="10"/>
      <c r="P272" s="3"/>
      <c r="Q272" s="3"/>
      <c r="R272" s="8"/>
      <c r="S272" s="3"/>
      <c r="T272" s="3"/>
      <c r="U272" s="3"/>
      <c r="V272" s="8"/>
      <c r="W272" s="3"/>
      <c r="X272" s="3"/>
      <c r="Y272" s="3"/>
      <c r="Z272" s="8"/>
    </row>
    <row r="273" spans="1:26" s="23" customFormat="1" x14ac:dyDescent="0.25">
      <c r="A273" s="10"/>
      <c r="B273" s="26" t="s">
        <v>3</v>
      </c>
      <c r="C273" s="26"/>
      <c r="D273" s="22">
        <f>+D171-D173+D261</f>
        <v>346578.76000000065</v>
      </c>
      <c r="E273" s="13"/>
      <c r="F273" s="21">
        <f>IF(D$12=0,0,D273/D$12)</f>
        <v>0.16592558352185807</v>
      </c>
      <c r="G273" s="13"/>
      <c r="H273" s="22">
        <f>+H171-H173+H261</f>
        <v>551266.39000000013</v>
      </c>
      <c r="I273" s="13"/>
      <c r="J273" s="21">
        <f>IF(H$12=0,0,H273/H$12)</f>
        <v>0.1720277152578561</v>
      </c>
      <c r="K273" s="16"/>
      <c r="L273" s="22">
        <f>+D273-H273</f>
        <v>-204687.62999999948</v>
      </c>
      <c r="M273" s="16"/>
      <c r="N273" s="21">
        <f>IF(H273=0,0,L273/H273)</f>
        <v>-0.37130438879105149</v>
      </c>
      <c r="O273" s="25"/>
      <c r="P273" s="22">
        <f>+P171-P173+P261</f>
        <v>323978.54000000062</v>
      </c>
      <c r="Q273" s="13"/>
      <c r="R273" s="21">
        <f>IF(P$12=0,0,P273/P$12)</f>
        <v>0.1283391061036796</v>
      </c>
      <c r="S273" s="13"/>
      <c r="T273" s="22">
        <f>+T171-T173+T261</f>
        <v>427390.21000000072</v>
      </c>
      <c r="U273" s="13"/>
      <c r="V273" s="21">
        <f>IF(T$12=0,0,T273/T$12)</f>
        <v>0.10883940780899247</v>
      </c>
      <c r="W273" s="16"/>
      <c r="X273" s="22">
        <f>+P273-T273</f>
        <v>-103411.6700000001</v>
      </c>
      <c r="Y273" s="16"/>
      <c r="Z273" s="21">
        <f>IF(T273=0,0,X273/T273)</f>
        <v>-0.24196078333193435</v>
      </c>
    </row>
    <row r="274" spans="1:26" x14ac:dyDescent="0.25">
      <c r="A274" s="9"/>
      <c r="B274" s="10"/>
      <c r="C274" s="9"/>
      <c r="D274" s="3"/>
      <c r="E274" s="3"/>
      <c r="F274" s="8"/>
      <c r="G274" s="3"/>
      <c r="H274" s="3"/>
      <c r="I274" s="3"/>
      <c r="J274" s="8"/>
      <c r="K274" s="3"/>
      <c r="L274" s="3"/>
      <c r="M274" s="3"/>
      <c r="N274" s="8"/>
      <c r="P274" s="3"/>
      <c r="Q274" s="3"/>
      <c r="R274" s="8"/>
      <c r="S274" s="3"/>
      <c r="T274" s="3"/>
      <c r="U274" s="3"/>
      <c r="V274" s="8"/>
      <c r="W274" s="3"/>
      <c r="X274" s="3"/>
      <c r="Y274" s="3"/>
      <c r="Z274" s="8"/>
    </row>
    <row r="275" spans="1:26" s="23" customFormat="1" x14ac:dyDescent="0.25">
      <c r="A275" s="51"/>
      <c r="B275" s="10" t="s">
        <v>13</v>
      </c>
      <c r="C275" s="10"/>
      <c r="D275" s="4">
        <v>211357.75</v>
      </c>
      <c r="E275" s="4"/>
      <c r="F275" s="12">
        <f>IF(D$12=0,0,D275/D$12)</f>
        <v>0.10118813397744551</v>
      </c>
      <c r="G275" s="4"/>
      <c r="H275" s="4">
        <v>339417.49</v>
      </c>
      <c r="I275" s="4"/>
      <c r="J275" s="12">
        <f>IF(H$12=0,0,H275/H$12)</f>
        <v>0.10591832983551963</v>
      </c>
      <c r="K275" s="4"/>
      <c r="L275" s="4">
        <f>+D275-H275</f>
        <v>-128059.73999999999</v>
      </c>
      <c r="M275" s="4"/>
      <c r="N275" s="12">
        <f>IF(H275=0,0,L275/H275)</f>
        <v>-0.37729269637813889</v>
      </c>
      <c r="O275" s="10"/>
      <c r="P275" s="4">
        <v>426210.48000000004</v>
      </c>
      <c r="Q275" s="4"/>
      <c r="R275" s="12">
        <f>IF(P$12=0,0,P275/P$12)</f>
        <v>0.16883671373795348</v>
      </c>
      <c r="S275" s="4"/>
      <c r="T275" s="4">
        <v>489599.91</v>
      </c>
      <c r="U275" s="4"/>
      <c r="V275" s="12">
        <f>IF(T$12=0,0,T275/T$12)</f>
        <v>0.12468176158676147</v>
      </c>
      <c r="W275" s="4"/>
      <c r="X275" s="4">
        <f>+P275-T275</f>
        <v>-63389.429999999935</v>
      </c>
      <c r="Y275" s="4"/>
      <c r="Z275" s="12">
        <f>IF(T275=0,0,X275/T275)</f>
        <v>-0.12947189879998128</v>
      </c>
    </row>
    <row r="276" spans="1:26" x14ac:dyDescent="0.25">
      <c r="A276" s="9"/>
      <c r="B276" s="10"/>
      <c r="C276" s="10"/>
      <c r="D276" s="3"/>
      <c r="E276" s="3"/>
      <c r="F276" s="8"/>
      <c r="G276" s="3"/>
      <c r="H276" s="3"/>
      <c r="I276" s="3"/>
      <c r="J276" s="8"/>
      <c r="K276" s="3"/>
      <c r="L276" s="3"/>
      <c r="M276" s="3"/>
      <c r="N276" s="8"/>
      <c r="O276" s="10"/>
      <c r="P276" s="3"/>
      <c r="Q276" s="3"/>
      <c r="R276" s="8"/>
      <c r="S276" s="3"/>
      <c r="T276" s="3"/>
      <c r="U276" s="3"/>
      <c r="V276" s="8"/>
      <c r="W276" s="3"/>
      <c r="X276" s="3"/>
      <c r="Y276" s="3"/>
      <c r="Z276" s="8"/>
    </row>
    <row r="277" spans="1:26" s="23" customFormat="1" ht="15.75" thickBot="1" x14ac:dyDescent="0.3">
      <c r="A277" s="10"/>
      <c r="B277" s="26" t="s">
        <v>4</v>
      </c>
      <c r="C277" s="26"/>
      <c r="D277" s="36">
        <f>+D273-D275</f>
        <v>135221.01000000065</v>
      </c>
      <c r="E277" s="13"/>
      <c r="F277" s="34">
        <f>IF(D$12=0,0,D277/D$12)</f>
        <v>6.4737449544412573E-2</v>
      </c>
      <c r="G277" s="13"/>
      <c r="H277" s="36">
        <f>+H273-H275</f>
        <v>211848.90000000014</v>
      </c>
      <c r="I277" s="13"/>
      <c r="J277" s="34">
        <f>IF(H$12=0,0,H277/H$12)</f>
        <v>6.610938542233645E-2</v>
      </c>
      <c r="K277" s="16"/>
      <c r="L277" s="36">
        <f>D277-H277</f>
        <v>-76627.88999999949</v>
      </c>
      <c r="M277" s="16"/>
      <c r="N277" s="34">
        <f>IF(H277=0,0,L277/H277)</f>
        <v>-0.36171011508674078</v>
      </c>
      <c r="O277" s="25"/>
      <c r="P277" s="36">
        <f>+P273-P275</f>
        <v>-102231.93999999942</v>
      </c>
      <c r="Q277" s="13"/>
      <c r="R277" s="34">
        <f>IF(P$12=0,0,P277/P$12)</f>
        <v>-4.0497607634273888E-2</v>
      </c>
      <c r="S277" s="13"/>
      <c r="T277" s="36">
        <f>+T273-T275</f>
        <v>-62209.699999999255</v>
      </c>
      <c r="U277" s="13"/>
      <c r="V277" s="34">
        <f>IF(T$12=0,0,T277/T$12)</f>
        <v>-1.5842353777769002E-2</v>
      </c>
      <c r="W277" s="16"/>
      <c r="X277" s="36">
        <f>P277-T277</f>
        <v>-40022.240000000165</v>
      </c>
      <c r="Y277" s="16"/>
      <c r="Z277" s="34">
        <f>IF(T277=0,0,X277/T277)</f>
        <v>0.6433440444175208</v>
      </c>
    </row>
    <row r="278" spans="1:26" ht="15.75" thickTop="1" x14ac:dyDescent="0.25">
      <c r="A278" s="9"/>
      <c r="B278" s="9"/>
      <c r="C278" s="9"/>
      <c r="D278" s="3"/>
      <c r="E278" s="3"/>
      <c r="F278" s="8"/>
      <c r="G278" s="3"/>
      <c r="H278" s="3"/>
      <c r="I278" s="3"/>
      <c r="J278" s="8"/>
      <c r="K278" s="3"/>
      <c r="L278" s="3"/>
      <c r="M278" s="3"/>
      <c r="N278" s="8"/>
      <c r="P278" s="3"/>
      <c r="Q278" s="3"/>
      <c r="R278" s="8"/>
      <c r="S278" s="3"/>
      <c r="T278" s="3"/>
      <c r="U278" s="3"/>
      <c r="V278" s="8"/>
      <c r="W278" s="3"/>
      <c r="X278" s="3"/>
      <c r="Y278" s="3"/>
      <c r="Z278" s="8"/>
    </row>
    <row r="279" spans="1:26" x14ac:dyDescent="0.25">
      <c r="A279" s="9"/>
      <c r="B279" s="9"/>
      <c r="C279" s="9"/>
      <c r="D279" s="3"/>
      <c r="E279" s="3"/>
      <c r="F279" s="8"/>
      <c r="G279" s="3"/>
      <c r="H279" s="3"/>
      <c r="I279" s="3"/>
      <c r="J279" s="8"/>
      <c r="K279" s="3"/>
      <c r="L279" s="3"/>
      <c r="M279" s="3"/>
      <c r="N279" s="8"/>
      <c r="P279" s="3"/>
      <c r="Q279" s="3"/>
      <c r="R279" s="8"/>
      <c r="S279" s="3"/>
      <c r="T279" s="3"/>
      <c r="U279" s="3"/>
      <c r="V279" s="8"/>
      <c r="W279" s="3"/>
      <c r="X279" s="3"/>
      <c r="Y279" s="3"/>
      <c r="Z279" s="8"/>
    </row>
    <row r="280" spans="1:26" s="23" customFormat="1" ht="15.75" thickBot="1" x14ac:dyDescent="0.3">
      <c r="A280" s="10"/>
      <c r="B280" s="26" t="s">
        <v>5</v>
      </c>
      <c r="C280" s="26"/>
      <c r="D280" s="30">
        <f>SUM(D277:D279)</f>
        <v>135221.01000000065</v>
      </c>
      <c r="E280" s="13"/>
      <c r="F280" s="31">
        <f>IF(D$12=0,0,D280/D$12)</f>
        <v>6.4737449544412573E-2</v>
      </c>
      <c r="G280" s="13"/>
      <c r="H280" s="30">
        <f>SUM(H277:H279)</f>
        <v>211848.90000000014</v>
      </c>
      <c r="I280" s="13"/>
      <c r="J280" s="31">
        <f>IF(H$12=0,0,H280/H$12)</f>
        <v>6.610938542233645E-2</v>
      </c>
      <c r="K280" s="16"/>
      <c r="L280" s="30">
        <f>+D280-H280</f>
        <v>-76627.88999999949</v>
      </c>
      <c r="M280" s="16"/>
      <c r="N280" s="31">
        <f>IF(H280=0,0,L280/H280)</f>
        <v>-0.36171011508674078</v>
      </c>
      <c r="O280" s="25"/>
      <c r="P280" s="30">
        <f>SUM(P277:P279)</f>
        <v>-102231.93999999942</v>
      </c>
      <c r="Q280" s="13"/>
      <c r="R280" s="31">
        <f>IF(P$12=0,0,P280/P$12)</f>
        <v>-4.0497607634273888E-2</v>
      </c>
      <c r="S280" s="13"/>
      <c r="T280" s="30">
        <f>SUM(T277:T279)</f>
        <v>-62209.699999999255</v>
      </c>
      <c r="U280" s="13"/>
      <c r="V280" s="31">
        <f>IF(T$12=0,0,T280/T$12)</f>
        <v>-1.5842353777769002E-2</v>
      </c>
      <c r="W280" s="16"/>
      <c r="X280" s="30">
        <f>+P280-T280</f>
        <v>-40022.240000000165</v>
      </c>
      <c r="Y280" s="16"/>
      <c r="Z280" s="31">
        <f>IF(T280=0,0,X280/T280)</f>
        <v>0.6433440444175208</v>
      </c>
    </row>
    <row r="281" spans="1:26" ht="15.75" thickTop="1" x14ac:dyDescent="0.25">
      <c r="A281" s="9"/>
      <c r="C281" s="9"/>
      <c r="D281" s="18"/>
      <c r="E281" s="18"/>
      <c r="G281" s="18"/>
      <c r="H281" s="18"/>
      <c r="I281" s="18"/>
      <c r="J281" s="43"/>
      <c r="K281" s="18"/>
      <c r="L281" s="18"/>
      <c r="M281" s="18"/>
      <c r="P281" s="18"/>
      <c r="Q281" s="18"/>
      <c r="R281" s="43"/>
      <c r="S281" s="18"/>
      <c r="T281" s="18"/>
      <c r="U281" s="18"/>
      <c r="V281" s="43"/>
      <c r="W281" s="18"/>
      <c r="X281" s="18"/>
    </row>
    <row r="282" spans="1:26" x14ac:dyDescent="0.25">
      <c r="A282" s="9"/>
      <c r="B282" s="61">
        <v>44113.69568005787</v>
      </c>
      <c r="D282" s="18"/>
      <c r="E282" s="18"/>
      <c r="G282" s="18"/>
      <c r="H282" s="18"/>
      <c r="I282" s="18"/>
      <c r="J282" s="43"/>
      <c r="K282" s="18"/>
      <c r="L282" s="18"/>
      <c r="M282" s="18"/>
      <c r="P282" s="18"/>
      <c r="Q282" s="18"/>
      <c r="R282" s="43"/>
      <c r="S282" s="18"/>
      <c r="T282" s="18"/>
      <c r="U282" s="18"/>
      <c r="V282" s="43"/>
      <c r="W282" s="18"/>
      <c r="X282" s="18"/>
    </row>
    <row r="283" spans="1:26" x14ac:dyDescent="0.25">
      <c r="A283" s="9"/>
      <c r="B283" s="56" t="s">
        <v>313</v>
      </c>
      <c r="D283" s="18"/>
      <c r="E283" s="18"/>
      <c r="G283" s="18"/>
      <c r="H283" s="18"/>
      <c r="I283" s="18"/>
      <c r="J283" s="43"/>
      <c r="K283" s="18"/>
      <c r="L283" s="18"/>
      <c r="M283" s="18"/>
      <c r="P283" s="18"/>
      <c r="Q283" s="18"/>
      <c r="R283" s="43"/>
      <c r="S283" s="18"/>
      <c r="T283" s="18"/>
      <c r="U283" s="18"/>
      <c r="V283" s="43"/>
      <c r="W283" s="18"/>
      <c r="X283" s="18"/>
    </row>
    <row r="284" spans="1:26" x14ac:dyDescent="0.25">
      <c r="A284" s="9"/>
      <c r="B284" s="58"/>
      <c r="D284" s="18"/>
      <c r="E284" s="18"/>
      <c r="G284" s="18"/>
      <c r="H284" s="18"/>
      <c r="I284" s="18"/>
      <c r="J284" s="43"/>
      <c r="K284" s="18"/>
      <c r="L284" s="18"/>
      <c r="M284" s="18"/>
      <c r="P284" s="18"/>
      <c r="Q284" s="18"/>
      <c r="R284" s="43"/>
      <c r="S284" s="18"/>
      <c r="T284" s="18"/>
      <c r="U284" s="18"/>
      <c r="V284" s="43"/>
      <c r="W284" s="18"/>
      <c r="X284" s="18"/>
    </row>
    <row r="285" spans="1:26" x14ac:dyDescent="0.25">
      <c r="D285" s="18"/>
      <c r="E285" s="18"/>
      <c r="G285" s="18"/>
      <c r="H285" s="18"/>
      <c r="I285" s="18"/>
      <c r="J285" s="43"/>
      <c r="K285" s="18"/>
      <c r="L285" s="18"/>
      <c r="M285" s="18"/>
      <c r="P285" s="18"/>
      <c r="Q285" s="18"/>
      <c r="R285" s="43"/>
      <c r="S285" s="18"/>
      <c r="T285" s="18"/>
      <c r="U285" s="18"/>
      <c r="V285" s="43"/>
      <c r="W285" s="18"/>
      <c r="X285" s="18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","301", " - ", "Bookstore Operations")</f>
        <v>Department 301 - Bookstore Operations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141962.66000000003</v>
      </c>
      <c r="E18" s="20"/>
      <c r="F18" s="35">
        <f t="shared" ref="F18:F28" si="0">IF(D$12=0,0,D18/D$12)</f>
        <v>0</v>
      </c>
      <c r="G18" s="20"/>
      <c r="H18" s="20">
        <f>SUM(OSRRefH22x_0)</f>
        <v>161084.52999999994</v>
      </c>
      <c r="I18" s="20"/>
      <c r="J18" s="35">
        <f t="shared" ref="J18:J28" si="1">IF(H$12=0,0,H18/H$12)</f>
        <v>0</v>
      </c>
      <c r="K18" s="4"/>
      <c r="L18" s="20">
        <f t="shared" ref="L18:L28" si="2">+D18-H18</f>
        <v>-19121.869999999908</v>
      </c>
      <c r="M18" s="4"/>
      <c r="N18" s="35">
        <f t="shared" ref="N18:N28" si="3">IF(H18=0,0,L18/H18)</f>
        <v>-0.11870705399208674</v>
      </c>
      <c r="O18" s="10"/>
      <c r="P18" s="20">
        <f>SUM(OSRRefP22x_0)</f>
        <v>307379.36</v>
      </c>
      <c r="Q18" s="20"/>
      <c r="R18" s="35">
        <f t="shared" ref="R18:R28" si="4">IF(P$12=0,0,P18/P$12)</f>
        <v>0</v>
      </c>
      <c r="S18" s="20"/>
      <c r="T18" s="20">
        <f>SUM(OSRRefT22x_0)</f>
        <v>285527.59000000003</v>
      </c>
      <c r="U18" s="20"/>
      <c r="V18" s="35">
        <f t="shared" ref="V18:V28" si="5">IF(T$12=0,0,T18/T$12)</f>
        <v>0</v>
      </c>
      <c r="W18" s="4"/>
      <c r="X18" s="20">
        <f t="shared" ref="X18:X28" si="6">+P18-T18</f>
        <v>21851.76999999996</v>
      </c>
      <c r="Y18" s="4"/>
      <c r="Z18" s="35">
        <f t="shared" ref="Z18:Z28" si="7">IF(T18=0,0,X18/T18)</f>
        <v>7.6531203166741113E-2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9570.6299999999992</v>
      </c>
      <c r="E19" s="1"/>
      <c r="F19" s="5">
        <f t="shared" si="0"/>
        <v>0</v>
      </c>
      <c r="G19" s="1"/>
      <c r="H19" s="1">
        <f>SUM(OSRRefH22_0x_0)</f>
        <v>15027.98</v>
      </c>
      <c r="I19" s="1"/>
      <c r="J19" s="5">
        <f t="shared" si="1"/>
        <v>0</v>
      </c>
      <c r="K19" s="1"/>
      <c r="L19" s="1">
        <f t="shared" si="2"/>
        <v>-5457.35</v>
      </c>
      <c r="M19" s="1"/>
      <c r="N19" s="5">
        <f t="shared" si="3"/>
        <v>-0.36314594509707893</v>
      </c>
      <c r="O19" s="14"/>
      <c r="P19" s="1">
        <f>SUM(OSRRefP22_0x_0)</f>
        <v>18086.96</v>
      </c>
      <c r="Q19" s="1"/>
      <c r="R19" s="5">
        <f t="shared" si="4"/>
        <v>0</v>
      </c>
      <c r="S19" s="1"/>
      <c r="T19" s="1">
        <f>SUM(OSRRefT22_0x_0)</f>
        <v>29363.340000000004</v>
      </c>
      <c r="U19" s="1"/>
      <c r="V19" s="5">
        <f t="shared" si="5"/>
        <v>0</v>
      </c>
      <c r="W19" s="1"/>
      <c r="X19" s="1">
        <f t="shared" si="6"/>
        <v>-11276.380000000005</v>
      </c>
      <c r="Y19" s="1"/>
      <c r="Z19" s="5">
        <f t="shared" si="7"/>
        <v>-0.38402920103775673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4014.83</v>
      </c>
      <c r="E20" s="2"/>
      <c r="F20" s="6">
        <f t="shared" si="0"/>
        <v>0</v>
      </c>
      <c r="G20" s="2"/>
      <c r="H20" s="7">
        <v>4055.31</v>
      </c>
      <c r="I20" s="2"/>
      <c r="J20" s="6">
        <f t="shared" si="1"/>
        <v>0</v>
      </c>
      <c r="K20" s="2"/>
      <c r="L20" s="7">
        <f t="shared" si="2"/>
        <v>-40.480000000000018</v>
      </c>
      <c r="M20" s="2"/>
      <c r="N20" s="6">
        <f t="shared" si="3"/>
        <v>-9.9819742510436973E-3</v>
      </c>
      <c r="O20" s="11"/>
      <c r="P20" s="7">
        <v>6261.85</v>
      </c>
      <c r="Q20" s="2"/>
      <c r="R20" s="6">
        <f t="shared" si="4"/>
        <v>0</v>
      </c>
      <c r="S20" s="2"/>
      <c r="T20" s="7">
        <v>6618.05</v>
      </c>
      <c r="U20" s="2"/>
      <c r="V20" s="6">
        <f t="shared" si="5"/>
        <v>0</v>
      </c>
      <c r="W20" s="2"/>
      <c r="X20" s="7">
        <f t="shared" si="6"/>
        <v>-356.19999999999982</v>
      </c>
      <c r="Y20" s="2"/>
      <c r="Z20" s="6">
        <f t="shared" si="7"/>
        <v>-5.3822500585519878E-2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831.57</v>
      </c>
      <c r="E21" s="2"/>
      <c r="F21" s="6">
        <f t="shared" si="0"/>
        <v>0</v>
      </c>
      <c r="G21" s="2"/>
      <c r="H21" s="7">
        <v>743.22</v>
      </c>
      <c r="I21" s="2"/>
      <c r="J21" s="6">
        <f t="shared" si="1"/>
        <v>0</v>
      </c>
      <c r="K21" s="2"/>
      <c r="L21" s="7">
        <f t="shared" si="2"/>
        <v>88.350000000000023</v>
      </c>
      <c r="M21" s="2"/>
      <c r="N21" s="6">
        <f t="shared" si="3"/>
        <v>0.1188746266246872</v>
      </c>
      <c r="O21" s="11"/>
      <c r="P21" s="7">
        <v>1578.59</v>
      </c>
      <c r="Q21" s="2"/>
      <c r="R21" s="6">
        <f t="shared" si="4"/>
        <v>0</v>
      </c>
      <c r="S21" s="2"/>
      <c r="T21" s="7">
        <v>1090.0899999999999</v>
      </c>
      <c r="U21" s="2"/>
      <c r="V21" s="6">
        <f t="shared" si="5"/>
        <v>0</v>
      </c>
      <c r="W21" s="2"/>
      <c r="X21" s="7">
        <f t="shared" si="6"/>
        <v>488.5</v>
      </c>
      <c r="Y21" s="2"/>
      <c r="Z21" s="6">
        <f t="shared" si="7"/>
        <v>0.44812813620893693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1722.33</v>
      </c>
      <c r="E22" s="2"/>
      <c r="F22" s="6">
        <f t="shared" si="0"/>
        <v>0</v>
      </c>
      <c r="G22" s="2"/>
      <c r="H22" s="7">
        <v>5472.97</v>
      </c>
      <c r="I22" s="2"/>
      <c r="J22" s="6">
        <f t="shared" si="1"/>
        <v>0</v>
      </c>
      <c r="K22" s="2"/>
      <c r="L22" s="7">
        <f t="shared" si="2"/>
        <v>-3750.6400000000003</v>
      </c>
      <c r="M22" s="2"/>
      <c r="N22" s="6">
        <f t="shared" si="3"/>
        <v>-0.68530249571987423</v>
      </c>
      <c r="O22" s="11"/>
      <c r="P22" s="7">
        <v>3379.72</v>
      </c>
      <c r="Q22" s="2"/>
      <c r="R22" s="6">
        <f t="shared" si="4"/>
        <v>0</v>
      </c>
      <c r="S22" s="2"/>
      <c r="T22" s="7">
        <v>10945.94</v>
      </c>
      <c r="U22" s="2"/>
      <c r="V22" s="6">
        <f t="shared" si="5"/>
        <v>0</v>
      </c>
      <c r="W22" s="2"/>
      <c r="X22" s="7">
        <f t="shared" si="6"/>
        <v>-7566.2200000000012</v>
      </c>
      <c r="Y22" s="2"/>
      <c r="Z22" s="6">
        <f t="shared" si="7"/>
        <v>-0.691235289066083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140.86000000000001</v>
      </c>
      <c r="E23" s="2"/>
      <c r="F23" s="6">
        <f t="shared" si="0"/>
        <v>0</v>
      </c>
      <c r="G23" s="2"/>
      <c r="H23" s="7">
        <v>143.16</v>
      </c>
      <c r="I23" s="2"/>
      <c r="J23" s="6">
        <f t="shared" si="1"/>
        <v>0</v>
      </c>
      <c r="K23" s="2"/>
      <c r="L23" s="7">
        <f t="shared" si="2"/>
        <v>-2.2999999999999829</v>
      </c>
      <c r="M23" s="2"/>
      <c r="N23" s="6">
        <f t="shared" si="3"/>
        <v>-1.6065940206761546E-2</v>
      </c>
      <c r="O23" s="11"/>
      <c r="P23" s="7">
        <v>245.86</v>
      </c>
      <c r="Q23" s="2"/>
      <c r="R23" s="6">
        <f t="shared" si="4"/>
        <v>0</v>
      </c>
      <c r="S23" s="2"/>
      <c r="T23" s="7">
        <v>230.79</v>
      </c>
      <c r="U23" s="2"/>
      <c r="V23" s="6">
        <f t="shared" si="5"/>
        <v>0</v>
      </c>
      <c r="W23" s="2"/>
      <c r="X23" s="7">
        <f t="shared" si="6"/>
        <v>15.070000000000022</v>
      </c>
      <c r="Y23" s="2"/>
      <c r="Z23" s="6">
        <f t="shared" si="7"/>
        <v>6.5297456562242825E-2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1171.6300000000001</v>
      </c>
      <c r="E24" s="2"/>
      <c r="F24" s="6">
        <f t="shared" si="0"/>
        <v>0</v>
      </c>
      <c r="G24" s="2"/>
      <c r="H24" s="7">
        <v>1730.14</v>
      </c>
      <c r="I24" s="2"/>
      <c r="J24" s="6">
        <f t="shared" si="1"/>
        <v>0</v>
      </c>
      <c r="K24" s="2"/>
      <c r="L24" s="7">
        <f t="shared" si="2"/>
        <v>-558.51</v>
      </c>
      <c r="M24" s="2"/>
      <c r="N24" s="6">
        <f t="shared" si="3"/>
        <v>-0.3228120267723999</v>
      </c>
      <c r="O24" s="11"/>
      <c r="P24" s="7">
        <v>2530.9699999999998</v>
      </c>
      <c r="Q24" s="2"/>
      <c r="R24" s="6">
        <f t="shared" si="4"/>
        <v>0</v>
      </c>
      <c r="S24" s="2"/>
      <c r="T24" s="7">
        <v>3460.28</v>
      </c>
      <c r="U24" s="2"/>
      <c r="V24" s="6">
        <f t="shared" si="5"/>
        <v>0</v>
      </c>
      <c r="W24" s="2"/>
      <c r="X24" s="7">
        <f t="shared" si="6"/>
        <v>-929.3100000000004</v>
      </c>
      <c r="Y24" s="2"/>
      <c r="Z24" s="6">
        <f t="shared" si="7"/>
        <v>-0.26856497162079379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401.9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401.9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982.38</v>
      </c>
      <c r="E26" s="2"/>
      <c r="F26" s="6">
        <f t="shared" si="0"/>
        <v>0</v>
      </c>
      <c r="G26" s="2"/>
      <c r="H26" s="7">
        <v>1533.86</v>
      </c>
      <c r="I26" s="2"/>
      <c r="J26" s="6">
        <f t="shared" si="1"/>
        <v>0</v>
      </c>
      <c r="K26" s="2"/>
      <c r="L26" s="7">
        <f t="shared" si="2"/>
        <v>-551.4799999999999</v>
      </c>
      <c r="M26" s="2"/>
      <c r="N26" s="6">
        <f t="shared" si="3"/>
        <v>-0.35953737629249083</v>
      </c>
      <c r="O26" s="11"/>
      <c r="P26" s="7">
        <v>2144.36</v>
      </c>
      <c r="Q26" s="2"/>
      <c r="R26" s="6">
        <f t="shared" si="4"/>
        <v>0</v>
      </c>
      <c r="S26" s="2"/>
      <c r="T26" s="7">
        <v>3741.08</v>
      </c>
      <c r="U26" s="2"/>
      <c r="V26" s="6">
        <f t="shared" si="5"/>
        <v>0</v>
      </c>
      <c r="W26" s="2"/>
      <c r="X26" s="7">
        <f t="shared" si="6"/>
        <v>-1596.7199999999998</v>
      </c>
      <c r="Y26" s="2"/>
      <c r="Z26" s="6">
        <f t="shared" si="7"/>
        <v>-0.42680723213617455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616.29</v>
      </c>
      <c r="E27" s="2"/>
      <c r="F27" s="6">
        <f t="shared" si="0"/>
        <v>0</v>
      </c>
      <c r="G27" s="2"/>
      <c r="H27" s="7">
        <v>899.32</v>
      </c>
      <c r="I27" s="2"/>
      <c r="J27" s="6">
        <f t="shared" si="1"/>
        <v>0</v>
      </c>
      <c r="K27" s="2"/>
      <c r="L27" s="7">
        <f t="shared" si="2"/>
        <v>-283.03000000000009</v>
      </c>
      <c r="M27" s="2"/>
      <c r="N27" s="6">
        <f t="shared" si="3"/>
        <v>-0.31471556286972385</v>
      </c>
      <c r="O27" s="11"/>
      <c r="P27" s="7">
        <v>1374.62</v>
      </c>
      <c r="Q27" s="2"/>
      <c r="R27" s="6">
        <f t="shared" si="4"/>
        <v>0</v>
      </c>
      <c r="S27" s="2"/>
      <c r="T27" s="7">
        <v>2445.9</v>
      </c>
      <c r="U27" s="2"/>
      <c r="V27" s="6">
        <f t="shared" si="5"/>
        <v>0</v>
      </c>
      <c r="W27" s="2"/>
      <c r="X27" s="7">
        <f t="shared" si="6"/>
        <v>-1071.2800000000002</v>
      </c>
      <c r="Y27" s="2"/>
      <c r="Z27" s="6">
        <f t="shared" si="7"/>
        <v>-0.43799010589149195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90.74</v>
      </c>
      <c r="E28" s="2"/>
      <c r="F28" s="6">
        <f t="shared" si="0"/>
        <v>0</v>
      </c>
      <c r="G28" s="2"/>
      <c r="H28" s="7">
        <v>450</v>
      </c>
      <c r="I28" s="2"/>
      <c r="J28" s="6">
        <f t="shared" si="1"/>
        <v>0</v>
      </c>
      <c r="K28" s="2"/>
      <c r="L28" s="7">
        <f t="shared" si="2"/>
        <v>-359.26</v>
      </c>
      <c r="M28" s="2"/>
      <c r="N28" s="6">
        <f t="shared" si="3"/>
        <v>-0.79835555555555549</v>
      </c>
      <c r="O28" s="11"/>
      <c r="P28" s="7">
        <v>169.09</v>
      </c>
      <c r="Q28" s="2"/>
      <c r="R28" s="6">
        <f t="shared" si="4"/>
        <v>0</v>
      </c>
      <c r="S28" s="2"/>
      <c r="T28" s="7">
        <v>831.21</v>
      </c>
      <c r="U28" s="2"/>
      <c r="V28" s="6">
        <f t="shared" si="5"/>
        <v>0</v>
      </c>
      <c r="W28" s="2"/>
      <c r="X28" s="7">
        <f t="shared" si="6"/>
        <v>-662.12</v>
      </c>
      <c r="Y28" s="2"/>
      <c r="Z28" s="6">
        <f t="shared" si="7"/>
        <v>-0.79657366971042209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65252.41</v>
      </c>
      <c r="E29" s="1"/>
      <c r="F29" s="5">
        <f t="shared" ref="F29:F36" si="8">IF(D$12=0,0,D29/D$12)</f>
        <v>0</v>
      </c>
      <c r="G29" s="1"/>
      <c r="H29" s="1">
        <f>SUM(OSRRefH22_1x_0)</f>
        <v>77708.799999999988</v>
      </c>
      <c r="I29" s="1"/>
      <c r="J29" s="5">
        <f t="shared" ref="J29:J36" si="9">IF(H$12=0,0,H29/H$12)</f>
        <v>0</v>
      </c>
      <c r="K29" s="1"/>
      <c r="L29" s="1">
        <f t="shared" ref="L29:L36" si="10">+D29-H29</f>
        <v>-12456.389999999985</v>
      </c>
      <c r="M29" s="1"/>
      <c r="N29" s="5">
        <f t="shared" ref="N29:N36" si="11">IF(H29=0,0,L29/H29)</f>
        <v>-0.16029574514083331</v>
      </c>
      <c r="O29" s="14"/>
      <c r="P29" s="1">
        <f>SUM(OSRRefP22_1x_0)</f>
        <v>109075.02</v>
      </c>
      <c r="Q29" s="1"/>
      <c r="R29" s="5">
        <f t="shared" ref="R29:R36" si="12">IF(P$12=0,0,P29/P$12)</f>
        <v>0</v>
      </c>
      <c r="S29" s="1"/>
      <c r="T29" s="1">
        <f>SUM(OSRRefT22_1x_0)</f>
        <v>115485.51999999999</v>
      </c>
      <c r="U29" s="1"/>
      <c r="V29" s="5">
        <f t="shared" ref="V29:V36" si="13">IF(T$12=0,0,T29/T$12)</f>
        <v>0</v>
      </c>
      <c r="W29" s="1"/>
      <c r="X29" s="1">
        <f t="shared" ref="X29:X36" si="14">+P29-T29</f>
        <v>-6410.4999999999854</v>
      </c>
      <c r="Y29" s="1"/>
      <c r="Z29" s="5">
        <f t="shared" ref="Z29:Z36" si="15">IF(T29=0,0,X29/T29)</f>
        <v>-5.5509123568045465E-2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4205.74</v>
      </c>
      <c r="E30" s="2"/>
      <c r="F30" s="6">
        <f t="shared" si="8"/>
        <v>0</v>
      </c>
      <c r="G30" s="2"/>
      <c r="H30" s="7">
        <v>10181.280000000001</v>
      </c>
      <c r="I30" s="2"/>
      <c r="J30" s="6">
        <f t="shared" si="9"/>
        <v>0</v>
      </c>
      <c r="K30" s="2"/>
      <c r="L30" s="7">
        <f t="shared" si="10"/>
        <v>-5975.5400000000009</v>
      </c>
      <c r="M30" s="2"/>
      <c r="N30" s="6">
        <f t="shared" si="11"/>
        <v>-0.58691441547624668</v>
      </c>
      <c r="O30" s="11"/>
      <c r="P30" s="7">
        <v>9042.91</v>
      </c>
      <c r="Q30" s="2"/>
      <c r="R30" s="6">
        <f t="shared" si="12"/>
        <v>0</v>
      </c>
      <c r="S30" s="2"/>
      <c r="T30" s="7">
        <v>23041.56</v>
      </c>
      <c r="U30" s="2"/>
      <c r="V30" s="6">
        <f t="shared" si="13"/>
        <v>0</v>
      </c>
      <c r="W30" s="2"/>
      <c r="X30" s="7">
        <f t="shared" si="14"/>
        <v>-13998.650000000001</v>
      </c>
      <c r="Y30" s="2"/>
      <c r="Z30" s="6">
        <f t="shared" si="15"/>
        <v>-0.60753915967495264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>
        <v>9219.92</v>
      </c>
      <c r="E31" s="2"/>
      <c r="F31" s="6">
        <f t="shared" si="8"/>
        <v>0</v>
      </c>
      <c r="G31" s="2"/>
      <c r="H31" s="7">
        <v>10349.57</v>
      </c>
      <c r="I31" s="2"/>
      <c r="J31" s="6">
        <f t="shared" si="9"/>
        <v>0</v>
      </c>
      <c r="K31" s="2"/>
      <c r="L31" s="7">
        <f t="shared" si="10"/>
        <v>-1129.6499999999996</v>
      </c>
      <c r="M31" s="2"/>
      <c r="N31" s="6">
        <f t="shared" si="11"/>
        <v>-0.10914946224818999</v>
      </c>
      <c r="O31" s="11"/>
      <c r="P31" s="7">
        <v>18076.22</v>
      </c>
      <c r="Q31" s="2"/>
      <c r="R31" s="6">
        <f t="shared" si="12"/>
        <v>0</v>
      </c>
      <c r="S31" s="2"/>
      <c r="T31" s="7">
        <v>16739.32</v>
      </c>
      <c r="U31" s="2"/>
      <c r="V31" s="6">
        <f t="shared" si="13"/>
        <v>0</v>
      </c>
      <c r="W31" s="2"/>
      <c r="X31" s="7">
        <f t="shared" si="14"/>
        <v>1336.9000000000015</v>
      </c>
      <c r="Y31" s="2"/>
      <c r="Z31" s="6">
        <f t="shared" si="15"/>
        <v>7.9865848791946234E-2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/>
      <c r="I32" s="2"/>
      <c r="J32" s="6">
        <f t="shared" si="9"/>
        <v>0</v>
      </c>
      <c r="K32" s="2"/>
      <c r="L32" s="7">
        <f t="shared" si="10"/>
        <v>0</v>
      </c>
      <c r="M32" s="2"/>
      <c r="N32" s="6">
        <f t="shared" si="11"/>
        <v>0</v>
      </c>
      <c r="O32" s="11"/>
      <c r="P32" s="7">
        <v>3465.6</v>
      </c>
      <c r="Q32" s="2"/>
      <c r="R32" s="6">
        <f t="shared" si="12"/>
        <v>0</v>
      </c>
      <c r="S32" s="2"/>
      <c r="T32" s="7"/>
      <c r="U32" s="2"/>
      <c r="V32" s="6">
        <f t="shared" si="13"/>
        <v>0</v>
      </c>
      <c r="W32" s="2"/>
      <c r="X32" s="7">
        <f t="shared" si="14"/>
        <v>3465.6</v>
      </c>
      <c r="Y32" s="2"/>
      <c r="Z32" s="6">
        <f t="shared" si="15"/>
        <v>0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>
        <v>11519.7</v>
      </c>
      <c r="E33" s="2"/>
      <c r="F33" s="6">
        <f t="shared" si="8"/>
        <v>0</v>
      </c>
      <c r="G33" s="2"/>
      <c r="H33" s="7">
        <v>8218.24</v>
      </c>
      <c r="I33" s="2"/>
      <c r="J33" s="6">
        <f t="shared" si="9"/>
        <v>0</v>
      </c>
      <c r="K33" s="2"/>
      <c r="L33" s="7">
        <f t="shared" si="10"/>
        <v>3301.4600000000009</v>
      </c>
      <c r="M33" s="2"/>
      <c r="N33" s="6">
        <f t="shared" si="11"/>
        <v>0.40172348337356917</v>
      </c>
      <c r="O33" s="11"/>
      <c r="P33" s="7">
        <v>19981.8</v>
      </c>
      <c r="Q33" s="2"/>
      <c r="R33" s="6">
        <f t="shared" si="12"/>
        <v>0</v>
      </c>
      <c r="S33" s="2"/>
      <c r="T33" s="7">
        <v>16487.48</v>
      </c>
      <c r="U33" s="2"/>
      <c r="V33" s="6">
        <f t="shared" si="13"/>
        <v>0</v>
      </c>
      <c r="W33" s="2"/>
      <c r="X33" s="7">
        <f t="shared" si="14"/>
        <v>3494.3199999999997</v>
      </c>
      <c r="Y33" s="2"/>
      <c r="Z33" s="6">
        <f t="shared" si="15"/>
        <v>0.21193778551967915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7">
        <v>1927.34</v>
      </c>
      <c r="E34" s="2"/>
      <c r="F34" s="6">
        <f t="shared" si="8"/>
        <v>0</v>
      </c>
      <c r="G34" s="2"/>
      <c r="H34" s="7">
        <v>2346.19</v>
      </c>
      <c r="I34" s="2"/>
      <c r="J34" s="6">
        <f t="shared" si="9"/>
        <v>0</v>
      </c>
      <c r="K34" s="2"/>
      <c r="L34" s="7">
        <f t="shared" si="10"/>
        <v>-418.85000000000014</v>
      </c>
      <c r="M34" s="2"/>
      <c r="N34" s="6">
        <f t="shared" si="11"/>
        <v>-0.17852347849065939</v>
      </c>
      <c r="O34" s="11"/>
      <c r="P34" s="7">
        <v>3473.26</v>
      </c>
      <c r="Q34" s="2"/>
      <c r="R34" s="6">
        <f t="shared" si="12"/>
        <v>0</v>
      </c>
      <c r="S34" s="2"/>
      <c r="T34" s="7">
        <v>3727.13</v>
      </c>
      <c r="U34" s="2"/>
      <c r="V34" s="6">
        <f t="shared" si="13"/>
        <v>0</v>
      </c>
      <c r="W34" s="2"/>
      <c r="X34" s="7">
        <f t="shared" si="14"/>
        <v>-253.86999999999989</v>
      </c>
      <c r="Y34" s="2"/>
      <c r="Z34" s="6">
        <f t="shared" si="15"/>
        <v>-6.8114071685184005E-2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>
        <v>38379.71</v>
      </c>
      <c r="E35" s="2"/>
      <c r="F35" s="6">
        <f t="shared" si="8"/>
        <v>0</v>
      </c>
      <c r="G35" s="2"/>
      <c r="H35" s="7">
        <v>46310.52</v>
      </c>
      <c r="I35" s="2"/>
      <c r="J35" s="6">
        <f t="shared" si="9"/>
        <v>0</v>
      </c>
      <c r="K35" s="2"/>
      <c r="L35" s="7">
        <f t="shared" si="10"/>
        <v>-7930.8099999999977</v>
      </c>
      <c r="M35" s="2"/>
      <c r="N35" s="6">
        <f t="shared" si="11"/>
        <v>-0.17125288163466959</v>
      </c>
      <c r="O35" s="11"/>
      <c r="P35" s="7">
        <v>55035.23</v>
      </c>
      <c r="Q35" s="2"/>
      <c r="R35" s="6">
        <f t="shared" si="12"/>
        <v>0</v>
      </c>
      <c r="S35" s="2"/>
      <c r="T35" s="7">
        <v>55187.03</v>
      </c>
      <c r="U35" s="2"/>
      <c r="V35" s="6">
        <f t="shared" si="13"/>
        <v>0</v>
      </c>
      <c r="W35" s="2"/>
      <c r="X35" s="7">
        <f t="shared" si="14"/>
        <v>-151.79999999999563</v>
      </c>
      <c r="Y35" s="2"/>
      <c r="Z35" s="6">
        <f t="shared" si="15"/>
        <v>-2.7506463022198449E-3</v>
      </c>
    </row>
    <row r="36" spans="1:26" s="24" customFormat="1" hidden="1" outlineLevel="2" x14ac:dyDescent="0.25">
      <c r="A36" s="29"/>
      <c r="B36" s="11" t="str">
        <f>CONCATENATE("          ", "6008", " - ", "STUDENT HOURLY-FICA EXEMPT")</f>
        <v xml:space="preserve">          6008 - STUDENT HOURLY-FICA EXEMPT</v>
      </c>
      <c r="C36" s="11"/>
      <c r="D36" s="7"/>
      <c r="E36" s="2"/>
      <c r="F36" s="6">
        <f t="shared" si="8"/>
        <v>0</v>
      </c>
      <c r="G36" s="2"/>
      <c r="H36" s="7">
        <v>303</v>
      </c>
      <c r="I36" s="2"/>
      <c r="J36" s="6">
        <f t="shared" si="9"/>
        <v>0</v>
      </c>
      <c r="K36" s="2"/>
      <c r="L36" s="7">
        <f t="shared" si="10"/>
        <v>-303</v>
      </c>
      <c r="M36" s="2"/>
      <c r="N36" s="6">
        <f t="shared" si="11"/>
        <v>-1</v>
      </c>
      <c r="O36" s="11"/>
      <c r="P36" s="7"/>
      <c r="Q36" s="2"/>
      <c r="R36" s="6">
        <f t="shared" si="12"/>
        <v>0</v>
      </c>
      <c r="S36" s="2"/>
      <c r="T36" s="7">
        <v>303</v>
      </c>
      <c r="U36" s="2"/>
      <c r="V36" s="6">
        <f t="shared" si="13"/>
        <v>0</v>
      </c>
      <c r="W36" s="2"/>
      <c r="X36" s="7">
        <f t="shared" si="14"/>
        <v>-303</v>
      </c>
      <c r="Y36" s="2"/>
      <c r="Z36" s="6">
        <f t="shared" si="15"/>
        <v>-1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5" si="16">IF(D$12=0,0,D37/D$12)</f>
        <v>0</v>
      </c>
      <c r="G37" s="1"/>
      <c r="H37" s="1">
        <f>SUM(OSRRefH22_2x_0)</f>
        <v>664.49</v>
      </c>
      <c r="I37" s="1"/>
      <c r="J37" s="5">
        <f t="shared" ref="J37:J45" si="17">IF(H$12=0,0,H37/H$12)</f>
        <v>0</v>
      </c>
      <c r="K37" s="1"/>
      <c r="L37" s="1">
        <f t="shared" ref="L37:L45" si="18">+D37-H37</f>
        <v>-664.49</v>
      </c>
      <c r="M37" s="1"/>
      <c r="N37" s="5">
        <f t="shared" ref="N37:N45" si="19">IF(H37=0,0,L37/H37)</f>
        <v>-1</v>
      </c>
      <c r="O37" s="14"/>
      <c r="P37" s="1">
        <f>SUM(OSRRefP22_2x_0)</f>
        <v>0</v>
      </c>
      <c r="Q37" s="1"/>
      <c r="R37" s="5">
        <f t="shared" ref="R37:R45" si="20">IF(P$12=0,0,P37/P$12)</f>
        <v>0</v>
      </c>
      <c r="S37" s="1"/>
      <c r="T37" s="1">
        <f>SUM(OSRRefT22_2x_0)</f>
        <v>775.79</v>
      </c>
      <c r="U37" s="1"/>
      <c r="V37" s="5">
        <f t="shared" ref="V37:V45" si="21">IF(T$12=0,0,T37/T$12)</f>
        <v>0</v>
      </c>
      <c r="W37" s="1"/>
      <c r="X37" s="1">
        <f t="shared" ref="X37:X45" si="22">+P37-T37</f>
        <v>-775.79</v>
      </c>
      <c r="Y37" s="1"/>
      <c r="Z37" s="5">
        <f t="shared" ref="Z37:Z45" si="23">IF(T37=0,0,X37/T37)</f>
        <v>-1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16"/>
        <v>0</v>
      </c>
      <c r="G38" s="2"/>
      <c r="H38" s="7">
        <v>664.49</v>
      </c>
      <c r="I38" s="2"/>
      <c r="J38" s="6">
        <f t="shared" si="17"/>
        <v>0</v>
      </c>
      <c r="K38" s="2"/>
      <c r="L38" s="7">
        <f t="shared" si="18"/>
        <v>-664.49</v>
      </c>
      <c r="M38" s="2"/>
      <c r="N38" s="6">
        <f t="shared" si="19"/>
        <v>-1</v>
      </c>
      <c r="O38" s="11"/>
      <c r="P38" s="7"/>
      <c r="Q38" s="2"/>
      <c r="R38" s="6">
        <f t="shared" si="20"/>
        <v>0</v>
      </c>
      <c r="S38" s="2"/>
      <c r="T38" s="7">
        <v>775.79</v>
      </c>
      <c r="U38" s="2"/>
      <c r="V38" s="6">
        <f t="shared" si="21"/>
        <v>0</v>
      </c>
      <c r="W38" s="2"/>
      <c r="X38" s="7">
        <f t="shared" si="22"/>
        <v>-775.79</v>
      </c>
      <c r="Y38" s="2"/>
      <c r="Z38" s="6">
        <f t="shared" si="23"/>
        <v>-1</v>
      </c>
    </row>
    <row r="39" spans="1:26" s="28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61.95</v>
      </c>
      <c r="E39" s="1"/>
      <c r="F39" s="5">
        <f t="shared" si="16"/>
        <v>0</v>
      </c>
      <c r="G39" s="1"/>
      <c r="H39" s="1">
        <f>SUM(OSRRefH22_3x_0)</f>
        <v>-90.22</v>
      </c>
      <c r="I39" s="1"/>
      <c r="J39" s="5">
        <f t="shared" si="17"/>
        <v>0</v>
      </c>
      <c r="K39" s="1"/>
      <c r="L39" s="1">
        <f t="shared" si="18"/>
        <v>152.17000000000002</v>
      </c>
      <c r="M39" s="1"/>
      <c r="N39" s="5">
        <f t="shared" si="19"/>
        <v>-1.6866548437153626</v>
      </c>
      <c r="O39" s="14"/>
      <c r="P39" s="1">
        <f>SUM(OSRRefP22_3x_0)</f>
        <v>67.83</v>
      </c>
      <c r="Q39" s="1"/>
      <c r="R39" s="5">
        <f t="shared" si="20"/>
        <v>0</v>
      </c>
      <c r="S39" s="1"/>
      <c r="T39" s="1">
        <f>SUM(OSRRefT22_3x_0)</f>
        <v>-103.17</v>
      </c>
      <c r="U39" s="1"/>
      <c r="V39" s="5">
        <f t="shared" si="21"/>
        <v>0</v>
      </c>
      <c r="W39" s="1"/>
      <c r="X39" s="1">
        <f t="shared" si="22"/>
        <v>171</v>
      </c>
      <c r="Y39" s="1"/>
      <c r="Z39" s="5">
        <f t="shared" si="23"/>
        <v>-1.6574585635359116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7">
        <v>61.95</v>
      </c>
      <c r="E40" s="2"/>
      <c r="F40" s="6">
        <f t="shared" si="16"/>
        <v>0</v>
      </c>
      <c r="G40" s="2"/>
      <c r="H40" s="7">
        <v>-90.22</v>
      </c>
      <c r="I40" s="2"/>
      <c r="J40" s="6">
        <f t="shared" si="17"/>
        <v>0</v>
      </c>
      <c r="K40" s="2"/>
      <c r="L40" s="7">
        <f t="shared" si="18"/>
        <v>152.17000000000002</v>
      </c>
      <c r="M40" s="2"/>
      <c r="N40" s="6">
        <f t="shared" si="19"/>
        <v>-1.6866548437153626</v>
      </c>
      <c r="O40" s="11"/>
      <c r="P40" s="7">
        <v>67.83</v>
      </c>
      <c r="Q40" s="2"/>
      <c r="R40" s="6">
        <f t="shared" si="20"/>
        <v>0</v>
      </c>
      <c r="S40" s="2"/>
      <c r="T40" s="7">
        <v>-103.17</v>
      </c>
      <c r="U40" s="2"/>
      <c r="V40" s="6">
        <f t="shared" si="21"/>
        <v>0</v>
      </c>
      <c r="W40" s="2"/>
      <c r="X40" s="7">
        <f t="shared" si="22"/>
        <v>171</v>
      </c>
      <c r="Y40" s="2"/>
      <c r="Z40" s="6">
        <f t="shared" si="23"/>
        <v>-1.6574585635359116</v>
      </c>
    </row>
    <row r="41" spans="1:26" s="28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21627.510000000002</v>
      </c>
      <c r="E41" s="1"/>
      <c r="F41" s="5">
        <f t="shared" si="16"/>
        <v>0</v>
      </c>
      <c r="G41" s="1"/>
      <c r="H41" s="1">
        <f>SUM(OSRRefH22_4x_0)</f>
        <v>32865.67</v>
      </c>
      <c r="I41" s="1"/>
      <c r="J41" s="5">
        <f t="shared" si="17"/>
        <v>0</v>
      </c>
      <c r="K41" s="1"/>
      <c r="L41" s="1">
        <f t="shared" si="18"/>
        <v>-11238.159999999996</v>
      </c>
      <c r="M41" s="1"/>
      <c r="N41" s="5">
        <f t="shared" si="19"/>
        <v>-0.3419422150833985</v>
      </c>
      <c r="O41" s="14"/>
      <c r="P41" s="1">
        <f>SUM(OSRRefP22_4x_0)</f>
        <v>24437.83</v>
      </c>
      <c r="Q41" s="1"/>
      <c r="R41" s="5">
        <f t="shared" si="20"/>
        <v>0</v>
      </c>
      <c r="S41" s="1"/>
      <c r="T41" s="1">
        <f>SUM(OSRRefT22_4x_0)</f>
        <v>37973.85</v>
      </c>
      <c r="U41" s="1"/>
      <c r="V41" s="5">
        <f t="shared" si="21"/>
        <v>0</v>
      </c>
      <c r="W41" s="1"/>
      <c r="X41" s="1">
        <f t="shared" si="22"/>
        <v>-13536.019999999997</v>
      </c>
      <c r="Y41" s="1"/>
      <c r="Z41" s="5">
        <f t="shared" si="23"/>
        <v>-0.35645635088356847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>
        <v>21627.510000000002</v>
      </c>
      <c r="E42" s="2"/>
      <c r="F42" s="6">
        <f t="shared" si="16"/>
        <v>0</v>
      </c>
      <c r="G42" s="2"/>
      <c r="H42" s="7">
        <v>32865.67</v>
      </c>
      <c r="I42" s="2"/>
      <c r="J42" s="6">
        <f t="shared" si="17"/>
        <v>0</v>
      </c>
      <c r="K42" s="2"/>
      <c r="L42" s="7">
        <f t="shared" si="18"/>
        <v>-11238.159999999996</v>
      </c>
      <c r="M42" s="2"/>
      <c r="N42" s="6">
        <f t="shared" si="19"/>
        <v>-0.3419422150833985</v>
      </c>
      <c r="O42" s="11"/>
      <c r="P42" s="7">
        <v>24437.83</v>
      </c>
      <c r="Q42" s="2"/>
      <c r="R42" s="6">
        <f t="shared" si="20"/>
        <v>0</v>
      </c>
      <c r="S42" s="2"/>
      <c r="T42" s="7">
        <v>37973.85</v>
      </c>
      <c r="U42" s="2"/>
      <c r="V42" s="6">
        <f t="shared" si="21"/>
        <v>0</v>
      </c>
      <c r="W42" s="2"/>
      <c r="X42" s="7">
        <f t="shared" si="22"/>
        <v>-13536.019999999997</v>
      </c>
      <c r="Y42" s="2"/>
      <c r="Z42" s="6">
        <f t="shared" si="23"/>
        <v>-0.35645635088356847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30919.45</v>
      </c>
      <c r="E43" s="1"/>
      <c r="F43" s="5">
        <f t="shared" si="16"/>
        <v>0</v>
      </c>
      <c r="G43" s="1"/>
      <c r="H43" s="1">
        <f>SUM(OSRRefH22_5x_0)</f>
        <v>29607.43</v>
      </c>
      <c r="I43" s="1"/>
      <c r="J43" s="5">
        <f t="shared" si="17"/>
        <v>0</v>
      </c>
      <c r="K43" s="1"/>
      <c r="L43" s="1">
        <f t="shared" si="18"/>
        <v>1312.0200000000004</v>
      </c>
      <c r="M43" s="1"/>
      <c r="N43" s="5">
        <f t="shared" si="19"/>
        <v>4.4313876618132693E-2</v>
      </c>
      <c r="O43" s="14"/>
      <c r="P43" s="1">
        <f>SUM(OSRRefP22_5x_0)</f>
        <v>61096.430000000008</v>
      </c>
      <c r="Q43" s="1"/>
      <c r="R43" s="5">
        <f t="shared" si="20"/>
        <v>0</v>
      </c>
      <c r="S43" s="1"/>
      <c r="T43" s="1">
        <f>SUM(OSRRefT22_5x_0)</f>
        <v>59214.86</v>
      </c>
      <c r="U43" s="1"/>
      <c r="V43" s="5">
        <f t="shared" si="21"/>
        <v>0</v>
      </c>
      <c r="W43" s="1"/>
      <c r="X43" s="1">
        <f t="shared" si="22"/>
        <v>1881.570000000007</v>
      </c>
      <c r="Y43" s="1"/>
      <c r="Z43" s="5">
        <f t="shared" si="23"/>
        <v>3.1775300997080917E-2</v>
      </c>
    </row>
    <row r="44" spans="1:26" s="24" customFormat="1" hidden="1" outlineLevel="2" x14ac:dyDescent="0.25">
      <c r="A44" s="29"/>
      <c r="B44" s="11" t="str">
        <f>CONCATENATE("          ", "6321", " - ", "BUILDING DEPRECIATION")</f>
        <v xml:space="preserve">          6321 - BUILDING DEPRECIATION</v>
      </c>
      <c r="C44" s="11"/>
      <c r="D44" s="7">
        <v>16396.52</v>
      </c>
      <c r="E44" s="2"/>
      <c r="F44" s="6">
        <f t="shared" si="16"/>
        <v>0</v>
      </c>
      <c r="G44" s="2"/>
      <c r="H44" s="7">
        <v>16396.52</v>
      </c>
      <c r="I44" s="2"/>
      <c r="J44" s="6">
        <f t="shared" si="17"/>
        <v>0</v>
      </c>
      <c r="K44" s="2"/>
      <c r="L44" s="7">
        <f t="shared" si="18"/>
        <v>0</v>
      </c>
      <c r="M44" s="2"/>
      <c r="N44" s="6">
        <f t="shared" si="19"/>
        <v>0</v>
      </c>
      <c r="O44" s="11"/>
      <c r="P44" s="7">
        <v>32793.040000000001</v>
      </c>
      <c r="Q44" s="2"/>
      <c r="R44" s="6">
        <f t="shared" si="20"/>
        <v>0</v>
      </c>
      <c r="S44" s="2"/>
      <c r="T44" s="7">
        <v>32793.040000000001</v>
      </c>
      <c r="U44" s="2"/>
      <c r="V44" s="6">
        <f t="shared" si="21"/>
        <v>0</v>
      </c>
      <c r="W44" s="2"/>
      <c r="X44" s="7">
        <f t="shared" si="22"/>
        <v>0</v>
      </c>
      <c r="Y44" s="2"/>
      <c r="Z44" s="6">
        <f t="shared" si="23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14522.93</v>
      </c>
      <c r="E45" s="2"/>
      <c r="F45" s="6">
        <f t="shared" si="16"/>
        <v>0</v>
      </c>
      <c r="G45" s="2"/>
      <c r="H45" s="7">
        <v>13210.91</v>
      </c>
      <c r="I45" s="2"/>
      <c r="J45" s="6">
        <f t="shared" si="17"/>
        <v>0</v>
      </c>
      <c r="K45" s="2"/>
      <c r="L45" s="7">
        <f t="shared" si="18"/>
        <v>1312.0200000000004</v>
      </c>
      <c r="M45" s="2"/>
      <c r="N45" s="6">
        <f t="shared" si="19"/>
        <v>9.9313370539955273E-2</v>
      </c>
      <c r="O45" s="11"/>
      <c r="P45" s="7">
        <v>28303.390000000003</v>
      </c>
      <c r="Q45" s="2"/>
      <c r="R45" s="6">
        <f t="shared" si="20"/>
        <v>0</v>
      </c>
      <c r="S45" s="2"/>
      <c r="T45" s="7">
        <v>26421.82</v>
      </c>
      <c r="U45" s="2"/>
      <c r="V45" s="6">
        <f t="shared" si="21"/>
        <v>0</v>
      </c>
      <c r="W45" s="2"/>
      <c r="X45" s="7">
        <f t="shared" si="22"/>
        <v>1881.5700000000033</v>
      </c>
      <c r="Y45" s="2"/>
      <c r="Z45" s="6">
        <f t="shared" si="23"/>
        <v>7.1212732506693466E-2</v>
      </c>
    </row>
    <row r="46" spans="1:26" s="28" customFormat="1" outlineLevel="1" collapsed="1" x14ac:dyDescent="0.25">
      <c r="A46" s="27"/>
      <c r="B46" s="14" t="str">
        <f>CONCATENATE("     ","Discounts and Markdowns                           ")</f>
        <v xml:space="preserve">     Discounts and Markdowns                           </v>
      </c>
      <c r="C46" s="14"/>
      <c r="D46" s="1">
        <f>SUM(OSRRefD22_6x_0)</f>
        <v>0</v>
      </c>
      <c r="E46" s="1"/>
      <c r="F46" s="5">
        <f t="shared" ref="F46:F48" si="24">IF(D$12=0,0,D46/D$12)</f>
        <v>0</v>
      </c>
      <c r="G46" s="1"/>
      <c r="H46" s="1">
        <f>SUM(OSRRefH22_6x_0)</f>
        <v>-269.88</v>
      </c>
      <c r="I46" s="1"/>
      <c r="J46" s="5">
        <f t="shared" ref="J46:J48" si="25">IF(H$12=0,0,H46/H$12)</f>
        <v>0</v>
      </c>
      <c r="K46" s="1"/>
      <c r="L46" s="1">
        <f t="shared" ref="L46:L48" si="26">+D46-H46</f>
        <v>269.88</v>
      </c>
      <c r="M46" s="1"/>
      <c r="N46" s="5">
        <f t="shared" ref="N46:N48" si="27">IF(H46=0,0,L46/H46)</f>
        <v>-1</v>
      </c>
      <c r="O46" s="14"/>
      <c r="P46" s="1">
        <f>SUM(OSRRefP22_6x_0)</f>
        <v>0</v>
      </c>
      <c r="Q46" s="1"/>
      <c r="R46" s="5">
        <f t="shared" ref="R46:R48" si="28">IF(P$12=0,0,P46/P$12)</f>
        <v>0</v>
      </c>
      <c r="S46" s="1"/>
      <c r="T46" s="1">
        <f>SUM(OSRRefT22_6x_0)</f>
        <v>-661.59</v>
      </c>
      <c r="U46" s="1"/>
      <c r="V46" s="5">
        <f t="shared" ref="V46:V48" si="29">IF(T$12=0,0,T46/T$12)</f>
        <v>0</v>
      </c>
      <c r="W46" s="1"/>
      <c r="X46" s="1">
        <f t="shared" ref="X46:X48" si="30">+P46-T46</f>
        <v>661.59</v>
      </c>
      <c r="Y46" s="1"/>
      <c r="Z46" s="5">
        <f t="shared" ref="Z46:Z48" si="31">IF(T46=0,0,X46/T46)</f>
        <v>-1</v>
      </c>
    </row>
    <row r="47" spans="1:26" s="24" customFormat="1" hidden="1" outlineLevel="2" x14ac:dyDescent="0.25">
      <c r="A47" s="29"/>
      <c r="B47" s="11" t="str">
        <f>CONCATENATE("          ", "6382", " - ", "DISCOUNTS/MARK DOWNS")</f>
        <v xml:space="preserve">          6382 - DISCOUNTS/MARK DOWNS</v>
      </c>
      <c r="C47" s="11"/>
      <c r="D47" s="7"/>
      <c r="E47" s="2"/>
      <c r="F47" s="6">
        <f t="shared" si="24"/>
        <v>0</v>
      </c>
      <c r="G47" s="2"/>
      <c r="H47" s="7"/>
      <c r="I47" s="2"/>
      <c r="J47" s="6">
        <f t="shared" si="25"/>
        <v>0</v>
      </c>
      <c r="K47" s="2"/>
      <c r="L47" s="7">
        <f t="shared" si="26"/>
        <v>0</v>
      </c>
      <c r="M47" s="2"/>
      <c r="N47" s="6">
        <f t="shared" si="27"/>
        <v>0</v>
      </c>
      <c r="O47" s="11"/>
      <c r="P47" s="7"/>
      <c r="Q47" s="2"/>
      <c r="R47" s="6">
        <f t="shared" si="28"/>
        <v>0</v>
      </c>
      <c r="S47" s="2"/>
      <c r="T47" s="7">
        <v>52</v>
      </c>
      <c r="U47" s="2"/>
      <c r="V47" s="6">
        <f t="shared" si="29"/>
        <v>0</v>
      </c>
      <c r="W47" s="2"/>
      <c r="X47" s="7">
        <f t="shared" si="30"/>
        <v>-52</v>
      </c>
      <c r="Y47" s="2"/>
      <c r="Z47" s="6">
        <f t="shared" si="31"/>
        <v>-1</v>
      </c>
    </row>
    <row r="48" spans="1:26" s="24" customFormat="1" hidden="1" outlineLevel="2" x14ac:dyDescent="0.25">
      <c r="A48" s="29"/>
      <c r="B48" s="11" t="str">
        <f>CONCATENATE("          ", "9175", " - ", "EARNED DISCOUNTS")</f>
        <v xml:space="preserve">          9175 - EARNED DISCOUNTS</v>
      </c>
      <c r="C48" s="11"/>
      <c r="D48" s="7"/>
      <c r="E48" s="2"/>
      <c r="F48" s="6">
        <f t="shared" si="24"/>
        <v>0</v>
      </c>
      <c r="G48" s="2"/>
      <c r="H48" s="7">
        <v>-269.88</v>
      </c>
      <c r="I48" s="2"/>
      <c r="J48" s="6">
        <f t="shared" si="25"/>
        <v>0</v>
      </c>
      <c r="K48" s="2"/>
      <c r="L48" s="7">
        <f t="shared" si="26"/>
        <v>269.88</v>
      </c>
      <c r="M48" s="2"/>
      <c r="N48" s="6">
        <f t="shared" si="27"/>
        <v>-1</v>
      </c>
      <c r="O48" s="11"/>
      <c r="P48" s="7"/>
      <c r="Q48" s="2"/>
      <c r="R48" s="6">
        <f t="shared" si="28"/>
        <v>0</v>
      </c>
      <c r="S48" s="2"/>
      <c r="T48" s="7">
        <v>-713.59</v>
      </c>
      <c r="U48" s="2"/>
      <c r="V48" s="6">
        <f t="shared" si="29"/>
        <v>0</v>
      </c>
      <c r="W48" s="2"/>
      <c r="X48" s="7">
        <f t="shared" si="30"/>
        <v>713.59</v>
      </c>
      <c r="Y48" s="2"/>
      <c r="Z48" s="6">
        <f t="shared" si="31"/>
        <v>-1</v>
      </c>
    </row>
    <row r="49" spans="1:26" s="28" customFormat="1" outlineLevel="1" collapsed="1" x14ac:dyDescent="0.25">
      <c r="A49" s="27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SUM(OSRRefD22_7x_0)</f>
        <v>0</v>
      </c>
      <c r="E49" s="1"/>
      <c r="F49" s="5">
        <f t="shared" ref="F49:F69" si="32">IF(D$12=0,0,D49/D$12)</f>
        <v>0</v>
      </c>
      <c r="G49" s="1"/>
      <c r="H49" s="1">
        <f>SUM(OSRRefH22_7x_0)</f>
        <v>2691.56</v>
      </c>
      <c r="I49" s="1"/>
      <c r="J49" s="5">
        <f t="shared" ref="J49:J69" si="33">IF(H$12=0,0,H49/H$12)</f>
        <v>0</v>
      </c>
      <c r="K49" s="1"/>
      <c r="L49" s="1">
        <f t="shared" ref="L49:L69" si="34">+D49-H49</f>
        <v>-2691.56</v>
      </c>
      <c r="M49" s="1"/>
      <c r="N49" s="5">
        <f t="shared" ref="N49:N69" si="35">IF(H49=0,0,L49/H49)</f>
        <v>-1</v>
      </c>
      <c r="O49" s="14"/>
      <c r="P49" s="1">
        <f>SUM(OSRRefP22_7x_0)</f>
        <v>0</v>
      </c>
      <c r="Q49" s="1"/>
      <c r="R49" s="5">
        <f t="shared" ref="R49:R69" si="36">IF(P$12=0,0,P49/P$12)</f>
        <v>0</v>
      </c>
      <c r="S49" s="1"/>
      <c r="T49" s="1">
        <f>SUM(OSRRefT22_7x_0)</f>
        <v>3616.98</v>
      </c>
      <c r="U49" s="1"/>
      <c r="V49" s="5">
        <f t="shared" ref="V49:V69" si="37">IF(T$12=0,0,T49/T$12)</f>
        <v>0</v>
      </c>
      <c r="W49" s="1"/>
      <c r="X49" s="1">
        <f t="shared" ref="X49:X69" si="38">+P49-T49</f>
        <v>-3616.98</v>
      </c>
      <c r="Y49" s="1"/>
      <c r="Z49" s="5">
        <f t="shared" ref="Z49:Z69" si="39">IF(T49=0,0,X49/T49)</f>
        <v>-1</v>
      </c>
    </row>
    <row r="50" spans="1:26" s="24" customFormat="1" hidden="1" outlineLevel="2" x14ac:dyDescent="0.25">
      <c r="A50" s="29"/>
      <c r="B50" s="11" t="str">
        <f>CONCATENATE("          ", "6399", " - ", "DONATION-ON CAMPUS")</f>
        <v xml:space="preserve">          6399 - DONATION-ON CAMPUS</v>
      </c>
      <c r="C50" s="11"/>
      <c r="D50" s="7"/>
      <c r="E50" s="2"/>
      <c r="F50" s="6">
        <f t="shared" si="32"/>
        <v>0</v>
      </c>
      <c r="G50" s="2"/>
      <c r="H50" s="7">
        <v>2691.56</v>
      </c>
      <c r="I50" s="2"/>
      <c r="J50" s="6">
        <f t="shared" si="33"/>
        <v>0</v>
      </c>
      <c r="K50" s="2"/>
      <c r="L50" s="7">
        <f t="shared" si="34"/>
        <v>-2691.56</v>
      </c>
      <c r="M50" s="2"/>
      <c r="N50" s="6">
        <f t="shared" si="35"/>
        <v>-1</v>
      </c>
      <c r="O50" s="11"/>
      <c r="P50" s="7"/>
      <c r="Q50" s="2"/>
      <c r="R50" s="6">
        <f t="shared" si="36"/>
        <v>0</v>
      </c>
      <c r="S50" s="2"/>
      <c r="T50" s="7">
        <v>3616.98</v>
      </c>
      <c r="U50" s="2"/>
      <c r="V50" s="6">
        <f t="shared" si="37"/>
        <v>0</v>
      </c>
      <c r="W50" s="2"/>
      <c r="X50" s="7">
        <f t="shared" si="38"/>
        <v>-3616.98</v>
      </c>
      <c r="Y50" s="2"/>
      <c r="Z50" s="6">
        <f t="shared" si="39"/>
        <v>-1</v>
      </c>
    </row>
    <row r="51" spans="1:26" s="28" customFormat="1" outlineLevel="1" collapsed="1" x14ac:dyDescent="0.2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SUM(OSRRefD22_8x_0)</f>
        <v>0</v>
      </c>
      <c r="E51" s="1"/>
      <c r="F51" s="5">
        <f t="shared" si="32"/>
        <v>0</v>
      </c>
      <c r="G51" s="1"/>
      <c r="H51" s="1">
        <f>SUM(OSRRefH22_8x_0)</f>
        <v>57.33</v>
      </c>
      <c r="I51" s="1"/>
      <c r="J51" s="5">
        <f t="shared" si="33"/>
        <v>0</v>
      </c>
      <c r="K51" s="1"/>
      <c r="L51" s="1">
        <f t="shared" si="34"/>
        <v>-57.33</v>
      </c>
      <c r="M51" s="1"/>
      <c r="N51" s="5">
        <f t="shared" si="35"/>
        <v>-1</v>
      </c>
      <c r="O51" s="14"/>
      <c r="P51" s="1">
        <f>SUM(OSRRefP22_8x_0)</f>
        <v>0</v>
      </c>
      <c r="Q51" s="1"/>
      <c r="R51" s="5">
        <f t="shared" si="36"/>
        <v>0</v>
      </c>
      <c r="S51" s="1"/>
      <c r="T51" s="1">
        <f>SUM(OSRRefT22_8x_0)</f>
        <v>316.95999999999998</v>
      </c>
      <c r="U51" s="1"/>
      <c r="V51" s="5">
        <f t="shared" si="37"/>
        <v>0</v>
      </c>
      <c r="W51" s="1"/>
      <c r="X51" s="1">
        <f t="shared" si="38"/>
        <v>-316.95999999999998</v>
      </c>
      <c r="Y51" s="1"/>
      <c r="Z51" s="5">
        <f t="shared" si="39"/>
        <v>-1</v>
      </c>
    </row>
    <row r="52" spans="1:26" s="24" customFormat="1" hidden="1" outlineLevel="2" x14ac:dyDescent="0.25">
      <c r="A52" s="29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32"/>
        <v>0</v>
      </c>
      <c r="G52" s="2"/>
      <c r="H52" s="7">
        <v>57.33</v>
      </c>
      <c r="I52" s="2"/>
      <c r="J52" s="6">
        <f t="shared" si="33"/>
        <v>0</v>
      </c>
      <c r="K52" s="2"/>
      <c r="L52" s="7">
        <f t="shared" si="34"/>
        <v>-57.33</v>
      </c>
      <c r="M52" s="2"/>
      <c r="N52" s="6">
        <f t="shared" si="35"/>
        <v>-1</v>
      </c>
      <c r="O52" s="11"/>
      <c r="P52" s="7"/>
      <c r="Q52" s="2"/>
      <c r="R52" s="6">
        <f t="shared" si="36"/>
        <v>0</v>
      </c>
      <c r="S52" s="2"/>
      <c r="T52" s="7">
        <v>316.95999999999998</v>
      </c>
      <c r="U52" s="2"/>
      <c r="V52" s="6">
        <f t="shared" si="37"/>
        <v>0</v>
      </c>
      <c r="W52" s="2"/>
      <c r="X52" s="7">
        <f t="shared" si="38"/>
        <v>-316.95999999999998</v>
      </c>
      <c r="Y52" s="2"/>
      <c r="Z52" s="6">
        <f t="shared" si="39"/>
        <v>-1</v>
      </c>
    </row>
    <row r="53" spans="1:26" s="28" customFormat="1" outlineLevel="1" collapsed="1" x14ac:dyDescent="0.25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SUM(OSRRefD22_9x_0)</f>
        <v>91.26</v>
      </c>
      <c r="E53" s="1"/>
      <c r="F53" s="5">
        <f t="shared" si="32"/>
        <v>0</v>
      </c>
      <c r="G53" s="1"/>
      <c r="H53" s="1">
        <f>SUM(OSRRefH22_9x_0)</f>
        <v>0</v>
      </c>
      <c r="I53" s="1"/>
      <c r="J53" s="5">
        <f t="shared" si="33"/>
        <v>0</v>
      </c>
      <c r="K53" s="1"/>
      <c r="L53" s="1">
        <f t="shared" si="34"/>
        <v>91.26</v>
      </c>
      <c r="M53" s="1"/>
      <c r="N53" s="5">
        <f t="shared" si="35"/>
        <v>0</v>
      </c>
      <c r="O53" s="14"/>
      <c r="P53" s="1">
        <f>SUM(OSRRefP22_9x_0)</f>
        <v>182.52</v>
      </c>
      <c r="Q53" s="1"/>
      <c r="R53" s="5">
        <f t="shared" si="36"/>
        <v>0</v>
      </c>
      <c r="S53" s="1"/>
      <c r="T53" s="1">
        <f>SUM(OSRRefT22_9x_0)</f>
        <v>0</v>
      </c>
      <c r="U53" s="1"/>
      <c r="V53" s="5">
        <f t="shared" si="37"/>
        <v>0</v>
      </c>
      <c r="W53" s="1"/>
      <c r="X53" s="1">
        <f t="shared" si="38"/>
        <v>182.52</v>
      </c>
      <c r="Y53" s="1"/>
      <c r="Z53" s="5">
        <f t="shared" si="39"/>
        <v>0</v>
      </c>
    </row>
    <row r="54" spans="1:26" s="24" customFormat="1" hidden="1" outlineLevel="2" x14ac:dyDescent="0.25">
      <c r="A54" s="29"/>
      <c r="B54" s="11" t="str">
        <f>CONCATENATE("          ", "6351", " - ", "EQUIPMENT RENTAL")</f>
        <v xml:space="preserve">          6351 - EQUIPMENT RENTAL</v>
      </c>
      <c r="C54" s="11"/>
      <c r="D54" s="7">
        <v>91.26</v>
      </c>
      <c r="E54" s="2"/>
      <c r="F54" s="6">
        <f t="shared" si="32"/>
        <v>0</v>
      </c>
      <c r="G54" s="2"/>
      <c r="H54" s="7"/>
      <c r="I54" s="2"/>
      <c r="J54" s="6">
        <f t="shared" si="33"/>
        <v>0</v>
      </c>
      <c r="K54" s="2"/>
      <c r="L54" s="7">
        <f t="shared" si="34"/>
        <v>91.26</v>
      </c>
      <c r="M54" s="2"/>
      <c r="N54" s="6">
        <f t="shared" si="35"/>
        <v>0</v>
      </c>
      <c r="O54" s="11"/>
      <c r="P54" s="7">
        <v>182.52</v>
      </c>
      <c r="Q54" s="2"/>
      <c r="R54" s="6">
        <f t="shared" si="36"/>
        <v>0</v>
      </c>
      <c r="S54" s="2"/>
      <c r="T54" s="7"/>
      <c r="U54" s="2"/>
      <c r="V54" s="6">
        <f t="shared" si="37"/>
        <v>0</v>
      </c>
      <c r="W54" s="2"/>
      <c r="X54" s="7">
        <f t="shared" si="38"/>
        <v>182.52</v>
      </c>
      <c r="Y54" s="2"/>
      <c r="Z54" s="6">
        <f t="shared" si="39"/>
        <v>0</v>
      </c>
    </row>
    <row r="55" spans="1:26" s="28" customFormat="1" outlineLevel="1" collapsed="1" x14ac:dyDescent="0.25">
      <c r="A55" s="27"/>
      <c r="B55" s="14" t="str">
        <f>CONCATENATE("     ","Freight out/Postage                               ")</f>
        <v xml:space="preserve">     Freight out/Postage                               </v>
      </c>
      <c r="C55" s="14"/>
      <c r="D55" s="1">
        <f>SUM(OSRRefD22_10x_0)</f>
        <v>315.95</v>
      </c>
      <c r="E55" s="1"/>
      <c r="F55" s="5">
        <f t="shared" si="32"/>
        <v>0</v>
      </c>
      <c r="G55" s="1"/>
      <c r="H55" s="1">
        <f>SUM(OSRRefH22_10x_0)</f>
        <v>0</v>
      </c>
      <c r="I55" s="1"/>
      <c r="J55" s="5">
        <f t="shared" si="33"/>
        <v>0</v>
      </c>
      <c r="K55" s="1"/>
      <c r="L55" s="1">
        <f t="shared" si="34"/>
        <v>315.95</v>
      </c>
      <c r="M55" s="1"/>
      <c r="N55" s="5">
        <f t="shared" si="35"/>
        <v>0</v>
      </c>
      <c r="O55" s="14"/>
      <c r="P55" s="1">
        <f>SUM(OSRRefP22_10x_0)</f>
        <v>315.95</v>
      </c>
      <c r="Q55" s="1"/>
      <c r="R55" s="5">
        <f t="shared" si="36"/>
        <v>0</v>
      </c>
      <c r="S55" s="1"/>
      <c r="T55" s="1">
        <f>SUM(OSRRefT22_10x_0)</f>
        <v>0</v>
      </c>
      <c r="U55" s="1"/>
      <c r="V55" s="5">
        <f t="shared" si="37"/>
        <v>0</v>
      </c>
      <c r="W55" s="1"/>
      <c r="X55" s="1">
        <f t="shared" si="38"/>
        <v>315.95</v>
      </c>
      <c r="Y55" s="1"/>
      <c r="Z55" s="5">
        <f t="shared" si="39"/>
        <v>0</v>
      </c>
    </row>
    <row r="56" spans="1:26" s="24" customFormat="1" hidden="1" outlineLevel="2" x14ac:dyDescent="0.25">
      <c r="A56" s="29"/>
      <c r="B56" s="11" t="str">
        <f>CONCATENATE("          ", "6307", " - ", "POSTAGE")</f>
        <v xml:space="preserve">          6307 - POSTAGE</v>
      </c>
      <c r="C56" s="11"/>
      <c r="D56" s="7">
        <v>315.95</v>
      </c>
      <c r="E56" s="2"/>
      <c r="F56" s="6">
        <f t="shared" si="32"/>
        <v>0</v>
      </c>
      <c r="G56" s="2"/>
      <c r="H56" s="7"/>
      <c r="I56" s="2"/>
      <c r="J56" s="6">
        <f t="shared" si="33"/>
        <v>0</v>
      </c>
      <c r="K56" s="2"/>
      <c r="L56" s="7">
        <f t="shared" si="34"/>
        <v>315.95</v>
      </c>
      <c r="M56" s="2"/>
      <c r="N56" s="6">
        <f t="shared" si="35"/>
        <v>0</v>
      </c>
      <c r="O56" s="11"/>
      <c r="P56" s="7">
        <v>315.95</v>
      </c>
      <c r="Q56" s="2"/>
      <c r="R56" s="6">
        <f t="shared" si="36"/>
        <v>0</v>
      </c>
      <c r="S56" s="2"/>
      <c r="T56" s="7"/>
      <c r="U56" s="2"/>
      <c r="V56" s="6">
        <f t="shared" si="37"/>
        <v>0</v>
      </c>
      <c r="W56" s="2"/>
      <c r="X56" s="7">
        <f t="shared" si="38"/>
        <v>315.95</v>
      </c>
      <c r="Y56" s="2"/>
      <c r="Z56" s="6">
        <f t="shared" si="39"/>
        <v>0</v>
      </c>
    </row>
    <row r="57" spans="1:26" s="28" customFormat="1" outlineLevel="1" collapsed="1" x14ac:dyDescent="0.25">
      <c r="A57" s="27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SUM(OSRRefD22_11x_0)</f>
        <v>113.26</v>
      </c>
      <c r="E57" s="1"/>
      <c r="F57" s="5">
        <f t="shared" si="32"/>
        <v>0</v>
      </c>
      <c r="G57" s="1"/>
      <c r="H57" s="1">
        <f>SUM(OSRRefH22_11x_0)</f>
        <v>-15111.76</v>
      </c>
      <c r="I57" s="1"/>
      <c r="J57" s="5">
        <f t="shared" si="33"/>
        <v>0</v>
      </c>
      <c r="K57" s="1"/>
      <c r="L57" s="1">
        <f t="shared" si="34"/>
        <v>15225.02</v>
      </c>
      <c r="M57" s="1"/>
      <c r="N57" s="5">
        <f t="shared" si="35"/>
        <v>-1.0074948252222111</v>
      </c>
      <c r="O57" s="14"/>
      <c r="P57" s="1">
        <f>SUM(OSRRefP22_11x_0)</f>
        <v>867.81</v>
      </c>
      <c r="Q57" s="1"/>
      <c r="R57" s="5">
        <f t="shared" si="36"/>
        <v>0</v>
      </c>
      <c r="S57" s="1"/>
      <c r="T57" s="1">
        <f>SUM(OSRRefT22_11x_0)</f>
        <v>-15037.969999999998</v>
      </c>
      <c r="U57" s="1"/>
      <c r="V57" s="5">
        <f t="shared" si="37"/>
        <v>0</v>
      </c>
      <c r="W57" s="1"/>
      <c r="X57" s="1">
        <f t="shared" si="38"/>
        <v>15905.779999999997</v>
      </c>
      <c r="Y57" s="1"/>
      <c r="Z57" s="5">
        <f t="shared" si="39"/>
        <v>-1.05770792201341</v>
      </c>
    </row>
    <row r="58" spans="1:26" s="24" customFormat="1" hidden="1" outlineLevel="2" x14ac:dyDescent="0.25">
      <c r="A58" s="29"/>
      <c r="B58" s="11" t="str">
        <f>CONCATENATE("          ", "6279", " - ", "GENERAL EXPENSE")</f>
        <v xml:space="preserve">          6279 - GENERAL EXPENSE</v>
      </c>
      <c r="C58" s="11"/>
      <c r="D58" s="7">
        <v>113.26</v>
      </c>
      <c r="E58" s="2"/>
      <c r="F58" s="6">
        <f t="shared" si="32"/>
        <v>0</v>
      </c>
      <c r="G58" s="2"/>
      <c r="H58" s="7">
        <v>-15111.76</v>
      </c>
      <c r="I58" s="2"/>
      <c r="J58" s="6">
        <f t="shared" si="33"/>
        <v>0</v>
      </c>
      <c r="K58" s="2"/>
      <c r="L58" s="7">
        <f t="shared" si="34"/>
        <v>15225.02</v>
      </c>
      <c r="M58" s="2"/>
      <c r="N58" s="6">
        <f t="shared" si="35"/>
        <v>-1.0074948252222111</v>
      </c>
      <c r="O58" s="11"/>
      <c r="P58" s="7">
        <v>867.81</v>
      </c>
      <c r="Q58" s="2"/>
      <c r="R58" s="6">
        <f t="shared" si="36"/>
        <v>0</v>
      </c>
      <c r="S58" s="2"/>
      <c r="T58" s="7">
        <v>-15037.969999999998</v>
      </c>
      <c r="U58" s="2"/>
      <c r="V58" s="6">
        <f t="shared" si="37"/>
        <v>0</v>
      </c>
      <c r="W58" s="2"/>
      <c r="X58" s="7">
        <f t="shared" si="38"/>
        <v>15905.779999999997</v>
      </c>
      <c r="Y58" s="2"/>
      <c r="Z58" s="6">
        <f t="shared" si="39"/>
        <v>-1.05770792201341</v>
      </c>
    </row>
    <row r="59" spans="1:26" s="28" customFormat="1" outlineLevel="1" collapsed="1" x14ac:dyDescent="0.25">
      <c r="A59" s="27"/>
      <c r="B59" s="14" t="str">
        <f>CONCATENATE("     ","Insurance                                         ")</f>
        <v xml:space="preserve">     Insurance                                         </v>
      </c>
      <c r="C59" s="14"/>
      <c r="D59" s="1">
        <f>SUM(OSRRefD22_12x_0)</f>
        <v>3883.56</v>
      </c>
      <c r="E59" s="1"/>
      <c r="F59" s="5">
        <f t="shared" si="32"/>
        <v>0</v>
      </c>
      <c r="G59" s="1"/>
      <c r="H59" s="1">
        <f>SUM(OSRRefH22_12x_0)</f>
        <v>3883.56</v>
      </c>
      <c r="I59" s="1"/>
      <c r="J59" s="5">
        <f t="shared" si="33"/>
        <v>0</v>
      </c>
      <c r="K59" s="1"/>
      <c r="L59" s="1">
        <f t="shared" si="34"/>
        <v>0</v>
      </c>
      <c r="M59" s="1"/>
      <c r="N59" s="5">
        <f t="shared" si="35"/>
        <v>0</v>
      </c>
      <c r="O59" s="14"/>
      <c r="P59" s="1">
        <f>SUM(OSRRefP22_12x_0)</f>
        <v>7767.12</v>
      </c>
      <c r="Q59" s="1"/>
      <c r="R59" s="5">
        <f t="shared" si="36"/>
        <v>0</v>
      </c>
      <c r="S59" s="1"/>
      <c r="T59" s="1">
        <f>SUM(OSRRefT22_12x_0)</f>
        <v>7767.12</v>
      </c>
      <c r="U59" s="1"/>
      <c r="V59" s="5">
        <f t="shared" si="37"/>
        <v>0</v>
      </c>
      <c r="W59" s="1"/>
      <c r="X59" s="1">
        <f t="shared" si="38"/>
        <v>0</v>
      </c>
      <c r="Y59" s="1"/>
      <c r="Z59" s="5">
        <f t="shared" si="39"/>
        <v>0</v>
      </c>
    </row>
    <row r="60" spans="1:26" s="24" customFormat="1" hidden="1" outlineLevel="2" x14ac:dyDescent="0.25">
      <c r="A60" s="29"/>
      <c r="B60" s="11" t="str">
        <f>CONCATENATE("          ", "6314", " - ", "LIABILITY INSURANCE")</f>
        <v xml:space="preserve">          6314 - LIABILITY INSURANCE</v>
      </c>
      <c r="C60" s="11"/>
      <c r="D60" s="7">
        <v>3883.56</v>
      </c>
      <c r="E60" s="2"/>
      <c r="F60" s="6">
        <f t="shared" si="32"/>
        <v>0</v>
      </c>
      <c r="G60" s="2"/>
      <c r="H60" s="7">
        <v>3883.56</v>
      </c>
      <c r="I60" s="2"/>
      <c r="J60" s="6">
        <f t="shared" si="33"/>
        <v>0</v>
      </c>
      <c r="K60" s="2"/>
      <c r="L60" s="7">
        <f t="shared" si="34"/>
        <v>0</v>
      </c>
      <c r="M60" s="2"/>
      <c r="N60" s="6">
        <f t="shared" si="35"/>
        <v>0</v>
      </c>
      <c r="O60" s="11"/>
      <c r="P60" s="7">
        <v>7767.12</v>
      </c>
      <c r="Q60" s="2"/>
      <c r="R60" s="6">
        <f t="shared" si="36"/>
        <v>0</v>
      </c>
      <c r="S60" s="2"/>
      <c r="T60" s="7">
        <v>7767.12</v>
      </c>
      <c r="U60" s="2"/>
      <c r="V60" s="6">
        <f t="shared" si="37"/>
        <v>0</v>
      </c>
      <c r="W60" s="2"/>
      <c r="X60" s="7">
        <f t="shared" si="38"/>
        <v>0</v>
      </c>
      <c r="Y60" s="2"/>
      <c r="Z60" s="6">
        <f t="shared" si="39"/>
        <v>0</v>
      </c>
    </row>
    <row r="61" spans="1:26" s="28" customFormat="1" outlineLevel="1" collapsed="1" x14ac:dyDescent="0.25">
      <c r="A61" s="27"/>
      <c r="B61" s="14" t="str">
        <f>CONCATENATE("     ","Professional Services                             ")</f>
        <v xml:space="preserve">     Professional Services                             </v>
      </c>
      <c r="C61" s="14"/>
      <c r="D61" s="1">
        <f>SUM(OSRRefD22_13x_0)</f>
        <v>0</v>
      </c>
      <c r="E61" s="1"/>
      <c r="F61" s="5">
        <f t="shared" si="32"/>
        <v>0</v>
      </c>
      <c r="G61" s="1"/>
      <c r="H61" s="1">
        <f>SUM(OSRRefH22_13x_0)</f>
        <v>0</v>
      </c>
      <c r="I61" s="1"/>
      <c r="J61" s="5">
        <f t="shared" si="33"/>
        <v>0</v>
      </c>
      <c r="K61" s="1"/>
      <c r="L61" s="1">
        <f t="shared" si="34"/>
        <v>0</v>
      </c>
      <c r="M61" s="1"/>
      <c r="N61" s="5">
        <f t="shared" si="35"/>
        <v>0</v>
      </c>
      <c r="O61" s="14"/>
      <c r="P61" s="1">
        <f>SUM(OSRRefP22_13x_0)</f>
        <v>0</v>
      </c>
      <c r="Q61" s="1"/>
      <c r="R61" s="5">
        <f t="shared" si="36"/>
        <v>0</v>
      </c>
      <c r="S61" s="1"/>
      <c r="T61" s="1">
        <f>SUM(OSRRefT22_13x_0)</f>
        <v>4658.41</v>
      </c>
      <c r="U61" s="1"/>
      <c r="V61" s="5">
        <f t="shared" si="37"/>
        <v>0</v>
      </c>
      <c r="W61" s="1"/>
      <c r="X61" s="1">
        <f t="shared" si="38"/>
        <v>-4658.41</v>
      </c>
      <c r="Y61" s="1"/>
      <c r="Z61" s="5">
        <f t="shared" si="39"/>
        <v>-1</v>
      </c>
    </row>
    <row r="62" spans="1:26" s="24" customFormat="1" hidden="1" outlineLevel="2" x14ac:dyDescent="0.25">
      <c r="A62" s="29"/>
      <c r="B62" s="11" t="str">
        <f>CONCATENATE("          ", "6336", " - ", "PROFESSIONAL SERVICES")</f>
        <v xml:space="preserve">          6336 - PROFESSIONAL SERVICES</v>
      </c>
      <c r="C62" s="11"/>
      <c r="D62" s="7"/>
      <c r="E62" s="2"/>
      <c r="F62" s="6">
        <f t="shared" si="32"/>
        <v>0</v>
      </c>
      <c r="G62" s="2"/>
      <c r="H62" s="7"/>
      <c r="I62" s="2"/>
      <c r="J62" s="6">
        <f t="shared" si="33"/>
        <v>0</v>
      </c>
      <c r="K62" s="2"/>
      <c r="L62" s="7">
        <f t="shared" si="34"/>
        <v>0</v>
      </c>
      <c r="M62" s="2"/>
      <c r="N62" s="6">
        <f t="shared" si="35"/>
        <v>0</v>
      </c>
      <c r="O62" s="11"/>
      <c r="P62" s="7"/>
      <c r="Q62" s="2"/>
      <c r="R62" s="6">
        <f t="shared" si="36"/>
        <v>0</v>
      </c>
      <c r="S62" s="2"/>
      <c r="T62" s="7">
        <v>4658.41</v>
      </c>
      <c r="U62" s="2"/>
      <c r="V62" s="6">
        <f t="shared" si="37"/>
        <v>0</v>
      </c>
      <c r="W62" s="2"/>
      <c r="X62" s="7">
        <f t="shared" si="38"/>
        <v>-4658.41</v>
      </c>
      <c r="Y62" s="2"/>
      <c r="Z62" s="6">
        <f t="shared" si="39"/>
        <v>-1</v>
      </c>
    </row>
    <row r="63" spans="1:26" s="28" customFormat="1" outlineLevel="1" collapsed="1" x14ac:dyDescent="0.25">
      <c r="A63" s="27"/>
      <c r="B63" s="14" t="str">
        <f>CONCATENATE("     ","Rent                                              ")</f>
        <v xml:space="preserve">     Rent                                              </v>
      </c>
      <c r="C63" s="14"/>
      <c r="D63" s="1">
        <f>SUM(OSRRefD22_14x_0)</f>
        <v>-800</v>
      </c>
      <c r="E63" s="1"/>
      <c r="F63" s="5">
        <f t="shared" si="32"/>
        <v>0</v>
      </c>
      <c r="G63" s="1"/>
      <c r="H63" s="1">
        <f>SUM(OSRRefH22_14x_0)</f>
        <v>-800</v>
      </c>
      <c r="I63" s="1"/>
      <c r="J63" s="5">
        <f t="shared" si="33"/>
        <v>0</v>
      </c>
      <c r="K63" s="1"/>
      <c r="L63" s="1">
        <f t="shared" si="34"/>
        <v>0</v>
      </c>
      <c r="M63" s="1"/>
      <c r="N63" s="5">
        <f t="shared" si="35"/>
        <v>0</v>
      </c>
      <c r="O63" s="14"/>
      <c r="P63" s="1">
        <f>SUM(OSRRefP22_14x_0)</f>
        <v>-1600</v>
      </c>
      <c r="Q63" s="1"/>
      <c r="R63" s="5">
        <f t="shared" si="36"/>
        <v>0</v>
      </c>
      <c r="S63" s="1"/>
      <c r="T63" s="1">
        <f>SUM(OSRRefT22_14x_0)</f>
        <v>-1600</v>
      </c>
      <c r="U63" s="1"/>
      <c r="V63" s="5">
        <f t="shared" si="37"/>
        <v>0</v>
      </c>
      <c r="W63" s="1"/>
      <c r="X63" s="1">
        <f t="shared" si="38"/>
        <v>0</v>
      </c>
      <c r="Y63" s="1"/>
      <c r="Z63" s="5">
        <f t="shared" si="39"/>
        <v>0</v>
      </c>
    </row>
    <row r="64" spans="1:26" s="24" customFormat="1" hidden="1" outlineLevel="2" x14ac:dyDescent="0.25">
      <c r="A64" s="29"/>
      <c r="B64" s="11" t="str">
        <f>CONCATENATE("          ", "6273", " - ", "RENT")</f>
        <v xml:space="preserve">          6273 - RENT</v>
      </c>
      <c r="C64" s="11"/>
      <c r="D64" s="7">
        <v>-800</v>
      </c>
      <c r="E64" s="2"/>
      <c r="F64" s="6">
        <f t="shared" si="32"/>
        <v>0</v>
      </c>
      <c r="G64" s="2"/>
      <c r="H64" s="7">
        <v>-800</v>
      </c>
      <c r="I64" s="2"/>
      <c r="J64" s="6">
        <f t="shared" si="33"/>
        <v>0</v>
      </c>
      <c r="K64" s="2"/>
      <c r="L64" s="7">
        <f t="shared" si="34"/>
        <v>0</v>
      </c>
      <c r="M64" s="2"/>
      <c r="N64" s="6">
        <f t="shared" si="35"/>
        <v>0</v>
      </c>
      <c r="O64" s="11"/>
      <c r="P64" s="7">
        <v>-1600</v>
      </c>
      <c r="Q64" s="2"/>
      <c r="R64" s="6">
        <f t="shared" si="36"/>
        <v>0</v>
      </c>
      <c r="S64" s="2"/>
      <c r="T64" s="7">
        <v>-1600</v>
      </c>
      <c r="U64" s="2"/>
      <c r="V64" s="6">
        <f t="shared" si="37"/>
        <v>0</v>
      </c>
      <c r="W64" s="2"/>
      <c r="X64" s="7">
        <f t="shared" si="38"/>
        <v>0</v>
      </c>
      <c r="Y64" s="2"/>
      <c r="Z64" s="6">
        <f t="shared" si="39"/>
        <v>0</v>
      </c>
    </row>
    <row r="65" spans="1:26" s="28" customFormat="1" outlineLevel="1" collapsed="1" x14ac:dyDescent="0.25">
      <c r="A65" s="27"/>
      <c r="B65" s="14" t="str">
        <f>CONCATENATE("     ","Repair and Maintenance                            ")</f>
        <v xml:space="preserve">     Repair and Maintenance                            </v>
      </c>
      <c r="C65" s="14"/>
      <c r="D65" s="1">
        <f>SUM(OSRRefD22_15x_0)</f>
        <v>1401.3999999999999</v>
      </c>
      <c r="E65" s="1"/>
      <c r="F65" s="5">
        <f t="shared" si="32"/>
        <v>0</v>
      </c>
      <c r="G65" s="1"/>
      <c r="H65" s="1">
        <f>SUM(OSRRefH22_15x_0)</f>
        <v>9035.91</v>
      </c>
      <c r="I65" s="1"/>
      <c r="J65" s="5">
        <f t="shared" si="33"/>
        <v>0</v>
      </c>
      <c r="K65" s="1"/>
      <c r="L65" s="1">
        <f t="shared" si="34"/>
        <v>-7634.51</v>
      </c>
      <c r="M65" s="1"/>
      <c r="N65" s="5">
        <f t="shared" si="35"/>
        <v>-0.8449077071374107</v>
      </c>
      <c r="O65" s="14"/>
      <c r="P65" s="1">
        <f>SUM(OSRRefP22_15x_0)</f>
        <v>61348.210000000014</v>
      </c>
      <c r="Q65" s="1"/>
      <c r="R65" s="5">
        <f t="shared" si="36"/>
        <v>0</v>
      </c>
      <c r="S65" s="1"/>
      <c r="T65" s="1">
        <f>SUM(OSRRefT22_15x_0)</f>
        <v>25818.36</v>
      </c>
      <c r="U65" s="1"/>
      <c r="V65" s="5">
        <f t="shared" si="37"/>
        <v>0</v>
      </c>
      <c r="W65" s="1"/>
      <c r="X65" s="1">
        <f t="shared" si="38"/>
        <v>35529.850000000013</v>
      </c>
      <c r="Y65" s="1"/>
      <c r="Z65" s="5">
        <f t="shared" si="39"/>
        <v>1.3761466646216107</v>
      </c>
    </row>
    <row r="66" spans="1:26" s="24" customFormat="1" hidden="1" outlineLevel="2" x14ac:dyDescent="0.25">
      <c r="A66" s="29"/>
      <c r="B66" s="11" t="str">
        <f>CONCATENATE("          ", "6371", " - ", "COMPUTER SOFTWARE MAINTENANCE")</f>
        <v xml:space="preserve">          6371 - COMPUTER SOFTWARE MAINTENANCE</v>
      </c>
      <c r="C66" s="11"/>
      <c r="D66" s="7"/>
      <c r="E66" s="2"/>
      <c r="F66" s="6">
        <f t="shared" si="32"/>
        <v>0</v>
      </c>
      <c r="G66" s="2"/>
      <c r="H66" s="7">
        <v>7887.25</v>
      </c>
      <c r="I66" s="2"/>
      <c r="J66" s="6">
        <f t="shared" si="33"/>
        <v>0</v>
      </c>
      <c r="K66" s="2"/>
      <c r="L66" s="7">
        <f t="shared" si="34"/>
        <v>-7887.25</v>
      </c>
      <c r="M66" s="2"/>
      <c r="N66" s="6">
        <f t="shared" si="35"/>
        <v>-1</v>
      </c>
      <c r="O66" s="11"/>
      <c r="P66" s="7">
        <v>58428.780000000006</v>
      </c>
      <c r="Q66" s="2"/>
      <c r="R66" s="6">
        <f t="shared" si="36"/>
        <v>0</v>
      </c>
      <c r="S66" s="2"/>
      <c r="T66" s="7">
        <v>8488.25</v>
      </c>
      <c r="U66" s="2"/>
      <c r="V66" s="6">
        <f t="shared" si="37"/>
        <v>0</v>
      </c>
      <c r="W66" s="2"/>
      <c r="X66" s="7">
        <f t="shared" si="38"/>
        <v>49940.530000000006</v>
      </c>
      <c r="Y66" s="2"/>
      <c r="Z66" s="6">
        <f t="shared" si="39"/>
        <v>5.8834895296439207</v>
      </c>
    </row>
    <row r="67" spans="1:26" s="24" customFormat="1" hidden="1" outlineLevel="2" x14ac:dyDescent="0.25">
      <c r="A67" s="29"/>
      <c r="B67" s="11" t="str">
        <f>CONCATENATE("          ", "6372", " - ", "COMPUTER HARDWARE MAINTENANCE")</f>
        <v xml:space="preserve">          6372 - COMPUTER HARDWARE MAINTENANCE</v>
      </c>
      <c r="C67" s="11"/>
      <c r="D67" s="7">
        <v>0.98</v>
      </c>
      <c r="E67" s="2"/>
      <c r="F67" s="6">
        <f t="shared" si="32"/>
        <v>0</v>
      </c>
      <c r="G67" s="2"/>
      <c r="H67" s="7"/>
      <c r="I67" s="2"/>
      <c r="J67" s="6">
        <f t="shared" si="33"/>
        <v>0</v>
      </c>
      <c r="K67" s="2"/>
      <c r="L67" s="7">
        <f t="shared" si="34"/>
        <v>0.98</v>
      </c>
      <c r="M67" s="2"/>
      <c r="N67" s="6">
        <f t="shared" si="35"/>
        <v>0</v>
      </c>
      <c r="O67" s="11"/>
      <c r="P67" s="7">
        <v>0.98</v>
      </c>
      <c r="Q67" s="2"/>
      <c r="R67" s="6">
        <f t="shared" si="36"/>
        <v>0</v>
      </c>
      <c r="S67" s="2"/>
      <c r="T67" s="7"/>
      <c r="U67" s="2"/>
      <c r="V67" s="6">
        <f t="shared" si="37"/>
        <v>0</v>
      </c>
      <c r="W67" s="2"/>
      <c r="X67" s="7">
        <f t="shared" si="38"/>
        <v>0.98</v>
      </c>
      <c r="Y67" s="2"/>
      <c r="Z67" s="6">
        <f t="shared" si="39"/>
        <v>0</v>
      </c>
    </row>
    <row r="68" spans="1:26" s="24" customFormat="1" hidden="1" outlineLevel="2" x14ac:dyDescent="0.25">
      <c r="A68" s="29"/>
      <c r="B68" s="11" t="str">
        <f>CONCATENATE("          ", "6373", " - ", "MAINTENANCE CONTRACTS")</f>
        <v xml:space="preserve">          6373 - MAINTENANCE CONTRACTS</v>
      </c>
      <c r="C68" s="11"/>
      <c r="D68" s="7">
        <v>1066.5999999999999</v>
      </c>
      <c r="E68" s="2"/>
      <c r="F68" s="6">
        <f t="shared" si="32"/>
        <v>0</v>
      </c>
      <c r="G68" s="2"/>
      <c r="H68" s="7"/>
      <c r="I68" s="2"/>
      <c r="J68" s="6">
        <f t="shared" si="33"/>
        <v>0</v>
      </c>
      <c r="K68" s="2"/>
      <c r="L68" s="7">
        <f t="shared" si="34"/>
        <v>1066.5999999999999</v>
      </c>
      <c r="M68" s="2"/>
      <c r="N68" s="6">
        <f t="shared" si="35"/>
        <v>0</v>
      </c>
      <c r="O68" s="11"/>
      <c r="P68" s="7">
        <v>1081.6500000000001</v>
      </c>
      <c r="Q68" s="2"/>
      <c r="R68" s="6">
        <f t="shared" si="36"/>
        <v>0</v>
      </c>
      <c r="S68" s="2"/>
      <c r="T68" s="7">
        <v>516</v>
      </c>
      <c r="U68" s="2"/>
      <c r="V68" s="6">
        <f t="shared" si="37"/>
        <v>0</v>
      </c>
      <c r="W68" s="2"/>
      <c r="X68" s="7">
        <f t="shared" si="38"/>
        <v>565.65000000000009</v>
      </c>
      <c r="Y68" s="2"/>
      <c r="Z68" s="6">
        <f t="shared" si="39"/>
        <v>1.0962209302325583</v>
      </c>
    </row>
    <row r="69" spans="1:26" s="24" customFormat="1" hidden="1" outlineLevel="2" x14ac:dyDescent="0.25">
      <c r="A69" s="29"/>
      <c r="B69" s="11" t="str">
        <f>CONCATENATE("          ", "6375", " - ", "OUTSIDE REPAIRS &amp; MAINTENANCE")</f>
        <v xml:space="preserve">          6375 - OUTSIDE REPAIRS &amp; MAINTENANCE</v>
      </c>
      <c r="C69" s="11"/>
      <c r="D69" s="7">
        <v>333.82</v>
      </c>
      <c r="E69" s="2"/>
      <c r="F69" s="6">
        <f t="shared" si="32"/>
        <v>0</v>
      </c>
      <c r="G69" s="2"/>
      <c r="H69" s="7">
        <v>1148.6600000000001</v>
      </c>
      <c r="I69" s="2"/>
      <c r="J69" s="6">
        <f t="shared" si="33"/>
        <v>0</v>
      </c>
      <c r="K69" s="2"/>
      <c r="L69" s="7">
        <f t="shared" si="34"/>
        <v>-814.84000000000015</v>
      </c>
      <c r="M69" s="2"/>
      <c r="N69" s="6">
        <f t="shared" si="35"/>
        <v>-0.70938310727282228</v>
      </c>
      <c r="O69" s="11"/>
      <c r="P69" s="7">
        <v>1836.8</v>
      </c>
      <c r="Q69" s="2"/>
      <c r="R69" s="6">
        <f t="shared" si="36"/>
        <v>0</v>
      </c>
      <c r="S69" s="2"/>
      <c r="T69" s="7">
        <v>16814.11</v>
      </c>
      <c r="U69" s="2"/>
      <c r="V69" s="6">
        <f t="shared" si="37"/>
        <v>0</v>
      </c>
      <c r="W69" s="2"/>
      <c r="X69" s="7">
        <f t="shared" si="38"/>
        <v>-14977.310000000001</v>
      </c>
      <c r="Y69" s="2"/>
      <c r="Z69" s="6">
        <f t="shared" si="39"/>
        <v>-0.89075841659177923</v>
      </c>
    </row>
    <row r="70" spans="1:26" s="28" customFormat="1" outlineLevel="1" collapsed="1" x14ac:dyDescent="0.25">
      <c r="A70" s="27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SUM(OSRRefD22_16x_0)</f>
        <v>295.94</v>
      </c>
      <c r="E70" s="1"/>
      <c r="F70" s="5">
        <f t="shared" ref="F70:F73" si="40">IF(D$12=0,0,D70/D$12)</f>
        <v>0</v>
      </c>
      <c r="G70" s="1"/>
      <c r="H70" s="1">
        <f>SUM(OSRRefH22_16x_0)</f>
        <v>4180.04</v>
      </c>
      <c r="I70" s="1"/>
      <c r="J70" s="5">
        <f t="shared" ref="J70:J73" si="41">IF(H$12=0,0,H70/H$12)</f>
        <v>0</v>
      </c>
      <c r="K70" s="1"/>
      <c r="L70" s="1">
        <f t="shared" ref="L70:L73" si="42">+D70-H70</f>
        <v>-3884.1</v>
      </c>
      <c r="M70" s="1"/>
      <c r="N70" s="5">
        <f t="shared" ref="N70:N73" si="43">IF(H70=0,0,L70/H70)</f>
        <v>-0.92920163443412018</v>
      </c>
      <c r="O70" s="14"/>
      <c r="P70" s="1">
        <f>SUM(OSRRefP22_16x_0)</f>
        <v>4626.6200000000008</v>
      </c>
      <c r="Q70" s="1"/>
      <c r="R70" s="5">
        <f t="shared" ref="R70:R73" si="44">IF(P$12=0,0,P70/P$12)</f>
        <v>0</v>
      </c>
      <c r="S70" s="1"/>
      <c r="T70" s="1">
        <f>SUM(OSRRefT22_16x_0)</f>
        <v>8360.08</v>
      </c>
      <c r="U70" s="1"/>
      <c r="V70" s="5">
        <f t="shared" ref="V70:V73" si="45">IF(T$12=0,0,T70/T$12)</f>
        <v>0</v>
      </c>
      <c r="W70" s="1"/>
      <c r="X70" s="1">
        <f t="shared" ref="X70:X73" si="46">+P70-T70</f>
        <v>-3733.4599999999991</v>
      </c>
      <c r="Y70" s="1"/>
      <c r="Z70" s="5">
        <f t="shared" ref="Z70:Z73" si="47">IF(T70=0,0,X70/T70)</f>
        <v>-0.44658185089137892</v>
      </c>
    </row>
    <row r="71" spans="1:26" s="24" customFormat="1" hidden="1" outlineLevel="2" x14ac:dyDescent="0.25">
      <c r="A71" s="29"/>
      <c r="B71" s="11" t="str">
        <f>CONCATENATE("          ", "6282", " - ", "JANITORIAL/EXTERMINATOR EXPENS")</f>
        <v xml:space="preserve">          6282 - JANITORIAL/EXTERMINATOR EXPENS</v>
      </c>
      <c r="C71" s="11"/>
      <c r="D71" s="7">
        <v>295.94</v>
      </c>
      <c r="E71" s="2"/>
      <c r="F71" s="6">
        <f t="shared" si="40"/>
        <v>0</v>
      </c>
      <c r="G71" s="2"/>
      <c r="H71" s="7">
        <v>222.5</v>
      </c>
      <c r="I71" s="2"/>
      <c r="J71" s="6">
        <f t="shared" si="41"/>
        <v>0</v>
      </c>
      <c r="K71" s="2"/>
      <c r="L71" s="7">
        <f t="shared" si="42"/>
        <v>73.44</v>
      </c>
      <c r="M71" s="2"/>
      <c r="N71" s="6">
        <f t="shared" si="43"/>
        <v>0.33006741573033704</v>
      </c>
      <c r="O71" s="11"/>
      <c r="P71" s="7">
        <v>388.44</v>
      </c>
      <c r="Q71" s="2"/>
      <c r="R71" s="6">
        <f t="shared" si="44"/>
        <v>0</v>
      </c>
      <c r="S71" s="2"/>
      <c r="T71" s="7">
        <v>445</v>
      </c>
      <c r="U71" s="2"/>
      <c r="V71" s="6">
        <f t="shared" si="45"/>
        <v>0</v>
      </c>
      <c r="W71" s="2"/>
      <c r="X71" s="7">
        <f t="shared" si="46"/>
        <v>-56.56</v>
      </c>
      <c r="Y71" s="2"/>
      <c r="Z71" s="6">
        <f t="shared" si="47"/>
        <v>-0.12710112359550563</v>
      </c>
    </row>
    <row r="72" spans="1:26" s="24" customFormat="1" hidden="1" outlineLevel="2" x14ac:dyDescent="0.25">
      <c r="A72" s="29"/>
      <c r="B72" s="11" t="str">
        <f>CONCATENATE("          ", "6283", " - ", "PLANT SERVICE")</f>
        <v xml:space="preserve">          6283 - PLANT SERVICE</v>
      </c>
      <c r="C72" s="11"/>
      <c r="D72" s="7"/>
      <c r="E72" s="2"/>
      <c r="F72" s="6">
        <f t="shared" si="40"/>
        <v>0</v>
      </c>
      <c r="G72" s="2"/>
      <c r="H72" s="7">
        <v>121.11</v>
      </c>
      <c r="I72" s="2"/>
      <c r="J72" s="6">
        <f t="shared" si="41"/>
        <v>0</v>
      </c>
      <c r="K72" s="2"/>
      <c r="L72" s="7">
        <f t="shared" si="42"/>
        <v>-121.11</v>
      </c>
      <c r="M72" s="2"/>
      <c r="N72" s="6">
        <f t="shared" si="43"/>
        <v>-1</v>
      </c>
      <c r="O72" s="11"/>
      <c r="P72" s="7">
        <v>130</v>
      </c>
      <c r="Q72" s="2"/>
      <c r="R72" s="6">
        <f t="shared" si="44"/>
        <v>0</v>
      </c>
      <c r="S72" s="2"/>
      <c r="T72" s="7">
        <v>242.22</v>
      </c>
      <c r="U72" s="2"/>
      <c r="V72" s="6">
        <f t="shared" si="45"/>
        <v>0</v>
      </c>
      <c r="W72" s="2"/>
      <c r="X72" s="7">
        <f t="shared" si="46"/>
        <v>-112.22</v>
      </c>
      <c r="Y72" s="2"/>
      <c r="Z72" s="6">
        <f t="shared" si="47"/>
        <v>-0.4632978284204442</v>
      </c>
    </row>
    <row r="73" spans="1:26" s="24" customFormat="1" hidden="1" outlineLevel="2" x14ac:dyDescent="0.25">
      <c r="A73" s="29"/>
      <c r="B73" s="11" t="str">
        <f>CONCATENATE("          ", "6285", " - ", "JANITORIAL SERVICES")</f>
        <v xml:space="preserve">          6285 - JANITORIAL SERVICES</v>
      </c>
      <c r="C73" s="11"/>
      <c r="D73" s="7"/>
      <c r="E73" s="2"/>
      <c r="F73" s="6">
        <f t="shared" si="40"/>
        <v>0</v>
      </c>
      <c r="G73" s="2"/>
      <c r="H73" s="7">
        <v>3836.43</v>
      </c>
      <c r="I73" s="2"/>
      <c r="J73" s="6">
        <f t="shared" si="41"/>
        <v>0</v>
      </c>
      <c r="K73" s="2"/>
      <c r="L73" s="7">
        <f t="shared" si="42"/>
        <v>-3836.43</v>
      </c>
      <c r="M73" s="2"/>
      <c r="N73" s="6">
        <f t="shared" si="43"/>
        <v>-1</v>
      </c>
      <c r="O73" s="11"/>
      <c r="P73" s="7">
        <v>4108.18</v>
      </c>
      <c r="Q73" s="2"/>
      <c r="R73" s="6">
        <f t="shared" si="44"/>
        <v>0</v>
      </c>
      <c r="S73" s="2"/>
      <c r="T73" s="7">
        <v>7672.86</v>
      </c>
      <c r="U73" s="2"/>
      <c r="V73" s="6">
        <f t="shared" si="45"/>
        <v>0</v>
      </c>
      <c r="W73" s="2"/>
      <c r="X73" s="7">
        <f t="shared" si="46"/>
        <v>-3564.6799999999994</v>
      </c>
      <c r="Y73" s="2"/>
      <c r="Z73" s="6">
        <f t="shared" si="47"/>
        <v>-0.46458295863602356</v>
      </c>
    </row>
    <row r="74" spans="1:26" s="28" customFormat="1" outlineLevel="1" collapsed="1" x14ac:dyDescent="0.25">
      <c r="A74" s="27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1">
        <f>SUM(OSRRefD22_17x_0)</f>
        <v>0</v>
      </c>
      <c r="E74" s="1"/>
      <c r="F74" s="5">
        <f t="shared" ref="F74:F82" si="48">IF(D$12=0,0,D74/D$12)</f>
        <v>0</v>
      </c>
      <c r="G74" s="1"/>
      <c r="H74" s="1">
        <f>SUM(OSRRefH22_17x_0)</f>
        <v>159.97999999999999</v>
      </c>
      <c r="I74" s="1"/>
      <c r="J74" s="5">
        <f t="shared" ref="J74:J82" si="49">IF(H$12=0,0,H74/H$12)</f>
        <v>0</v>
      </c>
      <c r="K74" s="1"/>
      <c r="L74" s="1">
        <f t="shared" ref="L74:L82" si="50">+D74-H74</f>
        <v>-159.97999999999999</v>
      </c>
      <c r="M74" s="1"/>
      <c r="N74" s="5">
        <f t="shared" ref="N74:N82" si="51">IF(H74=0,0,L74/H74)</f>
        <v>-1</v>
      </c>
      <c r="O74" s="14"/>
      <c r="P74" s="1">
        <f>SUM(OSRRefP22_17x_0)</f>
        <v>0</v>
      </c>
      <c r="Q74" s="1"/>
      <c r="R74" s="5">
        <f t="shared" ref="R74:R82" si="52">IF(P$12=0,0,P74/P$12)</f>
        <v>0</v>
      </c>
      <c r="S74" s="1"/>
      <c r="T74" s="1">
        <f>SUM(OSRRefT22_17x_0)</f>
        <v>319.95999999999998</v>
      </c>
      <c r="U74" s="1"/>
      <c r="V74" s="5">
        <f t="shared" ref="V74:V82" si="53">IF(T$12=0,0,T74/T$12)</f>
        <v>0</v>
      </c>
      <c r="W74" s="1"/>
      <c r="X74" s="1">
        <f t="shared" ref="X74:X82" si="54">+P74-T74</f>
        <v>-319.95999999999998</v>
      </c>
      <c r="Y74" s="1"/>
      <c r="Z74" s="5">
        <f t="shared" ref="Z74:Z82" si="55">IF(T74=0,0,X74/T74)</f>
        <v>-1</v>
      </c>
    </row>
    <row r="75" spans="1:26" s="24" customFormat="1" hidden="1" outlineLevel="2" x14ac:dyDescent="0.25">
      <c r="A75" s="29"/>
      <c r="B75" s="11" t="str">
        <f>CONCATENATE("          ", "6275", " - ", "SUBSCRIPTIONS")</f>
        <v xml:space="preserve">          6275 - SUBSCRIPTIONS</v>
      </c>
      <c r="C75" s="11"/>
      <c r="D75" s="7"/>
      <c r="E75" s="2"/>
      <c r="F75" s="6">
        <f t="shared" si="48"/>
        <v>0</v>
      </c>
      <c r="G75" s="2"/>
      <c r="H75" s="7">
        <v>159.97999999999999</v>
      </c>
      <c r="I75" s="2"/>
      <c r="J75" s="6">
        <f t="shared" si="49"/>
        <v>0</v>
      </c>
      <c r="K75" s="2"/>
      <c r="L75" s="7">
        <f t="shared" si="50"/>
        <v>-159.97999999999999</v>
      </c>
      <c r="M75" s="2"/>
      <c r="N75" s="6">
        <f t="shared" si="51"/>
        <v>-1</v>
      </c>
      <c r="O75" s="11"/>
      <c r="P75" s="7"/>
      <c r="Q75" s="2"/>
      <c r="R75" s="6">
        <f t="shared" si="52"/>
        <v>0</v>
      </c>
      <c r="S75" s="2"/>
      <c r="T75" s="7">
        <v>319.95999999999998</v>
      </c>
      <c r="U75" s="2"/>
      <c r="V75" s="6">
        <f t="shared" si="53"/>
        <v>0</v>
      </c>
      <c r="W75" s="2"/>
      <c r="X75" s="7">
        <f t="shared" si="54"/>
        <v>-319.95999999999998</v>
      </c>
      <c r="Y75" s="2"/>
      <c r="Z75" s="6">
        <f t="shared" si="55"/>
        <v>-1</v>
      </c>
    </row>
    <row r="76" spans="1:26" s="28" customFormat="1" outlineLevel="1" collapsed="1" x14ac:dyDescent="0.25">
      <c r="A76" s="27"/>
      <c r="B76" s="14" t="str">
        <f>CONCATENATE("     ","Supplies                                          ")</f>
        <v xml:space="preserve">     Supplies                                          </v>
      </c>
      <c r="C76" s="14"/>
      <c r="D76" s="1">
        <f>SUM(OSRRefD22_18x_0)</f>
        <v>2488.9299999999998</v>
      </c>
      <c r="E76" s="1"/>
      <c r="F76" s="5">
        <f t="shared" si="48"/>
        <v>0</v>
      </c>
      <c r="G76" s="1"/>
      <c r="H76" s="1">
        <f>SUM(OSRRefH22_18x_0)</f>
        <v>-5649.6999999999989</v>
      </c>
      <c r="I76" s="1"/>
      <c r="J76" s="5">
        <f t="shared" si="49"/>
        <v>0</v>
      </c>
      <c r="K76" s="1"/>
      <c r="L76" s="1">
        <f t="shared" si="50"/>
        <v>8138.6299999999992</v>
      </c>
      <c r="M76" s="1"/>
      <c r="N76" s="5">
        <f t="shared" si="51"/>
        <v>-1.4405419756801248</v>
      </c>
      <c r="O76" s="14"/>
      <c r="P76" s="1">
        <f>SUM(OSRRefP22_18x_0)</f>
        <v>7474.92</v>
      </c>
      <c r="Q76" s="1"/>
      <c r="R76" s="5">
        <f t="shared" si="52"/>
        <v>0</v>
      </c>
      <c r="S76" s="1"/>
      <c r="T76" s="1">
        <f>SUM(OSRRefT22_18x_0)</f>
        <v>-4247.8500000000004</v>
      </c>
      <c r="U76" s="1"/>
      <c r="V76" s="5">
        <f t="shared" si="53"/>
        <v>0</v>
      </c>
      <c r="W76" s="1"/>
      <c r="X76" s="1">
        <f t="shared" si="54"/>
        <v>11722.77</v>
      </c>
      <c r="Y76" s="1"/>
      <c r="Z76" s="5">
        <f t="shared" si="55"/>
        <v>-2.7596949044810901</v>
      </c>
    </row>
    <row r="77" spans="1:26" s="24" customFormat="1" hidden="1" outlineLevel="2" x14ac:dyDescent="0.25">
      <c r="A77" s="29"/>
      <c r="B77" s="11" t="str">
        <f>CONCATENATE("          ", "6234", " - ", "EXPENDABLE SUPPLIES &amp; EQUIPMEN")</f>
        <v xml:space="preserve">          6234 - EXPENDABLE SUPPLIES &amp; EQUIPMEN</v>
      </c>
      <c r="C77" s="11"/>
      <c r="D77" s="7"/>
      <c r="E77" s="2"/>
      <c r="F77" s="6">
        <f t="shared" si="48"/>
        <v>0</v>
      </c>
      <c r="G77" s="2"/>
      <c r="H77" s="7">
        <v>14.02</v>
      </c>
      <c r="I77" s="2"/>
      <c r="J77" s="6">
        <f t="shared" si="49"/>
        <v>0</v>
      </c>
      <c r="K77" s="2"/>
      <c r="L77" s="7">
        <f t="shared" si="50"/>
        <v>-14.02</v>
      </c>
      <c r="M77" s="2"/>
      <c r="N77" s="6">
        <f t="shared" si="51"/>
        <v>-1</v>
      </c>
      <c r="O77" s="11"/>
      <c r="P77" s="7"/>
      <c r="Q77" s="2"/>
      <c r="R77" s="6">
        <f t="shared" si="52"/>
        <v>0</v>
      </c>
      <c r="S77" s="2"/>
      <c r="T77" s="7">
        <v>714.78</v>
      </c>
      <c r="U77" s="2"/>
      <c r="V77" s="6">
        <f t="shared" si="53"/>
        <v>0</v>
      </c>
      <c r="W77" s="2"/>
      <c r="X77" s="7">
        <f t="shared" si="54"/>
        <v>-714.78</v>
      </c>
      <c r="Y77" s="2"/>
      <c r="Z77" s="6">
        <f t="shared" si="55"/>
        <v>-1</v>
      </c>
    </row>
    <row r="78" spans="1:26" s="24" customFormat="1" hidden="1" outlineLevel="2" x14ac:dyDescent="0.25">
      <c r="A78" s="29"/>
      <c r="B78" s="11" t="str">
        <f>CONCATENATE("          ", "6235", " - ", "COVID-19 EXPENSES")</f>
        <v xml:space="preserve">          6235 - COVID-19 EXPENSES</v>
      </c>
      <c r="C78" s="11"/>
      <c r="D78" s="7">
        <v>621.78</v>
      </c>
      <c r="E78" s="2"/>
      <c r="F78" s="6">
        <f t="shared" si="48"/>
        <v>0</v>
      </c>
      <c r="G78" s="2"/>
      <c r="H78" s="7"/>
      <c r="I78" s="2"/>
      <c r="J78" s="6">
        <f t="shared" si="49"/>
        <v>0</v>
      </c>
      <c r="K78" s="2"/>
      <c r="L78" s="7">
        <f t="shared" si="50"/>
        <v>621.78</v>
      </c>
      <c r="M78" s="2"/>
      <c r="N78" s="6">
        <f t="shared" si="51"/>
        <v>0</v>
      </c>
      <c r="O78" s="11"/>
      <c r="P78" s="7">
        <v>4917.3</v>
      </c>
      <c r="Q78" s="2"/>
      <c r="R78" s="6">
        <f t="shared" si="52"/>
        <v>0</v>
      </c>
      <c r="S78" s="2"/>
      <c r="T78" s="7"/>
      <c r="U78" s="2"/>
      <c r="V78" s="6">
        <f t="shared" si="53"/>
        <v>0</v>
      </c>
      <c r="W78" s="2"/>
      <c r="X78" s="7">
        <f t="shared" si="54"/>
        <v>4917.3</v>
      </c>
      <c r="Y78" s="2"/>
      <c r="Z78" s="6">
        <f t="shared" si="55"/>
        <v>0</v>
      </c>
    </row>
    <row r="79" spans="1:26" s="24" customFormat="1" hidden="1" outlineLevel="2" x14ac:dyDescent="0.25">
      <c r="A79" s="29"/>
      <c r="B79" s="11" t="str">
        <f>CONCATENATE("          ", "6237", " - ", "JANITORIAL SUPPLIES")</f>
        <v xml:space="preserve">          6237 - JANITORIAL SUPPLIES</v>
      </c>
      <c r="C79" s="11"/>
      <c r="D79" s="7"/>
      <c r="E79" s="2"/>
      <c r="F79" s="6">
        <f t="shared" si="48"/>
        <v>0</v>
      </c>
      <c r="G79" s="2"/>
      <c r="H79" s="7">
        <v>326.57</v>
      </c>
      <c r="I79" s="2"/>
      <c r="J79" s="6">
        <f t="shared" si="49"/>
        <v>0</v>
      </c>
      <c r="K79" s="2"/>
      <c r="L79" s="7">
        <f t="shared" si="50"/>
        <v>-326.57</v>
      </c>
      <c r="M79" s="2"/>
      <c r="N79" s="6">
        <f t="shared" si="51"/>
        <v>-1</v>
      </c>
      <c r="O79" s="11"/>
      <c r="P79" s="7"/>
      <c r="Q79" s="2"/>
      <c r="R79" s="6">
        <f t="shared" si="52"/>
        <v>0</v>
      </c>
      <c r="S79" s="2"/>
      <c r="T79" s="7">
        <v>775.4</v>
      </c>
      <c r="U79" s="2"/>
      <c r="V79" s="6">
        <f t="shared" si="53"/>
        <v>0</v>
      </c>
      <c r="W79" s="2"/>
      <c r="X79" s="7">
        <f t="shared" si="54"/>
        <v>-775.4</v>
      </c>
      <c r="Y79" s="2"/>
      <c r="Z79" s="6">
        <f t="shared" si="55"/>
        <v>-1</v>
      </c>
    </row>
    <row r="80" spans="1:26" s="24" customFormat="1" hidden="1" outlineLevel="2" x14ac:dyDescent="0.25">
      <c r="A80" s="29"/>
      <c r="B80" s="11" t="str">
        <f>CONCATENATE("          ", "6241", " - ", "OFFICE EXPENSE")</f>
        <v xml:space="preserve">          6241 - OFFICE EXPENSE</v>
      </c>
      <c r="C80" s="11"/>
      <c r="D80" s="7">
        <v>1807.76</v>
      </c>
      <c r="E80" s="2"/>
      <c r="F80" s="6">
        <f t="shared" si="48"/>
        <v>0</v>
      </c>
      <c r="G80" s="2"/>
      <c r="H80" s="7">
        <v>2242.21</v>
      </c>
      <c r="I80" s="2"/>
      <c r="J80" s="6">
        <f t="shared" si="49"/>
        <v>0</v>
      </c>
      <c r="K80" s="2"/>
      <c r="L80" s="7">
        <f t="shared" si="50"/>
        <v>-434.45000000000005</v>
      </c>
      <c r="M80" s="2"/>
      <c r="N80" s="6">
        <f t="shared" si="51"/>
        <v>-0.19375972812537631</v>
      </c>
      <c r="O80" s="11"/>
      <c r="P80" s="7">
        <v>2030.13</v>
      </c>
      <c r="Q80" s="2"/>
      <c r="R80" s="6">
        <f t="shared" si="52"/>
        <v>0</v>
      </c>
      <c r="S80" s="2"/>
      <c r="T80" s="7">
        <v>2592.33</v>
      </c>
      <c r="U80" s="2"/>
      <c r="V80" s="6">
        <f t="shared" si="53"/>
        <v>0</v>
      </c>
      <c r="W80" s="2"/>
      <c r="X80" s="7">
        <f t="shared" si="54"/>
        <v>-562.19999999999982</v>
      </c>
      <c r="Y80" s="2"/>
      <c r="Z80" s="6">
        <f t="shared" si="55"/>
        <v>-0.21687053731585093</v>
      </c>
    </row>
    <row r="81" spans="1:26" s="24" customFormat="1" hidden="1" outlineLevel="2" x14ac:dyDescent="0.25">
      <c r="A81" s="29"/>
      <c r="B81" s="11" t="str">
        <f>CONCATENATE("          ", "6245", " - ", "PRINTING")</f>
        <v xml:space="preserve">          6245 - PRINTING</v>
      </c>
      <c r="C81" s="11"/>
      <c r="D81" s="7"/>
      <c r="E81" s="2"/>
      <c r="F81" s="6">
        <f t="shared" si="48"/>
        <v>0</v>
      </c>
      <c r="G81" s="2"/>
      <c r="H81" s="7">
        <v>19.73</v>
      </c>
      <c r="I81" s="2"/>
      <c r="J81" s="6">
        <f t="shared" si="49"/>
        <v>0</v>
      </c>
      <c r="K81" s="2"/>
      <c r="L81" s="7">
        <f t="shared" si="50"/>
        <v>-19.73</v>
      </c>
      <c r="M81" s="2"/>
      <c r="N81" s="6">
        <f t="shared" si="51"/>
        <v>-1</v>
      </c>
      <c r="O81" s="11"/>
      <c r="P81" s="7"/>
      <c r="Q81" s="2"/>
      <c r="R81" s="6">
        <f t="shared" si="52"/>
        <v>0</v>
      </c>
      <c r="S81" s="2"/>
      <c r="T81" s="7">
        <v>19.73</v>
      </c>
      <c r="U81" s="2"/>
      <c r="V81" s="6">
        <f t="shared" si="53"/>
        <v>0</v>
      </c>
      <c r="W81" s="2"/>
      <c r="X81" s="7">
        <f t="shared" si="54"/>
        <v>-19.73</v>
      </c>
      <c r="Y81" s="2"/>
      <c r="Z81" s="6">
        <f t="shared" si="55"/>
        <v>-1</v>
      </c>
    </row>
    <row r="82" spans="1:26" s="24" customFormat="1" hidden="1" outlineLevel="2" x14ac:dyDescent="0.25">
      <c r="A82" s="29"/>
      <c r="B82" s="11" t="str">
        <f>CONCATENATE("          ", "6247", " - ", "STORE SUPPLIES")</f>
        <v xml:space="preserve">          6247 - STORE SUPPLIES</v>
      </c>
      <c r="C82" s="11"/>
      <c r="D82" s="7">
        <v>59.39</v>
      </c>
      <c r="E82" s="2"/>
      <c r="F82" s="6">
        <f t="shared" si="48"/>
        <v>0</v>
      </c>
      <c r="G82" s="2"/>
      <c r="H82" s="7">
        <v>-8252.23</v>
      </c>
      <c r="I82" s="2"/>
      <c r="J82" s="6">
        <f t="shared" si="49"/>
        <v>0</v>
      </c>
      <c r="K82" s="2"/>
      <c r="L82" s="7">
        <f t="shared" si="50"/>
        <v>8311.619999999999</v>
      </c>
      <c r="M82" s="2"/>
      <c r="N82" s="6">
        <f t="shared" si="51"/>
        <v>-1.0071968425504378</v>
      </c>
      <c r="O82" s="11"/>
      <c r="P82" s="7">
        <v>527.49</v>
      </c>
      <c r="Q82" s="2"/>
      <c r="R82" s="6">
        <f t="shared" si="52"/>
        <v>0</v>
      </c>
      <c r="S82" s="2"/>
      <c r="T82" s="7">
        <v>-8350.09</v>
      </c>
      <c r="U82" s="2"/>
      <c r="V82" s="6">
        <f t="shared" si="53"/>
        <v>0</v>
      </c>
      <c r="W82" s="2"/>
      <c r="X82" s="7">
        <f t="shared" si="54"/>
        <v>8877.58</v>
      </c>
      <c r="Y82" s="2"/>
      <c r="Z82" s="6">
        <f t="shared" si="55"/>
        <v>-1.0631717741964457</v>
      </c>
    </row>
    <row r="83" spans="1:26" s="28" customFormat="1" outlineLevel="1" collapsed="1" x14ac:dyDescent="0.25">
      <c r="A83" s="27"/>
      <c r="B83" s="14" t="str">
        <f>CONCATENATE("     ","Telephone/Data Lines                              ")</f>
        <v xml:space="preserve">     Telephone/Data Lines                              </v>
      </c>
      <c r="C83" s="14"/>
      <c r="D83" s="1">
        <f>SUM(OSRRefD22_19x_0)</f>
        <v>607.41</v>
      </c>
      <c r="E83" s="1"/>
      <c r="F83" s="5">
        <f t="shared" ref="F83:F89" si="56">IF(D$12=0,0,D83/D$12)</f>
        <v>0</v>
      </c>
      <c r="G83" s="1"/>
      <c r="H83" s="1">
        <f>SUM(OSRRefH22_19x_0)</f>
        <v>507.66</v>
      </c>
      <c r="I83" s="1"/>
      <c r="J83" s="5">
        <f t="shared" ref="J83:J89" si="57">IF(H$12=0,0,H83/H$12)</f>
        <v>0</v>
      </c>
      <c r="K83" s="1"/>
      <c r="L83" s="1">
        <f t="shared" ref="L83:L89" si="58">+D83-H83</f>
        <v>99.749999999999943</v>
      </c>
      <c r="M83" s="1"/>
      <c r="N83" s="5">
        <f t="shared" ref="N83:N89" si="59">IF(H83=0,0,L83/H83)</f>
        <v>0.19648977662214856</v>
      </c>
      <c r="O83" s="14"/>
      <c r="P83" s="1">
        <f>SUM(OSRRefP22_19x_0)</f>
        <v>1174.6199999999999</v>
      </c>
      <c r="Q83" s="1"/>
      <c r="R83" s="5">
        <f t="shared" ref="R83:R89" si="60">IF(P$12=0,0,P83/P$12)</f>
        <v>0</v>
      </c>
      <c r="S83" s="1"/>
      <c r="T83" s="1">
        <f>SUM(OSRRefT22_19x_0)</f>
        <v>905.02</v>
      </c>
      <c r="U83" s="1"/>
      <c r="V83" s="5">
        <f t="shared" ref="V83:V89" si="61">IF(T$12=0,0,T83/T$12)</f>
        <v>0</v>
      </c>
      <c r="W83" s="1"/>
      <c r="X83" s="1">
        <f t="shared" ref="X83:X89" si="62">+P83-T83</f>
        <v>269.59999999999991</v>
      </c>
      <c r="Y83" s="1"/>
      <c r="Z83" s="5">
        <f t="shared" ref="Z83:Z89" si="63">IF(T83=0,0,X83/T83)</f>
        <v>0.29789396919405087</v>
      </c>
    </row>
    <row r="84" spans="1:26" s="24" customFormat="1" hidden="1" outlineLevel="2" x14ac:dyDescent="0.25">
      <c r="A84" s="29"/>
      <c r="B84" s="11" t="str">
        <f>CONCATENATE("          ", "6309", " - ", "TELEPHONE")</f>
        <v xml:space="preserve">          6309 - TELEPHONE</v>
      </c>
      <c r="C84" s="11"/>
      <c r="D84" s="7">
        <v>607.41</v>
      </c>
      <c r="E84" s="2"/>
      <c r="F84" s="6">
        <f t="shared" si="56"/>
        <v>0</v>
      </c>
      <c r="G84" s="2"/>
      <c r="H84" s="7">
        <v>507.66</v>
      </c>
      <c r="I84" s="2"/>
      <c r="J84" s="6">
        <f t="shared" si="57"/>
        <v>0</v>
      </c>
      <c r="K84" s="2"/>
      <c r="L84" s="7">
        <f t="shared" si="58"/>
        <v>99.749999999999943</v>
      </c>
      <c r="M84" s="2"/>
      <c r="N84" s="6">
        <f t="shared" si="59"/>
        <v>0.19648977662214856</v>
      </c>
      <c r="O84" s="11"/>
      <c r="P84" s="7">
        <v>1174.6199999999999</v>
      </c>
      <c r="Q84" s="2"/>
      <c r="R84" s="6">
        <f t="shared" si="60"/>
        <v>0</v>
      </c>
      <c r="S84" s="2"/>
      <c r="T84" s="7">
        <v>905.02</v>
      </c>
      <c r="U84" s="2"/>
      <c r="V84" s="6">
        <f t="shared" si="61"/>
        <v>0</v>
      </c>
      <c r="W84" s="2"/>
      <c r="X84" s="7">
        <f t="shared" si="62"/>
        <v>269.59999999999991</v>
      </c>
      <c r="Y84" s="2"/>
      <c r="Z84" s="6">
        <f t="shared" si="63"/>
        <v>0.29789396919405087</v>
      </c>
    </row>
    <row r="85" spans="1:26" s="28" customFormat="1" outlineLevel="1" collapsed="1" x14ac:dyDescent="0.25">
      <c r="A85" s="27"/>
      <c r="B85" s="14" t="str">
        <f>CONCATENATE("     ","Training                                          ")</f>
        <v xml:space="preserve">     Training                                          </v>
      </c>
      <c r="C85" s="14"/>
      <c r="D85" s="1">
        <f>SUM(OSRRefD22_20x_0)</f>
        <v>0</v>
      </c>
      <c r="E85" s="1"/>
      <c r="F85" s="5">
        <f t="shared" si="56"/>
        <v>0</v>
      </c>
      <c r="G85" s="1"/>
      <c r="H85" s="1">
        <f>SUM(OSRRefH22_20x_0)</f>
        <v>6500</v>
      </c>
      <c r="I85" s="1"/>
      <c r="J85" s="5">
        <f t="shared" si="57"/>
        <v>0</v>
      </c>
      <c r="K85" s="1"/>
      <c r="L85" s="1">
        <f t="shared" si="58"/>
        <v>-6500</v>
      </c>
      <c r="M85" s="1"/>
      <c r="N85" s="5">
        <f t="shared" si="59"/>
        <v>-1</v>
      </c>
      <c r="O85" s="14"/>
      <c r="P85" s="1">
        <f>SUM(OSRRefP22_20x_0)</f>
        <v>131.63</v>
      </c>
      <c r="Q85" s="1"/>
      <c r="R85" s="5">
        <f t="shared" si="60"/>
        <v>0</v>
      </c>
      <c r="S85" s="1"/>
      <c r="T85" s="1">
        <f>SUM(OSRRefT22_20x_0)</f>
        <v>6671.56</v>
      </c>
      <c r="U85" s="1"/>
      <c r="V85" s="5">
        <f t="shared" si="61"/>
        <v>0</v>
      </c>
      <c r="W85" s="1"/>
      <c r="X85" s="1">
        <f t="shared" si="62"/>
        <v>-6539.93</v>
      </c>
      <c r="Y85" s="1"/>
      <c r="Z85" s="5">
        <f t="shared" si="63"/>
        <v>-0.98026998183333436</v>
      </c>
    </row>
    <row r="86" spans="1:26" s="24" customFormat="1" hidden="1" outlineLevel="2" x14ac:dyDescent="0.25">
      <c r="A86" s="29"/>
      <c r="B86" s="11" t="str">
        <f>CONCATENATE("          ", "6376", " - ", "TRAINING")</f>
        <v xml:space="preserve">          6376 - TRAINING</v>
      </c>
      <c r="C86" s="11"/>
      <c r="D86" s="7"/>
      <c r="E86" s="2"/>
      <c r="F86" s="6">
        <f t="shared" si="56"/>
        <v>0</v>
      </c>
      <c r="G86" s="2"/>
      <c r="H86" s="7">
        <v>6500</v>
      </c>
      <c r="I86" s="2"/>
      <c r="J86" s="6">
        <f t="shared" si="57"/>
        <v>0</v>
      </c>
      <c r="K86" s="2"/>
      <c r="L86" s="7">
        <f t="shared" si="58"/>
        <v>-6500</v>
      </c>
      <c r="M86" s="2"/>
      <c r="N86" s="6">
        <f t="shared" si="59"/>
        <v>-1</v>
      </c>
      <c r="O86" s="11"/>
      <c r="P86" s="7">
        <v>131.63</v>
      </c>
      <c r="Q86" s="2"/>
      <c r="R86" s="6">
        <f t="shared" si="60"/>
        <v>0</v>
      </c>
      <c r="S86" s="2"/>
      <c r="T86" s="7">
        <v>6671.56</v>
      </c>
      <c r="U86" s="2"/>
      <c r="V86" s="6">
        <f t="shared" si="61"/>
        <v>0</v>
      </c>
      <c r="W86" s="2"/>
      <c r="X86" s="7">
        <f t="shared" si="62"/>
        <v>-6539.93</v>
      </c>
      <c r="Y86" s="2"/>
      <c r="Z86" s="6">
        <f t="shared" si="63"/>
        <v>-0.98026998183333436</v>
      </c>
    </row>
    <row r="87" spans="1:26" s="28" customFormat="1" outlineLevel="1" collapsed="1" x14ac:dyDescent="0.25">
      <c r="A87" s="27"/>
      <c r="B87" s="14" t="str">
        <f>CONCATENATE("     ","Travel                                            ")</f>
        <v xml:space="preserve">     Travel                                            </v>
      </c>
      <c r="C87" s="14"/>
      <c r="D87" s="1">
        <f>SUM(OSRRefD22_21x_0)</f>
        <v>0</v>
      </c>
      <c r="E87" s="1"/>
      <c r="F87" s="5">
        <f t="shared" si="56"/>
        <v>0</v>
      </c>
      <c r="G87" s="1"/>
      <c r="H87" s="1">
        <f>SUM(OSRRefH22_21x_0)</f>
        <v>115.67999999999999</v>
      </c>
      <c r="I87" s="1"/>
      <c r="J87" s="5">
        <f t="shared" si="57"/>
        <v>0</v>
      </c>
      <c r="K87" s="1"/>
      <c r="L87" s="1">
        <f t="shared" si="58"/>
        <v>-115.67999999999999</v>
      </c>
      <c r="M87" s="1"/>
      <c r="N87" s="5">
        <f t="shared" si="59"/>
        <v>-1</v>
      </c>
      <c r="O87" s="14"/>
      <c r="P87" s="1">
        <f>SUM(OSRRefP22_21x_0)</f>
        <v>59.89</v>
      </c>
      <c r="Q87" s="1"/>
      <c r="R87" s="5">
        <f t="shared" si="60"/>
        <v>0</v>
      </c>
      <c r="S87" s="1"/>
      <c r="T87" s="1">
        <f>SUM(OSRRefT22_21x_0)</f>
        <v>337.36</v>
      </c>
      <c r="U87" s="1"/>
      <c r="V87" s="5">
        <f t="shared" si="61"/>
        <v>0</v>
      </c>
      <c r="W87" s="1"/>
      <c r="X87" s="1">
        <f t="shared" si="62"/>
        <v>-277.47000000000003</v>
      </c>
      <c r="Y87" s="1"/>
      <c r="Z87" s="5">
        <f t="shared" si="63"/>
        <v>-0.82247450794403609</v>
      </c>
    </row>
    <row r="88" spans="1:26" s="24" customFormat="1" hidden="1" outlineLevel="2" x14ac:dyDescent="0.25">
      <c r="A88" s="29"/>
      <c r="B88" s="11" t="str">
        <f>CONCATENATE("          ", "6292", " - ", "TRAVEL/CONFERENCE")</f>
        <v xml:space="preserve">          6292 - TRAVEL/CONFERENCE</v>
      </c>
      <c r="C88" s="11"/>
      <c r="D88" s="7"/>
      <c r="E88" s="2"/>
      <c r="F88" s="6">
        <f t="shared" si="56"/>
        <v>0</v>
      </c>
      <c r="G88" s="2"/>
      <c r="H88" s="7">
        <v>100.16</v>
      </c>
      <c r="I88" s="2"/>
      <c r="J88" s="6">
        <f t="shared" si="57"/>
        <v>0</v>
      </c>
      <c r="K88" s="2"/>
      <c r="L88" s="7">
        <f t="shared" si="58"/>
        <v>-100.16</v>
      </c>
      <c r="M88" s="2"/>
      <c r="N88" s="6">
        <f t="shared" si="59"/>
        <v>-1</v>
      </c>
      <c r="O88" s="11"/>
      <c r="P88" s="7"/>
      <c r="Q88" s="2"/>
      <c r="R88" s="6">
        <f t="shared" si="60"/>
        <v>0</v>
      </c>
      <c r="S88" s="2"/>
      <c r="T88" s="7">
        <v>250.64</v>
      </c>
      <c r="U88" s="2"/>
      <c r="V88" s="6">
        <f t="shared" si="61"/>
        <v>0</v>
      </c>
      <c r="W88" s="2"/>
      <c r="X88" s="7">
        <f t="shared" si="62"/>
        <v>-250.64</v>
      </c>
      <c r="Y88" s="2"/>
      <c r="Z88" s="6">
        <f t="shared" si="63"/>
        <v>-1</v>
      </c>
    </row>
    <row r="89" spans="1:26" s="24" customFormat="1" hidden="1" outlineLevel="2" x14ac:dyDescent="0.25">
      <c r="A89" s="29"/>
      <c r="B89" s="11" t="str">
        <f>CONCATENATE("          ", "6298", " - ", "VEHICLE MILEAGE")</f>
        <v xml:space="preserve">          6298 - VEHICLE MILEAGE</v>
      </c>
      <c r="C89" s="11"/>
      <c r="D89" s="7"/>
      <c r="E89" s="2"/>
      <c r="F89" s="6">
        <f t="shared" si="56"/>
        <v>0</v>
      </c>
      <c r="G89" s="2"/>
      <c r="H89" s="7">
        <v>15.52</v>
      </c>
      <c r="I89" s="2"/>
      <c r="J89" s="6">
        <f t="shared" si="57"/>
        <v>0</v>
      </c>
      <c r="K89" s="2"/>
      <c r="L89" s="7">
        <f t="shared" si="58"/>
        <v>-15.52</v>
      </c>
      <c r="M89" s="2"/>
      <c r="N89" s="6">
        <f t="shared" si="59"/>
        <v>-1</v>
      </c>
      <c r="O89" s="11"/>
      <c r="P89" s="7">
        <v>59.89</v>
      </c>
      <c r="Q89" s="2"/>
      <c r="R89" s="6">
        <f t="shared" si="60"/>
        <v>0</v>
      </c>
      <c r="S89" s="2"/>
      <c r="T89" s="7">
        <v>86.72</v>
      </c>
      <c r="U89" s="2"/>
      <c r="V89" s="6">
        <f t="shared" si="61"/>
        <v>0</v>
      </c>
      <c r="W89" s="2"/>
      <c r="X89" s="7">
        <f t="shared" si="62"/>
        <v>-26.83</v>
      </c>
      <c r="Y89" s="2"/>
      <c r="Z89" s="6">
        <f t="shared" si="63"/>
        <v>-0.30938653136531363</v>
      </c>
    </row>
    <row r="90" spans="1:26" s="28" customFormat="1" outlineLevel="1" collapsed="1" x14ac:dyDescent="0.25">
      <c r="A90" s="27"/>
      <c r="B90" s="14" t="str">
        <f>CONCATENATE("     ","Utilities                                         ")</f>
        <v xml:space="preserve">     Utilities                                         </v>
      </c>
      <c r="C90" s="14"/>
      <c r="D90" s="1">
        <f>SUM(OSRRefD22_22x_0)</f>
        <v>6133</v>
      </c>
      <c r="E90" s="1"/>
      <c r="F90" s="5">
        <f t="shared" ref="F90:F91" si="64">IF(D$12=0,0,D90/D$12)</f>
        <v>0</v>
      </c>
      <c r="G90" s="1"/>
      <c r="H90" s="1">
        <f>SUM(OSRRefH22_22x_0)</f>
        <v>0</v>
      </c>
      <c r="I90" s="1"/>
      <c r="J90" s="5">
        <f t="shared" ref="J90:J91" si="65">IF(H$12=0,0,H90/H$12)</f>
        <v>0</v>
      </c>
      <c r="K90" s="1"/>
      <c r="L90" s="1">
        <f t="shared" ref="L90:L91" si="66">+D90-H90</f>
        <v>6133</v>
      </c>
      <c r="M90" s="1"/>
      <c r="N90" s="5">
        <f t="shared" ref="N90:N91" si="67">IF(H90=0,0,L90/H90)</f>
        <v>0</v>
      </c>
      <c r="O90" s="14"/>
      <c r="P90" s="1">
        <f>SUM(OSRRefP22_22x_0)</f>
        <v>12266</v>
      </c>
      <c r="Q90" s="1"/>
      <c r="R90" s="5">
        <f t="shared" ref="R90:R91" si="68">IF(P$12=0,0,P90/P$12)</f>
        <v>0</v>
      </c>
      <c r="S90" s="1"/>
      <c r="T90" s="1">
        <f>SUM(OSRRefT22_22x_0)</f>
        <v>5593</v>
      </c>
      <c r="U90" s="1"/>
      <c r="V90" s="5">
        <f t="shared" ref="V90:V91" si="69">IF(T$12=0,0,T90/T$12)</f>
        <v>0</v>
      </c>
      <c r="W90" s="1"/>
      <c r="X90" s="1">
        <f t="shared" ref="X90:X91" si="70">+P90-T90</f>
        <v>6673</v>
      </c>
      <c r="Y90" s="1"/>
      <c r="Z90" s="5">
        <f t="shared" ref="Z90:Z91" si="71">IF(T90=0,0,X90/T90)</f>
        <v>1.1930985160021454</v>
      </c>
    </row>
    <row r="91" spans="1:26" s="24" customFormat="1" hidden="1" outlineLevel="2" x14ac:dyDescent="0.25">
      <c r="A91" s="29"/>
      <c r="B91" s="11" t="str">
        <f>CONCATENATE("          ", "6274", " - ", "UTILITIES")</f>
        <v xml:space="preserve">          6274 - UTILITIES</v>
      </c>
      <c r="C91" s="11"/>
      <c r="D91" s="7">
        <v>6133</v>
      </c>
      <c r="E91" s="2"/>
      <c r="F91" s="6">
        <f t="shared" si="64"/>
        <v>0</v>
      </c>
      <c r="G91" s="2"/>
      <c r="H91" s="7"/>
      <c r="I91" s="2"/>
      <c r="J91" s="6">
        <f t="shared" si="65"/>
        <v>0</v>
      </c>
      <c r="K91" s="2"/>
      <c r="L91" s="7">
        <f t="shared" si="66"/>
        <v>6133</v>
      </c>
      <c r="M91" s="2"/>
      <c r="N91" s="6">
        <f t="shared" si="67"/>
        <v>0</v>
      </c>
      <c r="O91" s="11"/>
      <c r="P91" s="7">
        <v>12266</v>
      </c>
      <c r="Q91" s="2"/>
      <c r="R91" s="6">
        <f t="shared" si="68"/>
        <v>0</v>
      </c>
      <c r="S91" s="2"/>
      <c r="T91" s="7">
        <v>5593</v>
      </c>
      <c r="U91" s="2"/>
      <c r="V91" s="6">
        <f t="shared" si="69"/>
        <v>0</v>
      </c>
      <c r="W91" s="2"/>
      <c r="X91" s="7">
        <f t="shared" si="70"/>
        <v>6673</v>
      </c>
      <c r="Y91" s="2"/>
      <c r="Z91" s="6">
        <f t="shared" si="71"/>
        <v>1.1930985160021454</v>
      </c>
    </row>
    <row r="92" spans="1:26" s="52" customFormat="1" x14ac:dyDescent="0.25">
      <c r="A92" s="37"/>
      <c r="B92" s="37"/>
      <c r="C92" s="37"/>
      <c r="D92" s="1"/>
      <c r="E92" s="1"/>
      <c r="F92" s="5"/>
      <c r="G92" s="1"/>
      <c r="H92" s="1"/>
      <c r="I92" s="1"/>
      <c r="J92" s="5"/>
      <c r="K92" s="1"/>
      <c r="L92" s="1"/>
      <c r="M92" s="1"/>
      <c r="N92" s="5"/>
      <c r="O92" s="37"/>
      <c r="P92" s="1"/>
      <c r="Q92" s="1"/>
      <c r="R92" s="5"/>
      <c r="S92" s="1"/>
      <c r="T92" s="1"/>
      <c r="U92" s="1"/>
      <c r="V92" s="5"/>
      <c r="W92" s="1"/>
      <c r="X92" s="1"/>
      <c r="Y92" s="1"/>
      <c r="Z92" s="5"/>
    </row>
    <row r="93" spans="1:26" s="23" customFormat="1" collapsed="1" x14ac:dyDescent="0.25">
      <c r="A93" s="10"/>
      <c r="B93" s="25" t="s">
        <v>0</v>
      </c>
      <c r="C93" s="10"/>
      <c r="D93" s="4">
        <f>SUM(OSRRefD25x_0)</f>
        <v>48195.62</v>
      </c>
      <c r="E93" s="4"/>
      <c r="F93" s="12">
        <f t="shared" ref="F93:F95" si="72">IF(D$12=0,0,D93/D$12)</f>
        <v>0</v>
      </c>
      <c r="G93" s="4"/>
      <c r="H93" s="4">
        <f>SUM(OSRRefH25x_0)</f>
        <v>7183.0899999999992</v>
      </c>
      <c r="I93" s="4"/>
      <c r="J93" s="12">
        <f t="shared" ref="J93:J95" si="73">IF(H$12=0,0,H93/H$12)</f>
        <v>0</v>
      </c>
      <c r="K93" s="4"/>
      <c r="L93" s="4">
        <f t="shared" ref="L93:L95" si="74">+D93-H93</f>
        <v>41012.530000000006</v>
      </c>
      <c r="M93" s="4"/>
      <c r="N93" s="12">
        <f t="shared" ref="N93:N95" si="75">IF(H93=0,0,L93/H93)</f>
        <v>5.7095943389265633</v>
      </c>
      <c r="O93" s="10"/>
      <c r="P93" s="4">
        <f>SUM(OSRRefP25x_0)</f>
        <v>65220.93</v>
      </c>
      <c r="Q93" s="4"/>
      <c r="R93" s="12">
        <f t="shared" ref="R93:R95" si="76">IF(P$12=0,0,P93/P$12)</f>
        <v>0</v>
      </c>
      <c r="S93" s="4"/>
      <c r="T93" s="4">
        <f>SUM(OSRRefT25x_0)</f>
        <v>54649.919999999998</v>
      </c>
      <c r="U93" s="4"/>
      <c r="V93" s="12">
        <f t="shared" ref="V93:V95" si="77">IF(T$12=0,0,T93/T$12)</f>
        <v>0</v>
      </c>
      <c r="W93" s="4"/>
      <c r="X93" s="4">
        <f t="shared" ref="X93:X95" si="78">+P93-T93</f>
        <v>10571.010000000002</v>
      </c>
      <c r="Y93" s="4"/>
      <c r="Z93" s="12">
        <f t="shared" ref="Z93:Z95" si="79">IF(T93=0,0,X93/T93)</f>
        <v>0.19343139020148617</v>
      </c>
    </row>
    <row r="94" spans="1:26" s="24" customFormat="1" hidden="1" outlineLevel="1" x14ac:dyDescent="0.25">
      <c r="A94" s="44"/>
      <c r="B94" s="11" t="str">
        <f>CONCATENATE("          ", "9150", " - ", "MISC. INCOME")</f>
        <v xml:space="preserve">          9150 - MISC. INCOME</v>
      </c>
      <c r="C94" s="11"/>
      <c r="D94" s="2">
        <f>--48195.62</f>
        <v>48195.62</v>
      </c>
      <c r="E94" s="2"/>
      <c r="F94" s="19">
        <f t="shared" si="72"/>
        <v>0</v>
      </c>
      <c r="G94" s="2"/>
      <c r="H94" s="2">
        <f>--7353.11</f>
        <v>7353.11</v>
      </c>
      <c r="I94" s="2"/>
      <c r="J94" s="19">
        <f t="shared" si="73"/>
        <v>0</v>
      </c>
      <c r="K94" s="2"/>
      <c r="L94" s="2">
        <f t="shared" si="74"/>
        <v>40842.51</v>
      </c>
      <c r="M94" s="2"/>
      <c r="N94" s="19">
        <f t="shared" si="75"/>
        <v>5.5544538297400701</v>
      </c>
      <c r="O94" s="11"/>
      <c r="P94" s="2">
        <f>--65220.93</f>
        <v>65220.93</v>
      </c>
      <c r="Q94" s="2"/>
      <c r="R94" s="19">
        <f t="shared" si="76"/>
        <v>0</v>
      </c>
      <c r="S94" s="2"/>
      <c r="T94" s="2">
        <f>--54914.43</f>
        <v>54914.43</v>
      </c>
      <c r="U94" s="2"/>
      <c r="V94" s="19">
        <f t="shared" si="77"/>
        <v>0</v>
      </c>
      <c r="W94" s="2"/>
      <c r="X94" s="2">
        <f t="shared" si="78"/>
        <v>10306.5</v>
      </c>
      <c r="Y94" s="2"/>
      <c r="Z94" s="19">
        <f t="shared" si="79"/>
        <v>0.18768290957404091</v>
      </c>
    </row>
    <row r="95" spans="1:26" s="24" customFormat="1" hidden="1" outlineLevel="1" x14ac:dyDescent="0.25">
      <c r="A95" s="44"/>
      <c r="B95" s="11" t="str">
        <f>CONCATENATE("          ", "9151", " - ", "MISC. INCOME")</f>
        <v xml:space="preserve">          9151 - MISC. INCOME</v>
      </c>
      <c r="C95" s="11"/>
      <c r="D95" s="2">
        <f>0</f>
        <v>0</v>
      </c>
      <c r="E95" s="2"/>
      <c r="F95" s="19">
        <f t="shared" si="72"/>
        <v>0</v>
      </c>
      <c r="G95" s="2"/>
      <c r="H95" s="2">
        <f>-170.02</f>
        <v>-170.02</v>
      </c>
      <c r="I95" s="2"/>
      <c r="J95" s="19">
        <f t="shared" si="73"/>
        <v>0</v>
      </c>
      <c r="K95" s="2"/>
      <c r="L95" s="2">
        <f t="shared" si="74"/>
        <v>170.02</v>
      </c>
      <c r="M95" s="2"/>
      <c r="N95" s="19">
        <f t="shared" si="75"/>
        <v>-1</v>
      </c>
      <c r="O95" s="11"/>
      <c r="P95" s="2">
        <f>0</f>
        <v>0</v>
      </c>
      <c r="Q95" s="2"/>
      <c r="R95" s="19">
        <f t="shared" si="76"/>
        <v>0</v>
      </c>
      <c r="S95" s="2"/>
      <c r="T95" s="2">
        <f>-264.51</f>
        <v>-264.51</v>
      </c>
      <c r="U95" s="2"/>
      <c r="V95" s="19">
        <f t="shared" si="77"/>
        <v>0</v>
      </c>
      <c r="W95" s="2"/>
      <c r="X95" s="2">
        <f t="shared" si="78"/>
        <v>264.51</v>
      </c>
      <c r="Y95" s="2"/>
      <c r="Z95" s="19">
        <f t="shared" si="79"/>
        <v>-1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6" t="s">
        <v>3</v>
      </c>
      <c r="C97" s="26"/>
      <c r="D97" s="22">
        <f>+D16-D18+D93</f>
        <v>-93767.040000000037</v>
      </c>
      <c r="E97" s="13"/>
      <c r="F97" s="21">
        <f>IF(D$12=0,0,D97/D$12)</f>
        <v>0</v>
      </c>
      <c r="G97" s="13"/>
      <c r="H97" s="22">
        <f>+H16-H18+H93</f>
        <v>-153901.43999999994</v>
      </c>
      <c r="I97" s="13"/>
      <c r="J97" s="21">
        <f>IF(H$12=0,0,H97/H$12)</f>
        <v>0</v>
      </c>
      <c r="K97" s="16"/>
      <c r="L97" s="22">
        <f>+D97-H97</f>
        <v>60134.399999999907</v>
      </c>
      <c r="M97" s="16"/>
      <c r="N97" s="21">
        <f>IF(H97=0,0,L97/H97)</f>
        <v>-0.39073318612223468</v>
      </c>
      <c r="O97" s="25"/>
      <c r="P97" s="22">
        <f>+P16-P18+P93</f>
        <v>-242158.43</v>
      </c>
      <c r="Q97" s="13"/>
      <c r="R97" s="21">
        <f>IF(P$12=0,0,P97/P$12)</f>
        <v>0</v>
      </c>
      <c r="S97" s="13"/>
      <c r="T97" s="22">
        <f>+T16-T18+T93</f>
        <v>-230877.67000000004</v>
      </c>
      <c r="U97" s="13"/>
      <c r="V97" s="21">
        <f>IF(T$12=0,0,T97/T$12)</f>
        <v>0</v>
      </c>
      <c r="W97" s="16"/>
      <c r="X97" s="22">
        <f>+P97-T97</f>
        <v>-11280.759999999951</v>
      </c>
      <c r="Y97" s="16"/>
      <c r="Z97" s="21">
        <f>IF(T97=0,0,X97/T97)</f>
        <v>4.8860333699659864E-2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1"/>
      <c r="B99" s="10" t="s">
        <v>13</v>
      </c>
      <c r="C99" s="10"/>
      <c r="D99" s="4"/>
      <c r="E99" s="4"/>
      <c r="F99" s="12">
        <f>IF(D$12=0,0,D99/D$12)</f>
        <v>0</v>
      </c>
      <c r="G99" s="4"/>
      <c r="H99" s="4"/>
      <c r="I99" s="4"/>
      <c r="J99" s="12">
        <f>IF(H$12=0,0,H99/H$12)</f>
        <v>0</v>
      </c>
      <c r="K99" s="4"/>
      <c r="L99" s="4">
        <f>+D99-H99</f>
        <v>0</v>
      </c>
      <c r="M99" s="4"/>
      <c r="N99" s="12">
        <f>IF(H99=0,0,L99/H99)</f>
        <v>0</v>
      </c>
      <c r="O99" s="10"/>
      <c r="P99" s="4"/>
      <c r="Q99" s="4"/>
      <c r="R99" s="12">
        <f>IF(P$12=0,0,P99/P$12)</f>
        <v>0</v>
      </c>
      <c r="S99" s="4"/>
      <c r="T99" s="4"/>
      <c r="U99" s="4"/>
      <c r="V99" s="12">
        <f>IF(T$12=0,0,T99/T$12)</f>
        <v>0</v>
      </c>
      <c r="W99" s="4"/>
      <c r="X99" s="4">
        <f>+P99-T99</f>
        <v>0</v>
      </c>
      <c r="Y99" s="4"/>
      <c r="Z99" s="12">
        <f>IF(T99=0,0,X99/T99)</f>
        <v>0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6" t="s">
        <v>4</v>
      </c>
      <c r="C101" s="26"/>
      <c r="D101" s="36">
        <f>+D97-D99</f>
        <v>-93767.040000000037</v>
      </c>
      <c r="E101" s="13"/>
      <c r="F101" s="34">
        <f>IF(D$12=0,0,D101/D$12)</f>
        <v>0</v>
      </c>
      <c r="G101" s="13"/>
      <c r="H101" s="36">
        <f>+H97-H99</f>
        <v>-153901.43999999994</v>
      </c>
      <c r="I101" s="13"/>
      <c r="J101" s="34">
        <f>IF(H$12=0,0,H101/H$12)</f>
        <v>0</v>
      </c>
      <c r="K101" s="16"/>
      <c r="L101" s="36">
        <f>D101-H101</f>
        <v>60134.399999999907</v>
      </c>
      <c r="M101" s="16"/>
      <c r="N101" s="34">
        <f>IF(H101=0,0,L101/H101)</f>
        <v>-0.39073318612223468</v>
      </c>
      <c r="O101" s="25"/>
      <c r="P101" s="36">
        <f>+P97-P99</f>
        <v>-242158.43</v>
      </c>
      <c r="Q101" s="13"/>
      <c r="R101" s="34">
        <f>IF(P$12=0,0,P101/P$12)</f>
        <v>0</v>
      </c>
      <c r="S101" s="13"/>
      <c r="T101" s="36">
        <f>+T97-T99</f>
        <v>-230877.67000000004</v>
      </c>
      <c r="U101" s="13"/>
      <c r="V101" s="34">
        <f>IF(T$12=0,0,T101/T$12)</f>
        <v>0</v>
      </c>
      <c r="W101" s="16"/>
      <c r="X101" s="36">
        <f>P101-T101</f>
        <v>-11280.759999999951</v>
      </c>
      <c r="Y101" s="16"/>
      <c r="Z101" s="34">
        <f>IF(T101=0,0,X101/T101)</f>
        <v>4.8860333699659864E-2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5</v>
      </c>
      <c r="C104" s="26"/>
      <c r="D104" s="30">
        <f>SUM(D101:D103)</f>
        <v>-93767.040000000037</v>
      </c>
      <c r="E104" s="13"/>
      <c r="F104" s="31">
        <f>IF(D$12=0,0,D104/D$12)</f>
        <v>0</v>
      </c>
      <c r="G104" s="13"/>
      <c r="H104" s="30">
        <f>SUM(H101:H103)</f>
        <v>-153901.43999999994</v>
      </c>
      <c r="I104" s="13"/>
      <c r="J104" s="31">
        <f>IF(H$12=0,0,H104/H$12)</f>
        <v>0</v>
      </c>
      <c r="K104" s="16"/>
      <c r="L104" s="30">
        <f>+D104-H104</f>
        <v>60134.399999999907</v>
      </c>
      <c r="M104" s="16"/>
      <c r="N104" s="31">
        <f>IF(H104=0,0,L104/H104)</f>
        <v>-0.39073318612223468</v>
      </c>
      <c r="O104" s="25"/>
      <c r="P104" s="30">
        <f>SUM(P101:P103)</f>
        <v>-242158.43</v>
      </c>
      <c r="Q104" s="13"/>
      <c r="R104" s="31">
        <f>IF(P$12=0,0,P104/P$12)</f>
        <v>0</v>
      </c>
      <c r="S104" s="13"/>
      <c r="T104" s="30">
        <f>SUM(T101:T103)</f>
        <v>-230877.67000000004</v>
      </c>
      <c r="U104" s="13"/>
      <c r="V104" s="31">
        <f>IF(T$12=0,0,T104/T$12)</f>
        <v>0</v>
      </c>
      <c r="W104" s="16"/>
      <c r="X104" s="30">
        <f>+P104-T104</f>
        <v>-11280.759999999951</v>
      </c>
      <c r="Y104" s="16"/>
      <c r="Z104" s="31">
        <f>IF(T104=0,0,X104/T104)</f>
        <v>4.8860333699659864E-2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1">
        <v>44113.696096446758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6" t="s">
        <v>313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8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","306", " - ", "Warehouse")</f>
        <v>Department 306 - Warehouse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0</v>
      </c>
      <c r="E18" s="20"/>
      <c r="F18" s="35">
        <f t="shared" ref="F18:F28" si="0">IF(D$12=0,0,D18/D$12)</f>
        <v>0</v>
      </c>
      <c r="G18" s="20"/>
      <c r="H18" s="20">
        <f>SUM(OSRRefH22x_0)</f>
        <v>65464.189999999995</v>
      </c>
      <c r="I18" s="20"/>
      <c r="J18" s="35">
        <f t="shared" ref="J18:J28" si="1">IF(H$12=0,0,H18/H$12)</f>
        <v>0</v>
      </c>
      <c r="K18" s="4"/>
      <c r="L18" s="20">
        <f t="shared" ref="L18:L28" si="2">+D18-H18</f>
        <v>-65464.189999999995</v>
      </c>
      <c r="M18" s="4"/>
      <c r="N18" s="35">
        <f t="shared" ref="N18:N28" si="3">IF(H18=0,0,L18/H18)</f>
        <v>-1</v>
      </c>
      <c r="O18" s="10"/>
      <c r="P18" s="20">
        <f>SUM(OSRRefP22x_0)</f>
        <v>0.23</v>
      </c>
      <c r="Q18" s="20"/>
      <c r="R18" s="35">
        <f t="shared" ref="R18:R28" si="4">IF(P$12=0,0,P18/P$12)</f>
        <v>0</v>
      </c>
      <c r="S18" s="20"/>
      <c r="T18" s="20">
        <f>SUM(OSRRefT22x_0)</f>
        <v>111418.08</v>
      </c>
      <c r="U18" s="20"/>
      <c r="V18" s="35">
        <f t="shared" ref="V18:V28" si="5">IF(T$12=0,0,T18/T$12)</f>
        <v>0</v>
      </c>
      <c r="W18" s="4"/>
      <c r="X18" s="20">
        <f t="shared" ref="X18:X28" si="6">+P18-T18</f>
        <v>-111417.85</v>
      </c>
      <c r="Y18" s="4"/>
      <c r="Z18" s="35">
        <f t="shared" ref="Z18:Z28" si="7">IF(T18=0,0,X18/T18)</f>
        <v>-0.99999793570307449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8032.53</v>
      </c>
      <c r="I19" s="1"/>
      <c r="J19" s="5">
        <f t="shared" si="1"/>
        <v>0</v>
      </c>
      <c r="K19" s="1"/>
      <c r="L19" s="1">
        <f t="shared" si="2"/>
        <v>-8032.53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15694.820000000002</v>
      </c>
      <c r="U19" s="1"/>
      <c r="V19" s="5">
        <f t="shared" si="5"/>
        <v>0</v>
      </c>
      <c r="W19" s="1"/>
      <c r="X19" s="1">
        <f t="shared" si="6"/>
        <v>-15694.820000000002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3423.12</v>
      </c>
      <c r="I20" s="2"/>
      <c r="J20" s="6">
        <f t="shared" si="1"/>
        <v>0</v>
      </c>
      <c r="K20" s="2"/>
      <c r="L20" s="7">
        <f t="shared" si="2"/>
        <v>-3423.12</v>
      </c>
      <c r="M20" s="2"/>
      <c r="N20" s="6">
        <f t="shared" si="3"/>
        <v>-1</v>
      </c>
      <c r="O20" s="11"/>
      <c r="P20" s="7">
        <v>401.9</v>
      </c>
      <c r="Q20" s="2"/>
      <c r="R20" s="6">
        <f t="shared" si="4"/>
        <v>0</v>
      </c>
      <c r="S20" s="2"/>
      <c r="T20" s="7">
        <v>5774.24</v>
      </c>
      <c r="U20" s="2"/>
      <c r="V20" s="6">
        <f t="shared" si="5"/>
        <v>0</v>
      </c>
      <c r="W20" s="2"/>
      <c r="X20" s="7">
        <f t="shared" si="6"/>
        <v>-5372.34</v>
      </c>
      <c r="Y20" s="2"/>
      <c r="Z20" s="6">
        <f t="shared" si="7"/>
        <v>-0.93039776663249196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906.1</v>
      </c>
      <c r="I21" s="2"/>
      <c r="J21" s="6">
        <f t="shared" si="1"/>
        <v>0</v>
      </c>
      <c r="K21" s="2"/>
      <c r="L21" s="7">
        <f t="shared" si="2"/>
        <v>-906.1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1508.88</v>
      </c>
      <c r="U21" s="2"/>
      <c r="V21" s="6">
        <f t="shared" si="5"/>
        <v>0</v>
      </c>
      <c r="W21" s="2"/>
      <c r="X21" s="7">
        <f t="shared" si="6"/>
        <v>-1508.88</v>
      </c>
      <c r="Y21" s="2"/>
      <c r="Z21" s="6">
        <f t="shared" si="7"/>
        <v>-1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1949.27</v>
      </c>
      <c r="I22" s="2"/>
      <c r="J22" s="6">
        <f t="shared" si="1"/>
        <v>0</v>
      </c>
      <c r="K22" s="2"/>
      <c r="L22" s="7">
        <f t="shared" si="2"/>
        <v>-1949.27</v>
      </c>
      <c r="M22" s="2"/>
      <c r="N22" s="6">
        <f t="shared" si="3"/>
        <v>-1</v>
      </c>
      <c r="O22" s="11"/>
      <c r="P22" s="7"/>
      <c r="Q22" s="2"/>
      <c r="R22" s="6">
        <f t="shared" si="4"/>
        <v>0</v>
      </c>
      <c r="S22" s="2"/>
      <c r="T22" s="7">
        <v>3898.54</v>
      </c>
      <c r="U22" s="2"/>
      <c r="V22" s="6">
        <f t="shared" si="5"/>
        <v>0</v>
      </c>
      <c r="W22" s="2"/>
      <c r="X22" s="7">
        <f t="shared" si="6"/>
        <v>-3898.54</v>
      </c>
      <c r="Y22" s="2"/>
      <c r="Z22" s="6">
        <f t="shared" si="7"/>
        <v>-1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116.2</v>
      </c>
      <c r="I23" s="2"/>
      <c r="J23" s="6">
        <f t="shared" si="1"/>
        <v>0</v>
      </c>
      <c r="K23" s="2"/>
      <c r="L23" s="7">
        <f t="shared" si="2"/>
        <v>-116.2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198.69</v>
      </c>
      <c r="U23" s="2"/>
      <c r="V23" s="6">
        <f t="shared" si="5"/>
        <v>0</v>
      </c>
      <c r="W23" s="2"/>
      <c r="X23" s="7">
        <f t="shared" si="6"/>
        <v>-198.69</v>
      </c>
      <c r="Y23" s="2"/>
      <c r="Z23" s="6">
        <f t="shared" si="7"/>
        <v>-1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691.3</v>
      </c>
      <c r="I24" s="2"/>
      <c r="J24" s="6">
        <f t="shared" si="1"/>
        <v>0</v>
      </c>
      <c r="K24" s="2"/>
      <c r="L24" s="7">
        <f t="shared" si="2"/>
        <v>-691.3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1382.6</v>
      </c>
      <c r="U24" s="2"/>
      <c r="V24" s="6">
        <f t="shared" si="5"/>
        <v>0</v>
      </c>
      <c r="W24" s="2"/>
      <c r="X24" s="7">
        <f t="shared" si="6"/>
        <v>-1382.6</v>
      </c>
      <c r="Y24" s="2"/>
      <c r="Z24" s="6">
        <f t="shared" si="7"/>
        <v>-1</v>
      </c>
    </row>
    <row r="25" spans="1:26" s="24" customFormat="1" hidden="1" outlineLevel="2" x14ac:dyDescent="0.25">
      <c r="A25" s="29"/>
      <c r="B25" s="11" t="str">
        <f>CONCATENATE("          ", "6116", " - ", "EDUCATIONAL BENEFITS")</f>
        <v xml:space="preserve">          6116 - EDUCATIONAL BENEFITS</v>
      </c>
      <c r="C25" s="11"/>
      <c r="D25" s="7"/>
      <c r="E25" s="2"/>
      <c r="F25" s="6">
        <f t="shared" si="0"/>
        <v>0</v>
      </c>
      <c r="G25" s="2"/>
      <c r="H25" s="7"/>
      <c r="I25" s="2"/>
      <c r="J25" s="6">
        <f t="shared" si="1"/>
        <v>0</v>
      </c>
      <c r="K25" s="2"/>
      <c r="L25" s="7">
        <f t="shared" si="2"/>
        <v>0</v>
      </c>
      <c r="M25" s="2"/>
      <c r="N25" s="6">
        <f t="shared" si="3"/>
        <v>0</v>
      </c>
      <c r="O25" s="11"/>
      <c r="P25" s="7">
        <v>-401.9</v>
      </c>
      <c r="Q25" s="2"/>
      <c r="R25" s="6">
        <f t="shared" si="4"/>
        <v>0</v>
      </c>
      <c r="S25" s="2"/>
      <c r="T25" s="7"/>
      <c r="U25" s="2"/>
      <c r="V25" s="6">
        <f t="shared" si="5"/>
        <v>0</v>
      </c>
      <c r="W25" s="2"/>
      <c r="X25" s="7">
        <f t="shared" si="6"/>
        <v>-401.9</v>
      </c>
      <c r="Y25" s="2"/>
      <c r="Z25" s="6">
        <f t="shared" si="7"/>
        <v>0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0"/>
        <v>0</v>
      </c>
      <c r="G26" s="2"/>
      <c r="H26" s="7">
        <v>280.8</v>
      </c>
      <c r="I26" s="2"/>
      <c r="J26" s="6">
        <f t="shared" si="1"/>
        <v>0</v>
      </c>
      <c r="K26" s="2"/>
      <c r="L26" s="7">
        <f t="shared" si="2"/>
        <v>-280.8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763.85</v>
      </c>
      <c r="U26" s="2"/>
      <c r="V26" s="6">
        <f t="shared" si="5"/>
        <v>0</v>
      </c>
      <c r="W26" s="2"/>
      <c r="X26" s="7">
        <f t="shared" si="6"/>
        <v>-763.85</v>
      </c>
      <c r="Y26" s="2"/>
      <c r="Z26" s="6">
        <f t="shared" si="7"/>
        <v>-1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0"/>
        <v>0</v>
      </c>
      <c r="G27" s="2"/>
      <c r="H27" s="7">
        <v>374.44</v>
      </c>
      <c r="I27" s="2"/>
      <c r="J27" s="6">
        <f t="shared" si="1"/>
        <v>0</v>
      </c>
      <c r="K27" s="2"/>
      <c r="L27" s="7">
        <f t="shared" si="2"/>
        <v>-374.44</v>
      </c>
      <c r="M27" s="2"/>
      <c r="N27" s="6">
        <f t="shared" si="3"/>
        <v>-1</v>
      </c>
      <c r="O27" s="11"/>
      <c r="P27" s="7"/>
      <c r="Q27" s="2"/>
      <c r="R27" s="6">
        <f t="shared" si="4"/>
        <v>0</v>
      </c>
      <c r="S27" s="2"/>
      <c r="T27" s="7">
        <v>1627.51</v>
      </c>
      <c r="U27" s="2"/>
      <c r="V27" s="6">
        <f t="shared" si="5"/>
        <v>0</v>
      </c>
      <c r="W27" s="2"/>
      <c r="X27" s="7">
        <f t="shared" si="6"/>
        <v>-1627.51</v>
      </c>
      <c r="Y27" s="2"/>
      <c r="Z27" s="6">
        <f t="shared" si="7"/>
        <v>-1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0"/>
        <v>0</v>
      </c>
      <c r="G28" s="2"/>
      <c r="H28" s="7">
        <v>291.3</v>
      </c>
      <c r="I28" s="2"/>
      <c r="J28" s="6">
        <f t="shared" si="1"/>
        <v>0</v>
      </c>
      <c r="K28" s="2"/>
      <c r="L28" s="7">
        <f t="shared" si="2"/>
        <v>-291.3</v>
      </c>
      <c r="M28" s="2"/>
      <c r="N28" s="6">
        <f t="shared" si="3"/>
        <v>-1</v>
      </c>
      <c r="O28" s="11"/>
      <c r="P28" s="7"/>
      <c r="Q28" s="2"/>
      <c r="R28" s="6">
        <f t="shared" si="4"/>
        <v>0</v>
      </c>
      <c r="S28" s="2"/>
      <c r="T28" s="7">
        <v>540.51</v>
      </c>
      <c r="U28" s="2"/>
      <c r="V28" s="6">
        <f t="shared" si="5"/>
        <v>0</v>
      </c>
      <c r="W28" s="2"/>
      <c r="X28" s="7">
        <f t="shared" si="6"/>
        <v>-540.51</v>
      </c>
      <c r="Y28" s="2"/>
      <c r="Z28" s="6">
        <f t="shared" si="7"/>
        <v>-1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5" si="8">IF(D$12=0,0,D29/D$12)</f>
        <v>0</v>
      </c>
      <c r="G29" s="1"/>
      <c r="H29" s="1">
        <f>SUM(OSRRefH22_1x_0)</f>
        <v>57226.95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-57226.95</v>
      </c>
      <c r="M29" s="1"/>
      <c r="N29" s="5">
        <f t="shared" ref="N29:N35" si="11">IF(H29=0,0,L29/H29)</f>
        <v>-1</v>
      </c>
      <c r="O29" s="14"/>
      <c r="P29" s="1">
        <f>SUM(OSRRefP22_1x_0)</f>
        <v>0.23</v>
      </c>
      <c r="Q29" s="1"/>
      <c r="R29" s="5">
        <f t="shared" ref="R29:R35" si="12">IF(P$12=0,0,P29/P$12)</f>
        <v>0</v>
      </c>
      <c r="S29" s="1"/>
      <c r="T29" s="1">
        <f>SUM(OSRRefT22_1x_0)</f>
        <v>95222.37999999999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-95222.15</v>
      </c>
      <c r="Y29" s="1"/>
      <c r="Z29" s="5">
        <f t="shared" ref="Z29:Z35" si="15">IF(T29=0,0,X29/T29)</f>
        <v>-0.99999758460143517</v>
      </c>
    </row>
    <row r="30" spans="1:26" s="24" customFormat="1" hidden="1" outlineLevel="2" x14ac:dyDescent="0.25">
      <c r="A30" s="29"/>
      <c r="B30" s="11" t="str">
        <f>CONCATENATE("          ", "6002", " - ", "STAFF SALARIES")</f>
        <v xml:space="preserve">          6002 - STAFF SALARIES</v>
      </c>
      <c r="C30" s="11"/>
      <c r="D30" s="7"/>
      <c r="E30" s="2"/>
      <c r="F30" s="6">
        <f t="shared" si="8"/>
        <v>0</v>
      </c>
      <c r="G30" s="2"/>
      <c r="H30" s="7">
        <v>8116.84</v>
      </c>
      <c r="I30" s="2"/>
      <c r="J30" s="6">
        <f t="shared" si="9"/>
        <v>0</v>
      </c>
      <c r="K30" s="2"/>
      <c r="L30" s="7">
        <f t="shared" si="10"/>
        <v>-8116.84</v>
      </c>
      <c r="M30" s="2"/>
      <c r="N30" s="6">
        <f t="shared" si="11"/>
        <v>-1</v>
      </c>
      <c r="O30" s="11"/>
      <c r="P30" s="7"/>
      <c r="Q30" s="2"/>
      <c r="R30" s="6">
        <f t="shared" si="12"/>
        <v>0</v>
      </c>
      <c r="S30" s="2"/>
      <c r="T30" s="7">
        <v>17496.68</v>
      </c>
      <c r="U30" s="2"/>
      <c r="V30" s="6">
        <f t="shared" si="13"/>
        <v>0</v>
      </c>
      <c r="W30" s="2"/>
      <c r="X30" s="7">
        <f t="shared" si="14"/>
        <v>-17496.68</v>
      </c>
      <c r="Y30" s="2"/>
      <c r="Z30" s="6">
        <f t="shared" si="15"/>
        <v>-1</v>
      </c>
    </row>
    <row r="31" spans="1:26" s="24" customFormat="1" hidden="1" outlineLevel="2" x14ac:dyDescent="0.25">
      <c r="A31" s="29"/>
      <c r="B31" s="11" t="str">
        <f>CONCATENATE("          ", "6004", " - ", "STAFF HOURLY")</f>
        <v xml:space="preserve">          6004 - STAFF HOURLY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>
        <v>0.23</v>
      </c>
      <c r="Q31" s="2"/>
      <c r="R31" s="6">
        <f t="shared" si="12"/>
        <v>0</v>
      </c>
      <c r="S31" s="2"/>
      <c r="T31" s="7"/>
      <c r="U31" s="2"/>
      <c r="V31" s="6">
        <f t="shared" si="13"/>
        <v>0</v>
      </c>
      <c r="W31" s="2"/>
      <c r="X31" s="7">
        <f t="shared" si="14"/>
        <v>0.23</v>
      </c>
      <c r="Y31" s="2"/>
      <c r="Z31" s="6">
        <f t="shared" si="15"/>
        <v>0</v>
      </c>
    </row>
    <row r="32" spans="1:26" s="24" customFormat="1" hidden="1" outlineLevel="2" x14ac:dyDescent="0.25">
      <c r="A32" s="29"/>
      <c r="B32" s="11" t="str">
        <f>CONCATENATE("          ", "6005", " - ", "TEMPORARY WAGES-HOURLY")</f>
        <v xml:space="preserve">          6005 - TEMPORARY WAGES-HOURLY</v>
      </c>
      <c r="C32" s="11"/>
      <c r="D32" s="7"/>
      <c r="E32" s="2"/>
      <c r="F32" s="6">
        <f t="shared" si="8"/>
        <v>0</v>
      </c>
      <c r="G32" s="2"/>
      <c r="H32" s="7">
        <v>2822.66</v>
      </c>
      <c r="I32" s="2"/>
      <c r="J32" s="6">
        <f t="shared" si="9"/>
        <v>0</v>
      </c>
      <c r="K32" s="2"/>
      <c r="L32" s="7">
        <f t="shared" si="10"/>
        <v>-2822.66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5226.9399999999996</v>
      </c>
      <c r="U32" s="2"/>
      <c r="V32" s="6">
        <f t="shared" si="13"/>
        <v>0</v>
      </c>
      <c r="W32" s="2"/>
      <c r="X32" s="7">
        <f t="shared" si="14"/>
        <v>-5226.9399999999996</v>
      </c>
      <c r="Y32" s="2"/>
      <c r="Z32" s="6">
        <f t="shared" si="15"/>
        <v>-1</v>
      </c>
    </row>
    <row r="33" spans="1:26" s="24" customFormat="1" hidden="1" outlineLevel="2" x14ac:dyDescent="0.25">
      <c r="A33" s="29"/>
      <c r="B33" s="11" t="str">
        <f>CONCATENATE("          ", "6006", " - ", "TEMPORARY PART TIME")</f>
        <v xml:space="preserve">          6006 - TEMPORARY PART TIME</v>
      </c>
      <c r="C33" s="11"/>
      <c r="D33" s="7"/>
      <c r="E33" s="2"/>
      <c r="F33" s="6">
        <f t="shared" si="8"/>
        <v>0</v>
      </c>
      <c r="G33" s="2"/>
      <c r="H33" s="7">
        <v>2679</v>
      </c>
      <c r="I33" s="2"/>
      <c r="J33" s="6">
        <f t="shared" si="9"/>
        <v>0</v>
      </c>
      <c r="K33" s="2"/>
      <c r="L33" s="7">
        <f t="shared" si="10"/>
        <v>-2679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4464</v>
      </c>
      <c r="U33" s="2"/>
      <c r="V33" s="6">
        <f t="shared" si="13"/>
        <v>0</v>
      </c>
      <c r="W33" s="2"/>
      <c r="X33" s="7">
        <f t="shared" si="14"/>
        <v>-4464</v>
      </c>
      <c r="Y33" s="2"/>
      <c r="Z33" s="6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7"/>
      <c r="E34" s="2"/>
      <c r="F34" s="6">
        <f t="shared" si="8"/>
        <v>0</v>
      </c>
      <c r="G34" s="2"/>
      <c r="H34" s="7">
        <v>42459.45</v>
      </c>
      <c r="I34" s="2"/>
      <c r="J34" s="6">
        <f t="shared" si="9"/>
        <v>0</v>
      </c>
      <c r="K34" s="2"/>
      <c r="L34" s="7">
        <f t="shared" si="10"/>
        <v>-42459.45</v>
      </c>
      <c r="M34" s="2"/>
      <c r="N34" s="6">
        <f t="shared" si="11"/>
        <v>-1</v>
      </c>
      <c r="O34" s="11"/>
      <c r="P34" s="7"/>
      <c r="Q34" s="2"/>
      <c r="R34" s="6">
        <f t="shared" si="12"/>
        <v>0</v>
      </c>
      <c r="S34" s="2"/>
      <c r="T34" s="7">
        <v>66570.759999999995</v>
      </c>
      <c r="U34" s="2"/>
      <c r="V34" s="6">
        <f t="shared" si="13"/>
        <v>0</v>
      </c>
      <c r="W34" s="2"/>
      <c r="X34" s="7">
        <f t="shared" si="14"/>
        <v>-66570.759999999995</v>
      </c>
      <c r="Y34" s="2"/>
      <c r="Z34" s="6">
        <f t="shared" si="15"/>
        <v>-1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8"/>
        <v>0</v>
      </c>
      <c r="G35" s="2"/>
      <c r="H35" s="7">
        <v>1149</v>
      </c>
      <c r="I35" s="2"/>
      <c r="J35" s="6">
        <f t="shared" si="9"/>
        <v>0</v>
      </c>
      <c r="K35" s="2"/>
      <c r="L35" s="7">
        <f t="shared" si="10"/>
        <v>-1149</v>
      </c>
      <c r="M35" s="2"/>
      <c r="N35" s="6">
        <f t="shared" si="11"/>
        <v>-1</v>
      </c>
      <c r="O35" s="11"/>
      <c r="P35" s="7"/>
      <c r="Q35" s="2"/>
      <c r="R35" s="6">
        <f t="shared" si="12"/>
        <v>0</v>
      </c>
      <c r="S35" s="2"/>
      <c r="T35" s="7">
        <v>1464</v>
      </c>
      <c r="U35" s="2"/>
      <c r="V35" s="6">
        <f t="shared" si="13"/>
        <v>0</v>
      </c>
      <c r="W35" s="2"/>
      <c r="X35" s="7">
        <f t="shared" si="14"/>
        <v>-1464</v>
      </c>
      <c r="Y35" s="2"/>
      <c r="Z35" s="6">
        <f t="shared" si="15"/>
        <v>-1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1" si="16">IF(D$12=0,0,D36/D$12)</f>
        <v>0</v>
      </c>
      <c r="G36" s="1"/>
      <c r="H36" s="1">
        <f>SUM(OSRRefH22_2x_0)</f>
        <v>0</v>
      </c>
      <c r="I36" s="1"/>
      <c r="J36" s="5">
        <f t="shared" ref="J36:J41" si="17">IF(H$12=0,0,H36/H$12)</f>
        <v>0</v>
      </c>
      <c r="K36" s="1"/>
      <c r="L36" s="1">
        <f t="shared" ref="L36:L41" si="18">+D36-H36</f>
        <v>0</v>
      </c>
      <c r="M36" s="1"/>
      <c r="N36" s="5">
        <f t="shared" ref="N36:N41" si="19">IF(H36=0,0,L36/H36)</f>
        <v>0</v>
      </c>
      <c r="O36" s="14"/>
      <c r="P36" s="1">
        <f>SUM(OSRRefP22_2x_0)</f>
        <v>0</v>
      </c>
      <c r="Q36" s="1"/>
      <c r="R36" s="5">
        <f t="shared" ref="R36:R41" si="20">IF(P$12=0,0,P36/P$12)</f>
        <v>0</v>
      </c>
      <c r="S36" s="1"/>
      <c r="T36" s="1">
        <f>SUM(OSRRefT22_2x_0)</f>
        <v>138</v>
      </c>
      <c r="U36" s="1"/>
      <c r="V36" s="5">
        <f t="shared" ref="V36:V41" si="21">IF(T$12=0,0,T36/T$12)</f>
        <v>0</v>
      </c>
      <c r="W36" s="1"/>
      <c r="X36" s="1">
        <f t="shared" ref="X36:X41" si="22">+P36-T36</f>
        <v>-138</v>
      </c>
      <c r="Y36" s="1"/>
      <c r="Z36" s="5">
        <f t="shared" ref="Z36:Z41" si="23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/>
      <c r="I37" s="2"/>
      <c r="J37" s="6">
        <f t="shared" si="17"/>
        <v>0</v>
      </c>
      <c r="K37" s="2"/>
      <c r="L37" s="7">
        <f t="shared" si="18"/>
        <v>0</v>
      </c>
      <c r="M37" s="2"/>
      <c r="N37" s="6">
        <f t="shared" si="19"/>
        <v>0</v>
      </c>
      <c r="O37" s="11"/>
      <c r="P37" s="7"/>
      <c r="Q37" s="2"/>
      <c r="R37" s="6">
        <f t="shared" si="20"/>
        <v>0</v>
      </c>
      <c r="S37" s="2"/>
      <c r="T37" s="7">
        <v>138</v>
      </c>
      <c r="U37" s="2"/>
      <c r="V37" s="6">
        <f t="shared" si="21"/>
        <v>0</v>
      </c>
      <c r="W37" s="2"/>
      <c r="X37" s="7">
        <f t="shared" si="22"/>
        <v>-138</v>
      </c>
      <c r="Y37" s="2"/>
      <c r="Z37" s="6">
        <f t="shared" si="23"/>
        <v>-1</v>
      </c>
    </row>
    <row r="38" spans="1:26" s="28" customFormat="1" outlineLevel="1" collapsed="1" x14ac:dyDescent="0.25">
      <c r="A38" s="27"/>
      <c r="B38" s="14" t="str">
        <f>CONCATENATE("     ","Supplies                                          ")</f>
        <v xml:space="preserve">     Supplies                                          </v>
      </c>
      <c r="C38" s="14"/>
      <c r="D38" s="1">
        <f>SUM(OSRRefD22_3x_0)</f>
        <v>0</v>
      </c>
      <c r="E38" s="1"/>
      <c r="F38" s="5">
        <f t="shared" si="16"/>
        <v>0</v>
      </c>
      <c r="G38" s="1"/>
      <c r="H38" s="1">
        <f>SUM(OSRRefH22_3x_0)</f>
        <v>60.06</v>
      </c>
      <c r="I38" s="1"/>
      <c r="J38" s="5">
        <f t="shared" si="17"/>
        <v>0</v>
      </c>
      <c r="K38" s="1"/>
      <c r="L38" s="1">
        <f t="shared" si="18"/>
        <v>-60.06</v>
      </c>
      <c r="M38" s="1"/>
      <c r="N38" s="5">
        <f t="shared" si="19"/>
        <v>-1</v>
      </c>
      <c r="O38" s="14"/>
      <c r="P38" s="1">
        <f>SUM(OSRRefP22_3x_0)</f>
        <v>0</v>
      </c>
      <c r="Q38" s="1"/>
      <c r="R38" s="5">
        <f t="shared" si="20"/>
        <v>0</v>
      </c>
      <c r="S38" s="1"/>
      <c r="T38" s="1">
        <f>SUM(OSRRefT22_3x_0)</f>
        <v>135.03</v>
      </c>
      <c r="U38" s="1"/>
      <c r="V38" s="5">
        <f t="shared" si="21"/>
        <v>0</v>
      </c>
      <c r="W38" s="1"/>
      <c r="X38" s="1">
        <f t="shared" si="22"/>
        <v>-135.03</v>
      </c>
      <c r="Y38" s="1"/>
      <c r="Z38" s="5">
        <f t="shared" si="23"/>
        <v>-1</v>
      </c>
    </row>
    <row r="39" spans="1:26" s="24" customFormat="1" hidden="1" outlineLevel="2" x14ac:dyDescent="0.25">
      <c r="A39" s="29"/>
      <c r="B39" s="11" t="str">
        <f>CONCATENATE("          ", "6241", " - ", "OFFICE EXPENSE")</f>
        <v xml:space="preserve">          6241 - OFFICE EXPENSE</v>
      </c>
      <c r="C39" s="11"/>
      <c r="D39" s="7"/>
      <c r="E39" s="2"/>
      <c r="F39" s="6">
        <f t="shared" si="16"/>
        <v>0</v>
      </c>
      <c r="G39" s="2"/>
      <c r="H39" s="7">
        <v>60.06</v>
      </c>
      <c r="I39" s="2"/>
      <c r="J39" s="6">
        <f t="shared" si="17"/>
        <v>0</v>
      </c>
      <c r="K39" s="2"/>
      <c r="L39" s="7">
        <f t="shared" si="18"/>
        <v>-60.06</v>
      </c>
      <c r="M39" s="2"/>
      <c r="N39" s="6">
        <f t="shared" si="19"/>
        <v>-1</v>
      </c>
      <c r="O39" s="11"/>
      <c r="P39" s="7"/>
      <c r="Q39" s="2"/>
      <c r="R39" s="6">
        <f t="shared" si="20"/>
        <v>0</v>
      </c>
      <c r="S39" s="2"/>
      <c r="T39" s="7">
        <v>135.03</v>
      </c>
      <c r="U39" s="2"/>
      <c r="V39" s="6">
        <f t="shared" si="21"/>
        <v>0</v>
      </c>
      <c r="W39" s="2"/>
      <c r="X39" s="7">
        <f t="shared" si="22"/>
        <v>-135.03</v>
      </c>
      <c r="Y39" s="2"/>
      <c r="Z39" s="6">
        <f t="shared" si="23"/>
        <v>-1</v>
      </c>
    </row>
    <row r="40" spans="1:26" s="28" customFormat="1" outlineLevel="1" collapsed="1" x14ac:dyDescent="0.25">
      <c r="A40" s="27"/>
      <c r="B40" s="14" t="str">
        <f>CONCATENATE("     ","Telephone/Data Lines                              ")</f>
        <v xml:space="preserve">     Telephone/Data Lines                              </v>
      </c>
      <c r="C40" s="14"/>
      <c r="D40" s="1">
        <f>SUM(OSRRefD22_4x_0)</f>
        <v>0</v>
      </c>
      <c r="E40" s="1"/>
      <c r="F40" s="5">
        <f t="shared" si="16"/>
        <v>0</v>
      </c>
      <c r="G40" s="1"/>
      <c r="H40" s="1">
        <f>SUM(OSRRefH22_4x_0)</f>
        <v>144.65</v>
      </c>
      <c r="I40" s="1"/>
      <c r="J40" s="5">
        <f t="shared" si="17"/>
        <v>0</v>
      </c>
      <c r="K40" s="1"/>
      <c r="L40" s="1">
        <f t="shared" si="18"/>
        <v>-144.65</v>
      </c>
      <c r="M40" s="1"/>
      <c r="N40" s="5">
        <f t="shared" si="19"/>
        <v>-1</v>
      </c>
      <c r="O40" s="14"/>
      <c r="P40" s="1">
        <f>SUM(OSRRefP22_4x_0)</f>
        <v>0</v>
      </c>
      <c r="Q40" s="1"/>
      <c r="R40" s="5">
        <f t="shared" si="20"/>
        <v>0</v>
      </c>
      <c r="S40" s="1"/>
      <c r="T40" s="1">
        <f>SUM(OSRRefT22_4x_0)</f>
        <v>227.85</v>
      </c>
      <c r="U40" s="1"/>
      <c r="V40" s="5">
        <f t="shared" si="21"/>
        <v>0</v>
      </c>
      <c r="W40" s="1"/>
      <c r="X40" s="1">
        <f t="shared" si="22"/>
        <v>-227.85</v>
      </c>
      <c r="Y40" s="1"/>
      <c r="Z40" s="5">
        <f t="shared" si="23"/>
        <v>-1</v>
      </c>
    </row>
    <row r="41" spans="1:26" s="24" customFormat="1" hidden="1" outlineLevel="2" x14ac:dyDescent="0.25">
      <c r="A41" s="29"/>
      <c r="B41" s="11" t="str">
        <f>CONCATENATE("          ", "6309", " - ", "TELEPHONE")</f>
        <v xml:space="preserve">          6309 - TELEPHONE</v>
      </c>
      <c r="C41" s="11"/>
      <c r="D41" s="7"/>
      <c r="E41" s="2"/>
      <c r="F41" s="6">
        <f t="shared" si="16"/>
        <v>0</v>
      </c>
      <c r="G41" s="2"/>
      <c r="H41" s="7">
        <v>144.65</v>
      </c>
      <c r="I41" s="2"/>
      <c r="J41" s="6">
        <f t="shared" si="17"/>
        <v>0</v>
      </c>
      <c r="K41" s="2"/>
      <c r="L41" s="7">
        <f t="shared" si="18"/>
        <v>-144.65</v>
      </c>
      <c r="M41" s="2"/>
      <c r="N41" s="6">
        <f t="shared" si="19"/>
        <v>-1</v>
      </c>
      <c r="O41" s="11"/>
      <c r="P41" s="7"/>
      <c r="Q41" s="2"/>
      <c r="R41" s="6">
        <f t="shared" si="20"/>
        <v>0</v>
      </c>
      <c r="S41" s="2"/>
      <c r="T41" s="7">
        <v>227.85</v>
      </c>
      <c r="U41" s="2"/>
      <c r="V41" s="6">
        <f t="shared" si="21"/>
        <v>0</v>
      </c>
      <c r="W41" s="2"/>
      <c r="X41" s="7">
        <f t="shared" si="22"/>
        <v>-227.85</v>
      </c>
      <c r="Y41" s="2"/>
      <c r="Z41" s="6">
        <f t="shared" si="23"/>
        <v>-1</v>
      </c>
    </row>
    <row r="42" spans="1:26" s="52" customFormat="1" x14ac:dyDescent="0.25">
      <c r="A42" s="37"/>
      <c r="B42" s="37"/>
      <c r="C42" s="37"/>
      <c r="D42" s="1"/>
      <c r="E42" s="1"/>
      <c r="F42" s="5"/>
      <c r="G42" s="1"/>
      <c r="H42" s="1"/>
      <c r="I42" s="1"/>
      <c r="J42" s="5"/>
      <c r="K42" s="1"/>
      <c r="L42" s="1"/>
      <c r="M42" s="1"/>
      <c r="N42" s="5"/>
      <c r="O42" s="37"/>
      <c r="P42" s="1"/>
      <c r="Q42" s="1"/>
      <c r="R42" s="5"/>
      <c r="S42" s="1"/>
      <c r="T42" s="1"/>
      <c r="U42" s="1"/>
      <c r="V42" s="5"/>
      <c r="W42" s="1"/>
      <c r="X42" s="1"/>
      <c r="Y42" s="1"/>
      <c r="Z42" s="5"/>
    </row>
    <row r="43" spans="1:26" s="23" customFormat="1" x14ac:dyDescent="0.25">
      <c r="A43" s="10"/>
      <c r="B43" s="25" t="s">
        <v>0</v>
      </c>
      <c r="C43" s="10"/>
      <c r="D43" s="4">
        <f>SUM(0)</f>
        <v>0</v>
      </c>
      <c r="E43" s="4"/>
      <c r="F43" s="12">
        <f>IF(D$12=0,0,D43/D$12)</f>
        <v>0</v>
      </c>
      <c r="G43" s="4"/>
      <c r="H43" s="4">
        <f>SUM(0)</f>
        <v>0</v>
      </c>
      <c r="I43" s="4"/>
      <c r="J43" s="12">
        <f>IF(H$12=0,0,H43/H$12)</f>
        <v>0</v>
      </c>
      <c r="K43" s="4"/>
      <c r="L43" s="4">
        <f>+D43-H43</f>
        <v>0</v>
      </c>
      <c r="M43" s="4"/>
      <c r="N43" s="12">
        <f>IF(H43=0,0,L43/H43)</f>
        <v>0</v>
      </c>
      <c r="O43" s="10"/>
      <c r="P43" s="4">
        <f>SUM(0)</f>
        <v>0</v>
      </c>
      <c r="Q43" s="4"/>
      <c r="R43" s="12">
        <f>IF(P$12=0,0,P43/P$12)</f>
        <v>0</v>
      </c>
      <c r="S43" s="4"/>
      <c r="T43" s="4">
        <f>SUM(0)</f>
        <v>0</v>
      </c>
      <c r="U43" s="4"/>
      <c r="V43" s="12">
        <f>IF(T$12=0,0,T43/T$12)</f>
        <v>0</v>
      </c>
      <c r="W43" s="4"/>
      <c r="X43" s="4">
        <f>+P43-T43</f>
        <v>0</v>
      </c>
      <c r="Y43" s="4"/>
      <c r="Z43" s="12">
        <f>IF(T43=0,0,X43/T43)</f>
        <v>0</v>
      </c>
    </row>
    <row r="44" spans="1:26" x14ac:dyDescent="0.25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10"/>
      <c r="B45" s="26" t="s">
        <v>3</v>
      </c>
      <c r="C45" s="26"/>
      <c r="D45" s="22">
        <f>+D16-D18+D43</f>
        <v>0</v>
      </c>
      <c r="E45" s="13"/>
      <c r="F45" s="21">
        <f>IF(D$12=0,0,D45/D$12)</f>
        <v>0</v>
      </c>
      <c r="G45" s="13"/>
      <c r="H45" s="22">
        <f>+H16-H18+H43</f>
        <v>-65464.189999999995</v>
      </c>
      <c r="I45" s="13"/>
      <c r="J45" s="21">
        <f>IF(H$12=0,0,H45/H$12)</f>
        <v>0</v>
      </c>
      <c r="K45" s="16"/>
      <c r="L45" s="22">
        <f>+D45-H45</f>
        <v>65464.189999999995</v>
      </c>
      <c r="M45" s="16"/>
      <c r="N45" s="21">
        <f>IF(H45=0,0,L45/H45)</f>
        <v>-1</v>
      </c>
      <c r="O45" s="25"/>
      <c r="P45" s="22">
        <f>+P16-P18+P43</f>
        <v>-0.23</v>
      </c>
      <c r="Q45" s="13"/>
      <c r="R45" s="21">
        <f>IF(P$12=0,0,P45/P$12)</f>
        <v>0</v>
      </c>
      <c r="S45" s="13"/>
      <c r="T45" s="22">
        <f>+T16-T18+T43</f>
        <v>-111418.08</v>
      </c>
      <c r="U45" s="13"/>
      <c r="V45" s="21">
        <f>IF(T$12=0,0,T45/T$12)</f>
        <v>0</v>
      </c>
      <c r="W45" s="16"/>
      <c r="X45" s="22">
        <f>+P45-T45</f>
        <v>111417.85</v>
      </c>
      <c r="Y45" s="16"/>
      <c r="Z45" s="21">
        <f>IF(T45=0,0,X45/T45)</f>
        <v>-0.99999793570307449</v>
      </c>
    </row>
    <row r="46" spans="1:26" x14ac:dyDescent="0.25">
      <c r="A46" s="9"/>
      <c r="B46" s="10"/>
      <c r="C46" s="9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25">
      <c r="A47" s="51"/>
      <c r="B47" s="10" t="s">
        <v>13</v>
      </c>
      <c r="C47" s="10"/>
      <c r="D47" s="4"/>
      <c r="E47" s="4"/>
      <c r="F47" s="12">
        <f>IF(D$12=0,0,D47/D$12)</f>
        <v>0</v>
      </c>
      <c r="G47" s="4"/>
      <c r="H47" s="4"/>
      <c r="I47" s="4"/>
      <c r="J47" s="12">
        <f>IF(H$12=0,0,H47/H$12)</f>
        <v>0</v>
      </c>
      <c r="K47" s="4"/>
      <c r="L47" s="4">
        <f>+D47-H47</f>
        <v>0</v>
      </c>
      <c r="M47" s="4"/>
      <c r="N47" s="12">
        <f>IF(H47=0,0,L47/H47)</f>
        <v>0</v>
      </c>
      <c r="O47" s="10"/>
      <c r="P47" s="4"/>
      <c r="Q47" s="4"/>
      <c r="R47" s="12">
        <f>IF(P$12=0,0,P47/P$12)</f>
        <v>0</v>
      </c>
      <c r="S47" s="4"/>
      <c r="T47" s="4"/>
      <c r="U47" s="4"/>
      <c r="V47" s="12">
        <f>IF(T$12=0,0,T47/T$12)</f>
        <v>0</v>
      </c>
      <c r="W47" s="4"/>
      <c r="X47" s="4">
        <f>+P47-T47</f>
        <v>0</v>
      </c>
      <c r="Y47" s="4"/>
      <c r="Z47" s="12">
        <f>IF(T47=0,0,X47/T47)</f>
        <v>0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ht="15.75" thickBot="1" x14ac:dyDescent="0.3">
      <c r="A49" s="10"/>
      <c r="B49" s="26" t="s">
        <v>4</v>
      </c>
      <c r="C49" s="26"/>
      <c r="D49" s="36">
        <f>+D45-D47</f>
        <v>0</v>
      </c>
      <c r="E49" s="13"/>
      <c r="F49" s="34">
        <f>IF(D$12=0,0,D49/D$12)</f>
        <v>0</v>
      </c>
      <c r="G49" s="13"/>
      <c r="H49" s="36">
        <f>+H45-H47</f>
        <v>-65464.189999999995</v>
      </c>
      <c r="I49" s="13"/>
      <c r="J49" s="34">
        <f>IF(H$12=0,0,H49/H$12)</f>
        <v>0</v>
      </c>
      <c r="K49" s="16"/>
      <c r="L49" s="36">
        <f>D49-H49</f>
        <v>65464.189999999995</v>
      </c>
      <c r="M49" s="16"/>
      <c r="N49" s="34">
        <f>IF(H49=0,0,L49/H49)</f>
        <v>-1</v>
      </c>
      <c r="O49" s="25"/>
      <c r="P49" s="36">
        <f>+P45-P47</f>
        <v>-0.23</v>
      </c>
      <c r="Q49" s="13"/>
      <c r="R49" s="34">
        <f>IF(P$12=0,0,P49/P$12)</f>
        <v>0</v>
      </c>
      <c r="S49" s="13"/>
      <c r="T49" s="36">
        <f>+T45-T47</f>
        <v>-111418.08</v>
      </c>
      <c r="U49" s="13"/>
      <c r="V49" s="34">
        <f>IF(T$12=0,0,T49/T$12)</f>
        <v>0</v>
      </c>
      <c r="W49" s="16"/>
      <c r="X49" s="36">
        <f>P49-T49</f>
        <v>111417.85</v>
      </c>
      <c r="Y49" s="16"/>
      <c r="Z49" s="34">
        <f>IF(T49=0,0,X49/T49)</f>
        <v>-0.99999793570307449</v>
      </c>
    </row>
    <row r="50" spans="1:26" ht="15.75" thickTop="1" x14ac:dyDescent="0.25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x14ac:dyDescent="0.25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.75" thickBot="1" x14ac:dyDescent="0.3">
      <c r="A52" s="10"/>
      <c r="B52" s="26" t="s">
        <v>5</v>
      </c>
      <c r="C52" s="26"/>
      <c r="D52" s="30">
        <f>SUM(D49:D51)</f>
        <v>0</v>
      </c>
      <c r="E52" s="13"/>
      <c r="F52" s="31">
        <f>IF(D$12=0,0,D52/D$12)</f>
        <v>0</v>
      </c>
      <c r="G52" s="13"/>
      <c r="H52" s="30">
        <f>SUM(H49:H51)</f>
        <v>-65464.189999999995</v>
      </c>
      <c r="I52" s="13"/>
      <c r="J52" s="31">
        <f>IF(H$12=0,0,H52/H$12)</f>
        <v>0</v>
      </c>
      <c r="K52" s="16"/>
      <c r="L52" s="30">
        <f>+D52-H52</f>
        <v>65464.189999999995</v>
      </c>
      <c r="M52" s="16"/>
      <c r="N52" s="31">
        <f>IF(H52=0,0,L52/H52)</f>
        <v>-1</v>
      </c>
      <c r="O52" s="25"/>
      <c r="P52" s="30">
        <f>SUM(P49:P51)</f>
        <v>-0.23</v>
      </c>
      <c r="Q52" s="13"/>
      <c r="R52" s="31">
        <f>IF(P$12=0,0,P52/P$12)</f>
        <v>0</v>
      </c>
      <c r="S52" s="13"/>
      <c r="T52" s="30">
        <f>SUM(T49:T51)</f>
        <v>-111418.08</v>
      </c>
      <c r="U52" s="13"/>
      <c r="V52" s="31">
        <f>IF(T$12=0,0,T52/T$12)</f>
        <v>0</v>
      </c>
      <c r="W52" s="16"/>
      <c r="X52" s="30">
        <f>+P52-T52</f>
        <v>111417.85</v>
      </c>
      <c r="Y52" s="16"/>
      <c r="Z52" s="31">
        <f>IF(T52=0,0,X52/T52)</f>
        <v>-0.99999793570307449</v>
      </c>
    </row>
    <row r="53" spans="1:26" ht="15.75" thickTop="1" x14ac:dyDescent="0.25">
      <c r="A53" s="9"/>
      <c r="C53" s="9"/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61">
        <v>44113.696160844906</v>
      </c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6" t="s">
        <v>313</v>
      </c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A56" s="9"/>
      <c r="B56" s="58"/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  <row r="57" spans="1:26" x14ac:dyDescent="0.25">
      <c r="D57" s="18"/>
      <c r="E57" s="18"/>
      <c r="G57" s="18"/>
      <c r="H57" s="18"/>
      <c r="I57" s="18"/>
      <c r="J57" s="43"/>
      <c r="K57" s="18"/>
      <c r="L57" s="18"/>
      <c r="M57" s="18"/>
      <c r="P57" s="18"/>
      <c r="Q57" s="18"/>
      <c r="R57" s="43"/>
      <c r="S57" s="18"/>
      <c r="T57" s="18"/>
      <c r="U57" s="18"/>
      <c r="V57" s="43"/>
      <c r="W57" s="18"/>
      <c r="X57" s="18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304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12397.94</v>
      </c>
      <c r="E12" s="4"/>
      <c r="F12" s="12"/>
      <c r="G12" s="4"/>
      <c r="H12" s="4">
        <f>SUM(OSRRefH13x_0)</f>
        <v>133332.23000000007</v>
      </c>
      <c r="I12" s="4"/>
      <c r="J12" s="12"/>
      <c r="K12" s="4"/>
      <c r="L12" s="4">
        <f t="shared" ref="L12:L43" si="0">+D12-H12</f>
        <v>-120934.29000000007</v>
      </c>
      <c r="M12" s="4"/>
      <c r="N12" s="12">
        <f t="shared" ref="N12:N43" si="1">IF(H12=0,0,L12/H12)</f>
        <v>-0.9070146805464816</v>
      </c>
      <c r="O12" s="10"/>
      <c r="P12" s="4">
        <f>SUM(OSRRefP13x_0)</f>
        <v>12397.94</v>
      </c>
      <c r="Q12" s="4"/>
      <c r="R12" s="12"/>
      <c r="S12" s="4"/>
      <c r="T12" s="4">
        <f>SUM(OSRRefT13x_0)</f>
        <v>152101.01000000007</v>
      </c>
      <c r="U12" s="4"/>
      <c r="V12" s="12"/>
      <c r="W12" s="4"/>
      <c r="X12" s="4">
        <f t="shared" ref="X12:X43" si="2">+P12-T12</f>
        <v>-139703.07000000007</v>
      </c>
      <c r="Y12" s="4"/>
      <c r="Z12" s="12">
        <f t="shared" ref="Z12:Z43" si="3">IF(T12=0,0,X12/T12)</f>
        <v>-0.91848877269125306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-1069.53</f>
        <v>-1069.53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-1069.53</v>
      </c>
      <c r="M13" s="2"/>
      <c r="N13" s="19">
        <f t="shared" si="1"/>
        <v>0</v>
      </c>
      <c r="O13" s="11"/>
      <c r="P13" s="2">
        <f>-1069.53</f>
        <v>-1069.53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-1069.53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"4017", " - ", "TAXABLE SALES-DORM/HOUSEWARES")</f>
        <v xml:space="preserve">          4017 - TAXABLE SALES-DORM/HOUSEWARES</v>
      </c>
      <c r="C14" s="11"/>
      <c r="D14" s="2">
        <f t="shared" ref="D14:D17" si="4">0</f>
        <v>0</v>
      </c>
      <c r="E14" s="2"/>
      <c r="F14" s="19"/>
      <c r="G14" s="2"/>
      <c r="H14" s="2">
        <f>--152.83</f>
        <v>152.83000000000001</v>
      </c>
      <c r="I14" s="2"/>
      <c r="J14" s="19"/>
      <c r="K14" s="2"/>
      <c r="L14" s="2">
        <f t="shared" si="0"/>
        <v>-152.83000000000001</v>
      </c>
      <c r="M14" s="2"/>
      <c r="N14" s="19">
        <f t="shared" si="1"/>
        <v>-1</v>
      </c>
      <c r="O14" s="11"/>
      <c r="P14" s="2">
        <f t="shared" ref="P14:P17" si="5">0</f>
        <v>0</v>
      </c>
      <c r="Q14" s="2"/>
      <c r="R14" s="19"/>
      <c r="S14" s="2"/>
      <c r="T14" s="2">
        <f>--157.3</f>
        <v>157.30000000000001</v>
      </c>
      <c r="U14" s="2"/>
      <c r="V14" s="19"/>
      <c r="W14" s="2"/>
      <c r="X14" s="2">
        <f t="shared" si="2"/>
        <v>-157.30000000000001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"4019", " - ", "TAXABLE SALES-BOOK RELATED")</f>
        <v xml:space="preserve">          4019 - TAXABLE SALES-BOOK RELATED</v>
      </c>
      <c r="C15" s="11"/>
      <c r="D15" s="2">
        <f t="shared" si="4"/>
        <v>0</v>
      </c>
      <c r="E15" s="2"/>
      <c r="F15" s="19"/>
      <c r="G15" s="2"/>
      <c r="H15" s="2">
        <f>--14.95</f>
        <v>14.95</v>
      </c>
      <c r="I15" s="2"/>
      <c r="J15" s="19"/>
      <c r="K15" s="2"/>
      <c r="L15" s="2">
        <f t="shared" si="0"/>
        <v>-14.95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--14.95</f>
        <v>14.95</v>
      </c>
      <c r="U15" s="2"/>
      <c r="V15" s="19"/>
      <c r="W15" s="2"/>
      <c r="X15" s="2">
        <f t="shared" si="2"/>
        <v>-14.95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"4025", " - ", "TAXABLE SALES-TEST FORMS")</f>
        <v xml:space="preserve">          4025 - TAXABLE SALES-TEST FORMS</v>
      </c>
      <c r="C16" s="11"/>
      <c r="D16" s="2">
        <f t="shared" si="4"/>
        <v>0</v>
      </c>
      <c r="E16" s="2"/>
      <c r="F16" s="19"/>
      <c r="G16" s="2"/>
      <c r="H16" s="2">
        <f>--4066.24</f>
        <v>4066.24</v>
      </c>
      <c r="I16" s="2"/>
      <c r="J16" s="19"/>
      <c r="K16" s="2"/>
      <c r="L16" s="2">
        <f t="shared" si="0"/>
        <v>-4066.24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--4458.53</f>
        <v>4458.53</v>
      </c>
      <c r="U16" s="2"/>
      <c r="V16" s="19"/>
      <c r="W16" s="2"/>
      <c r="X16" s="2">
        <f t="shared" si="2"/>
        <v>-4458.53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"4026", " - ", "TAXABLE SALES-WRITING INSTRUME")</f>
        <v xml:space="preserve">          4026 - TAXABLE SALES-WRITING INSTRUME</v>
      </c>
      <c r="C17" s="11"/>
      <c r="D17" s="2">
        <f t="shared" si="4"/>
        <v>0</v>
      </c>
      <c r="E17" s="2"/>
      <c r="F17" s="19"/>
      <c r="G17" s="2"/>
      <c r="H17" s="2">
        <f>--10815.03</f>
        <v>10815.03</v>
      </c>
      <c r="I17" s="2"/>
      <c r="J17" s="19"/>
      <c r="K17" s="2"/>
      <c r="L17" s="2">
        <f t="shared" si="0"/>
        <v>-10815.03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--12711.98</f>
        <v>12711.98</v>
      </c>
      <c r="U17" s="2"/>
      <c r="V17" s="19"/>
      <c r="W17" s="2"/>
      <c r="X17" s="2">
        <f t="shared" si="2"/>
        <v>-12711.98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"4027", " - ", "TAXABLE SALES-SCHOOL SUPPLIES")</f>
        <v xml:space="preserve">          4027 - TAXABLE SALES-SCHOOL SUPPLIES</v>
      </c>
      <c r="C18" s="11"/>
      <c r="D18" s="2">
        <f>--3388.87</f>
        <v>3388.87</v>
      </c>
      <c r="E18" s="2"/>
      <c r="F18" s="19"/>
      <c r="G18" s="2"/>
      <c r="H18" s="2">
        <f>--65908.82</f>
        <v>65908.820000000007</v>
      </c>
      <c r="I18" s="2"/>
      <c r="J18" s="19"/>
      <c r="K18" s="2"/>
      <c r="L18" s="2">
        <f t="shared" si="0"/>
        <v>-62519.950000000004</v>
      </c>
      <c r="M18" s="2"/>
      <c r="N18" s="19">
        <f t="shared" si="1"/>
        <v>-0.94858245072510783</v>
      </c>
      <c r="O18" s="11"/>
      <c r="P18" s="2">
        <f>--3388.87</f>
        <v>3388.87</v>
      </c>
      <c r="Q18" s="2"/>
      <c r="R18" s="19"/>
      <c r="S18" s="2"/>
      <c r="T18" s="2">
        <f>--79058.82</f>
        <v>79058.820000000007</v>
      </c>
      <c r="U18" s="2"/>
      <c r="V18" s="19"/>
      <c r="W18" s="2"/>
      <c r="X18" s="2">
        <f t="shared" si="2"/>
        <v>-75669.950000000012</v>
      </c>
      <c r="Y18" s="2"/>
      <c r="Z18" s="19">
        <f t="shared" si="3"/>
        <v>-0.95713482695542385</v>
      </c>
    </row>
    <row r="19" spans="1:26" s="24" customFormat="1" hidden="1" outlineLevel="1" x14ac:dyDescent="0.25">
      <c r="A19" s="44"/>
      <c r="B19" s="11" t="str">
        <f>CONCATENATE("          ", "4028", " - ", "TAXABLE SALES-ART/TECH")</f>
        <v xml:space="preserve">          4028 - TAXABLE SALES-ART/TECH</v>
      </c>
      <c r="C19" s="11"/>
      <c r="D19" s="2">
        <f>--9671.25</f>
        <v>9671.25</v>
      </c>
      <c r="E19" s="2"/>
      <c r="F19" s="19"/>
      <c r="G19" s="2"/>
      <c r="H19" s="2">
        <f>--46631.39</f>
        <v>46631.39</v>
      </c>
      <c r="I19" s="2"/>
      <c r="J19" s="19"/>
      <c r="K19" s="2"/>
      <c r="L19" s="2">
        <f t="shared" si="0"/>
        <v>-36960.14</v>
      </c>
      <c r="M19" s="2"/>
      <c r="N19" s="19">
        <f t="shared" si="1"/>
        <v>-0.79260215061142292</v>
      </c>
      <c r="O19" s="11"/>
      <c r="P19" s="2">
        <f>--9671.25</f>
        <v>9671.25</v>
      </c>
      <c r="Q19" s="2"/>
      <c r="R19" s="19"/>
      <c r="S19" s="2"/>
      <c r="T19" s="2">
        <f>--48915.55</f>
        <v>48915.55</v>
      </c>
      <c r="U19" s="2"/>
      <c r="V19" s="19"/>
      <c r="W19" s="2"/>
      <c r="X19" s="2">
        <f t="shared" si="2"/>
        <v>-39244.300000000003</v>
      </c>
      <c r="Y19" s="2"/>
      <c r="Z19" s="19">
        <f t="shared" si="3"/>
        <v>-0.80228679836984351</v>
      </c>
    </row>
    <row r="20" spans="1:26" s="24" customFormat="1" hidden="1" outlineLevel="1" x14ac:dyDescent="0.25">
      <c r="A20" s="44"/>
      <c r="B20" s="11" t="str">
        <f>CONCATENATE("          ", "4031", " - ", "TAXABLE SALES-FOOD")</f>
        <v xml:space="preserve">          4031 - TAXABLE SALES-FOOD</v>
      </c>
      <c r="C20" s="11"/>
      <c r="D20" s="2">
        <f>--125.04</f>
        <v>125.04</v>
      </c>
      <c r="E20" s="2"/>
      <c r="F20" s="19"/>
      <c r="G20" s="2"/>
      <c r="H20" s="2">
        <f>--30.82</f>
        <v>30.82</v>
      </c>
      <c r="I20" s="2"/>
      <c r="J20" s="19"/>
      <c r="K20" s="2"/>
      <c r="L20" s="2">
        <f t="shared" si="0"/>
        <v>94.22</v>
      </c>
      <c r="M20" s="2"/>
      <c r="N20" s="19">
        <f t="shared" si="1"/>
        <v>3.0571057754704736</v>
      </c>
      <c r="O20" s="11"/>
      <c r="P20" s="2">
        <f>--125.04</f>
        <v>125.04</v>
      </c>
      <c r="Q20" s="2"/>
      <c r="R20" s="19"/>
      <c r="S20" s="2"/>
      <c r="T20" s="2">
        <f>--32.34</f>
        <v>32.340000000000003</v>
      </c>
      <c r="U20" s="2"/>
      <c r="V20" s="19"/>
      <c r="W20" s="2"/>
      <c r="X20" s="2">
        <f t="shared" si="2"/>
        <v>92.7</v>
      </c>
      <c r="Y20" s="2"/>
      <c r="Z20" s="19">
        <f t="shared" si="3"/>
        <v>2.8664192949907235</v>
      </c>
    </row>
    <row r="21" spans="1:26" s="24" customFormat="1" hidden="1" outlineLevel="1" x14ac:dyDescent="0.25">
      <c r="A21" s="44"/>
      <c r="B21" s="11" t="str">
        <f>CONCATENATE("          ", "4032", " - ", "TAXABLE SALES-JUICE")</f>
        <v xml:space="preserve">          4032 - TAXABLE SALES-JUICE</v>
      </c>
      <c r="C21" s="11"/>
      <c r="D21" s="2">
        <f t="shared" ref="D21:D33" si="6">0</f>
        <v>0</v>
      </c>
      <c r="E21" s="2"/>
      <c r="F21" s="19"/>
      <c r="G21" s="2"/>
      <c r="H21" s="2">
        <f>--2.34</f>
        <v>2.34</v>
      </c>
      <c r="I21" s="2"/>
      <c r="J21" s="19"/>
      <c r="K21" s="2"/>
      <c r="L21" s="2">
        <f t="shared" si="0"/>
        <v>-2.34</v>
      </c>
      <c r="M21" s="2"/>
      <c r="N21" s="19">
        <f t="shared" si="1"/>
        <v>-1</v>
      </c>
      <c r="O21" s="11"/>
      <c r="P21" s="2">
        <f t="shared" ref="P21:P33" si="7">0</f>
        <v>0</v>
      </c>
      <c r="Q21" s="2"/>
      <c r="R21" s="19"/>
      <c r="S21" s="2"/>
      <c r="T21" s="2">
        <f>--3.81</f>
        <v>3.81</v>
      </c>
      <c r="U21" s="2"/>
      <c r="V21" s="19"/>
      <c r="W21" s="2"/>
      <c r="X21" s="2">
        <f t="shared" si="2"/>
        <v>-3.81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"4033", " - ", "TAXABLE SALES-CANDY")</f>
        <v xml:space="preserve">          4033 - TAXABLE SALES-CANDY</v>
      </c>
      <c r="C22" s="11"/>
      <c r="D22" s="2">
        <f t="shared" si="6"/>
        <v>0</v>
      </c>
      <c r="E22" s="2"/>
      <c r="F22" s="19"/>
      <c r="G22" s="2"/>
      <c r="H22" s="2">
        <f>--9.83</f>
        <v>9.83</v>
      </c>
      <c r="I22" s="2"/>
      <c r="J22" s="19"/>
      <c r="K22" s="2"/>
      <c r="L22" s="2">
        <f t="shared" si="0"/>
        <v>-9.83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--13</f>
        <v>13</v>
      </c>
      <c r="U22" s="2"/>
      <c r="V22" s="19"/>
      <c r="W22" s="2"/>
      <c r="X22" s="2">
        <f t="shared" si="2"/>
        <v>-13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"4034", " - ", "TAXABLE SALES-SODA")</f>
        <v xml:space="preserve">          4034 - TAXABLE SALES-SODA</v>
      </c>
      <c r="C23" s="11"/>
      <c r="D23" s="2">
        <f t="shared" si="6"/>
        <v>0</v>
      </c>
      <c r="E23" s="2"/>
      <c r="F23" s="19"/>
      <c r="G23" s="2"/>
      <c r="H23" s="2">
        <f>--280.8</f>
        <v>280.8</v>
      </c>
      <c r="I23" s="2"/>
      <c r="J23" s="19"/>
      <c r="K23" s="2"/>
      <c r="L23" s="2">
        <f t="shared" si="0"/>
        <v>-280.8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--315.54</f>
        <v>315.54000000000002</v>
      </c>
      <c r="U23" s="2"/>
      <c r="V23" s="19"/>
      <c r="W23" s="2"/>
      <c r="X23" s="2">
        <f t="shared" si="2"/>
        <v>-315.54000000000002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"4035", " - ", "TAXABLE SALES-HEALTH &amp; BEAUTY")</f>
        <v xml:space="preserve">          4035 - TAXABLE SALES-HEALTH &amp; BEAUTY</v>
      </c>
      <c r="C24" s="11"/>
      <c r="D24" s="2">
        <f t="shared" si="6"/>
        <v>0</v>
      </c>
      <c r="E24" s="2"/>
      <c r="F24" s="19"/>
      <c r="G24" s="2"/>
      <c r="H24" s="2">
        <f>--92.48</f>
        <v>92.48</v>
      </c>
      <c r="I24" s="2"/>
      <c r="J24" s="19"/>
      <c r="K24" s="2"/>
      <c r="L24" s="2">
        <f t="shared" si="0"/>
        <v>-92.48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--98.45</f>
        <v>98.45</v>
      </c>
      <c r="U24" s="2"/>
      <c r="V24" s="19"/>
      <c r="W24" s="2"/>
      <c r="X24" s="2">
        <f t="shared" si="2"/>
        <v>-98.45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"4037", " - ", "TAXABLE SALES-WATER")</f>
        <v xml:space="preserve">          4037 - TAXABLE SALES-WATER</v>
      </c>
      <c r="C25" s="11"/>
      <c r="D25" s="2">
        <f t="shared" si="6"/>
        <v>0</v>
      </c>
      <c r="E25" s="2"/>
      <c r="F25" s="19"/>
      <c r="G25" s="2"/>
      <c r="H25" s="2">
        <f>--36.88</f>
        <v>36.880000000000003</v>
      </c>
      <c r="I25" s="2"/>
      <c r="J25" s="19"/>
      <c r="K25" s="2"/>
      <c r="L25" s="2">
        <f t="shared" si="0"/>
        <v>-36.880000000000003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--42.17</f>
        <v>42.17</v>
      </c>
      <c r="U25" s="2"/>
      <c r="V25" s="19"/>
      <c r="W25" s="2"/>
      <c r="X25" s="2">
        <f t="shared" si="2"/>
        <v>-42.17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"4081", " - ", "TAXABLE SALES-ELECTRONICS")</f>
        <v xml:space="preserve">          4081 - TAXABLE SALES-ELECTRONICS</v>
      </c>
      <c r="C26" s="11"/>
      <c r="D26" s="2">
        <f t="shared" si="6"/>
        <v>0</v>
      </c>
      <c r="E26" s="2"/>
      <c r="F26" s="19"/>
      <c r="G26" s="2"/>
      <c r="H26" s="2">
        <f>--260.88</f>
        <v>260.88</v>
      </c>
      <c r="I26" s="2"/>
      <c r="J26" s="19"/>
      <c r="K26" s="2"/>
      <c r="L26" s="2">
        <f t="shared" si="0"/>
        <v>-260.88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--268.86</f>
        <v>268.86</v>
      </c>
      <c r="U26" s="2"/>
      <c r="V26" s="19"/>
      <c r="W26" s="2"/>
      <c r="X26" s="2">
        <f t="shared" si="2"/>
        <v>-268.86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"4082", " - ", "TAXABLE SALES-COMPUTER HARDWAR")</f>
        <v xml:space="preserve">          4082 - TAXABLE SALES-COMPUTER HARDWAR</v>
      </c>
      <c r="C27" s="11"/>
      <c r="D27" s="2">
        <f t="shared" si="6"/>
        <v>0</v>
      </c>
      <c r="E27" s="2"/>
      <c r="F27" s="19"/>
      <c r="G27" s="2"/>
      <c r="H27" s="2">
        <f>--19</f>
        <v>19</v>
      </c>
      <c r="I27" s="2"/>
      <c r="J27" s="19"/>
      <c r="K27" s="2"/>
      <c r="L27" s="2">
        <f t="shared" si="0"/>
        <v>-19</v>
      </c>
      <c r="M27" s="2"/>
      <c r="N27" s="19">
        <f t="shared" si="1"/>
        <v>-1</v>
      </c>
      <c r="O27" s="11"/>
      <c r="P27" s="2">
        <f t="shared" si="7"/>
        <v>0</v>
      </c>
      <c r="Q27" s="2"/>
      <c r="R27" s="19"/>
      <c r="S27" s="2"/>
      <c r="T27" s="2">
        <f>--38</f>
        <v>38</v>
      </c>
      <c r="U27" s="2"/>
      <c r="V27" s="19"/>
      <c r="W27" s="2"/>
      <c r="X27" s="2">
        <f t="shared" si="2"/>
        <v>-38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"4083", " - ", "TAXABLE SALES-COMPUTER EQUIPME")</f>
        <v xml:space="preserve">          4083 - TAXABLE SALES-COMPUTER EQUIPME</v>
      </c>
      <c r="C28" s="11"/>
      <c r="D28" s="2">
        <f t="shared" si="6"/>
        <v>0</v>
      </c>
      <c r="E28" s="2"/>
      <c r="F28" s="19"/>
      <c r="G28" s="2"/>
      <c r="H28" s="2">
        <f>--29.98</f>
        <v>29.98</v>
      </c>
      <c r="I28" s="2"/>
      <c r="J28" s="19"/>
      <c r="K28" s="2"/>
      <c r="L28" s="2">
        <f t="shared" si="0"/>
        <v>-29.98</v>
      </c>
      <c r="M28" s="2"/>
      <c r="N28" s="19">
        <f t="shared" si="1"/>
        <v>-1</v>
      </c>
      <c r="O28" s="11"/>
      <c r="P28" s="2">
        <f t="shared" si="7"/>
        <v>0</v>
      </c>
      <c r="Q28" s="2"/>
      <c r="R28" s="19"/>
      <c r="S28" s="2"/>
      <c r="T28" s="2">
        <f>--29.98</f>
        <v>29.98</v>
      </c>
      <c r="U28" s="2"/>
      <c r="V28" s="19"/>
      <c r="W28" s="2"/>
      <c r="X28" s="2">
        <f t="shared" si="2"/>
        <v>-29.98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"4086", " - ", "TAXABLE SALES-COMPUTER SUPPLIE")</f>
        <v xml:space="preserve">          4086 - TAXABLE SALES-COMPUTER SUPPLIE</v>
      </c>
      <c r="C29" s="11"/>
      <c r="D29" s="2">
        <f t="shared" si="6"/>
        <v>0</v>
      </c>
      <c r="E29" s="2"/>
      <c r="F29" s="19"/>
      <c r="G29" s="2"/>
      <c r="H29" s="2">
        <f>--93.96</f>
        <v>93.96</v>
      </c>
      <c r="I29" s="2"/>
      <c r="J29" s="19"/>
      <c r="K29" s="2"/>
      <c r="L29" s="2">
        <f t="shared" si="0"/>
        <v>-93.96</v>
      </c>
      <c r="M29" s="2"/>
      <c r="N29" s="19">
        <f t="shared" si="1"/>
        <v>-1</v>
      </c>
      <c r="O29" s="11"/>
      <c r="P29" s="2">
        <f t="shared" si="7"/>
        <v>0</v>
      </c>
      <c r="Q29" s="2"/>
      <c r="R29" s="19"/>
      <c r="S29" s="2"/>
      <c r="T29" s="2">
        <f>--108.95</f>
        <v>108.95</v>
      </c>
      <c r="U29" s="2"/>
      <c r="V29" s="19"/>
      <c r="W29" s="2"/>
      <c r="X29" s="2">
        <f t="shared" si="2"/>
        <v>-108.95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"4125", " - ", "NON-TAXABLE SALES-TEST FORMS")</f>
        <v xml:space="preserve">          4125 - NON-TAXABLE SALES-TEST FORMS</v>
      </c>
      <c r="C30" s="11"/>
      <c r="D30" s="2">
        <f t="shared" si="6"/>
        <v>0</v>
      </c>
      <c r="E30" s="2"/>
      <c r="F30" s="19"/>
      <c r="G30" s="2"/>
      <c r="H30" s="2">
        <f>--77.17</f>
        <v>77.17</v>
      </c>
      <c r="I30" s="2"/>
      <c r="J30" s="19"/>
      <c r="K30" s="2"/>
      <c r="L30" s="2">
        <f t="shared" si="0"/>
        <v>-77.17</v>
      </c>
      <c r="M30" s="2"/>
      <c r="N30" s="19">
        <f t="shared" si="1"/>
        <v>-1</v>
      </c>
      <c r="O30" s="11"/>
      <c r="P30" s="2">
        <f t="shared" si="7"/>
        <v>0</v>
      </c>
      <c r="Q30" s="2"/>
      <c r="R30" s="19"/>
      <c r="S30" s="2"/>
      <c r="T30" s="2">
        <f>--82.15</f>
        <v>82.15</v>
      </c>
      <c r="U30" s="2"/>
      <c r="V30" s="19"/>
      <c r="W30" s="2"/>
      <c r="X30" s="2">
        <f t="shared" si="2"/>
        <v>-82.15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"4126", " - ", "NON-TAXABLE SALES-WRITING INST")</f>
        <v xml:space="preserve">          4126 - NON-TAXABLE SALES-WRITING INST</v>
      </c>
      <c r="C31" s="11"/>
      <c r="D31" s="2">
        <f t="shared" si="6"/>
        <v>0</v>
      </c>
      <c r="E31" s="2"/>
      <c r="F31" s="19"/>
      <c r="G31" s="2"/>
      <c r="H31" s="2">
        <f>--844.09</f>
        <v>844.09</v>
      </c>
      <c r="I31" s="2"/>
      <c r="J31" s="19"/>
      <c r="K31" s="2"/>
      <c r="L31" s="2">
        <f t="shared" si="0"/>
        <v>-844.09</v>
      </c>
      <c r="M31" s="2"/>
      <c r="N31" s="19">
        <f t="shared" si="1"/>
        <v>-1</v>
      </c>
      <c r="O31" s="11"/>
      <c r="P31" s="2">
        <f t="shared" si="7"/>
        <v>0</v>
      </c>
      <c r="Q31" s="2"/>
      <c r="R31" s="19"/>
      <c r="S31" s="2"/>
      <c r="T31" s="2">
        <f>--1011.12</f>
        <v>1011.12</v>
      </c>
      <c r="U31" s="2"/>
      <c r="V31" s="19"/>
      <c r="W31" s="2"/>
      <c r="X31" s="2">
        <f t="shared" si="2"/>
        <v>-1011.12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"4127", " - ", "NON-TAXABLE SALES-SCHOOL SUPPL")</f>
        <v xml:space="preserve">          4127 - NON-TAXABLE SALES-SCHOOL SUPPL</v>
      </c>
      <c r="C32" s="11"/>
      <c r="D32" s="2">
        <f t="shared" si="6"/>
        <v>0</v>
      </c>
      <c r="E32" s="2"/>
      <c r="F32" s="19"/>
      <c r="G32" s="2"/>
      <c r="H32" s="2">
        <f>--1692.39</f>
        <v>1692.39</v>
      </c>
      <c r="I32" s="2"/>
      <c r="J32" s="19"/>
      <c r="K32" s="2"/>
      <c r="L32" s="2">
        <f t="shared" si="0"/>
        <v>-1692.39</v>
      </c>
      <c r="M32" s="2"/>
      <c r="N32" s="19">
        <f t="shared" si="1"/>
        <v>-1</v>
      </c>
      <c r="O32" s="11"/>
      <c r="P32" s="2">
        <f t="shared" si="7"/>
        <v>0</v>
      </c>
      <c r="Q32" s="2"/>
      <c r="R32" s="19"/>
      <c r="S32" s="2"/>
      <c r="T32" s="2">
        <f>--1870.28</f>
        <v>1870.28</v>
      </c>
      <c r="U32" s="2"/>
      <c r="V32" s="19"/>
      <c r="W32" s="2"/>
      <c r="X32" s="2">
        <f t="shared" si="2"/>
        <v>-1870.28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"4128", " - ", "NON-TAXABLE SALES-ART/TECH")</f>
        <v xml:space="preserve">          4128 - NON-TAXABLE SALES-ART/TECH</v>
      </c>
      <c r="C33" s="11"/>
      <c r="D33" s="2">
        <f t="shared" si="6"/>
        <v>0</v>
      </c>
      <c r="E33" s="2"/>
      <c r="F33" s="19"/>
      <c r="G33" s="2"/>
      <c r="H33" s="2">
        <f>--128.61</f>
        <v>128.61000000000001</v>
      </c>
      <c r="I33" s="2"/>
      <c r="J33" s="19"/>
      <c r="K33" s="2"/>
      <c r="L33" s="2">
        <f t="shared" si="0"/>
        <v>-128.61000000000001</v>
      </c>
      <c r="M33" s="2"/>
      <c r="N33" s="19">
        <f t="shared" si="1"/>
        <v>-1</v>
      </c>
      <c r="O33" s="11"/>
      <c r="P33" s="2">
        <f t="shared" si="7"/>
        <v>0</v>
      </c>
      <c r="Q33" s="2"/>
      <c r="R33" s="19"/>
      <c r="S33" s="2"/>
      <c r="T33" s="2">
        <f>--130.1</f>
        <v>130.1</v>
      </c>
      <c r="U33" s="2"/>
      <c r="V33" s="19"/>
      <c r="W33" s="2"/>
      <c r="X33" s="2">
        <f t="shared" si="2"/>
        <v>-130.1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"4131", " - ", "NON-TAXABLE SALES-FOOD")</f>
        <v xml:space="preserve">          4131 - NON-TAXABLE SALES-FOOD</v>
      </c>
      <c r="C34" s="11"/>
      <c r="D34" s="2">
        <f>--587.14</f>
        <v>587.14</v>
      </c>
      <c r="E34" s="2"/>
      <c r="F34" s="19"/>
      <c r="G34" s="2"/>
      <c r="H34" s="2">
        <f>--2447.58</f>
        <v>2447.58</v>
      </c>
      <c r="I34" s="2"/>
      <c r="J34" s="19"/>
      <c r="K34" s="2"/>
      <c r="L34" s="2">
        <f t="shared" si="0"/>
        <v>-1860.44</v>
      </c>
      <c r="M34" s="2"/>
      <c r="N34" s="19">
        <f t="shared" si="1"/>
        <v>-0.76011407185873403</v>
      </c>
      <c r="O34" s="11"/>
      <c r="P34" s="2">
        <f>--587.14</f>
        <v>587.14</v>
      </c>
      <c r="Q34" s="2"/>
      <c r="R34" s="19"/>
      <c r="S34" s="2"/>
      <c r="T34" s="2">
        <f>--2717.2</f>
        <v>2717.2</v>
      </c>
      <c r="U34" s="2"/>
      <c r="V34" s="19"/>
      <c r="W34" s="2"/>
      <c r="X34" s="2">
        <f t="shared" si="2"/>
        <v>-2130.06</v>
      </c>
      <c r="Y34" s="2"/>
      <c r="Z34" s="19">
        <f t="shared" si="3"/>
        <v>-0.78391726777565141</v>
      </c>
    </row>
    <row r="35" spans="1:26" s="24" customFormat="1" hidden="1" outlineLevel="1" x14ac:dyDescent="0.25">
      <c r="A35" s="44"/>
      <c r="B35" s="11" t="str">
        <f>CONCATENATE("          ", "4132", " - ", "NON-TAXABLE SALES-JUICE")</f>
        <v xml:space="preserve">          4132 - NON-TAXABLE SALES-JUICE</v>
      </c>
      <c r="C35" s="11"/>
      <c r="D35" s="2">
        <f t="shared" ref="D35:D40" si="8">0</f>
        <v>0</v>
      </c>
      <c r="E35" s="2"/>
      <c r="F35" s="19"/>
      <c r="G35" s="2"/>
      <c r="H35" s="2">
        <f>--713.6</f>
        <v>713.6</v>
      </c>
      <c r="I35" s="2"/>
      <c r="J35" s="19"/>
      <c r="K35" s="2"/>
      <c r="L35" s="2">
        <f t="shared" si="0"/>
        <v>-713.6</v>
      </c>
      <c r="M35" s="2"/>
      <c r="N35" s="19">
        <f t="shared" si="1"/>
        <v>-1</v>
      </c>
      <c r="O35" s="11"/>
      <c r="P35" s="2">
        <f t="shared" ref="P35:P40" si="9">0</f>
        <v>0</v>
      </c>
      <c r="Q35" s="2"/>
      <c r="R35" s="19"/>
      <c r="S35" s="2"/>
      <c r="T35" s="2">
        <f>--758.91</f>
        <v>758.91</v>
      </c>
      <c r="U35" s="2"/>
      <c r="V35" s="19"/>
      <c r="W35" s="2"/>
      <c r="X35" s="2">
        <f t="shared" si="2"/>
        <v>-758.91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"4133", " - ", "NON-TAXABLE SALES-CANDY")</f>
        <v xml:space="preserve">          4133 - NON-TAXABLE SALES-CANDY</v>
      </c>
      <c r="C36" s="11"/>
      <c r="D36" s="2">
        <f t="shared" si="8"/>
        <v>0</v>
      </c>
      <c r="E36" s="2"/>
      <c r="F36" s="19"/>
      <c r="G36" s="2"/>
      <c r="H36" s="2">
        <f>--900.13</f>
        <v>900.13</v>
      </c>
      <c r="I36" s="2"/>
      <c r="J36" s="19"/>
      <c r="K36" s="2"/>
      <c r="L36" s="2">
        <f t="shared" si="0"/>
        <v>-900.13</v>
      </c>
      <c r="M36" s="2"/>
      <c r="N36" s="19">
        <f t="shared" si="1"/>
        <v>-1</v>
      </c>
      <c r="O36" s="11"/>
      <c r="P36" s="2">
        <f t="shared" si="9"/>
        <v>0</v>
      </c>
      <c r="Q36" s="2"/>
      <c r="R36" s="19"/>
      <c r="S36" s="2"/>
      <c r="T36" s="2">
        <f>--1372.35</f>
        <v>1372.35</v>
      </c>
      <c r="U36" s="2"/>
      <c r="V36" s="19"/>
      <c r="W36" s="2"/>
      <c r="X36" s="2">
        <f t="shared" si="2"/>
        <v>-1372.35</v>
      </c>
      <c r="Y36" s="2"/>
      <c r="Z36" s="19">
        <f t="shared" si="3"/>
        <v>-1</v>
      </c>
    </row>
    <row r="37" spans="1:26" s="24" customFormat="1" hidden="1" outlineLevel="1" x14ac:dyDescent="0.25">
      <c r="A37" s="44"/>
      <c r="B37" s="11" t="str">
        <f>CONCATENATE("          ", "4135", " - ", "NON-TAXABLE SALES")</f>
        <v xml:space="preserve">          4135 - NON-TAXABLE SALES</v>
      </c>
      <c r="C37" s="11"/>
      <c r="D37" s="2">
        <f t="shared" si="8"/>
        <v>0</v>
      </c>
      <c r="E37" s="2"/>
      <c r="F37" s="19"/>
      <c r="G37" s="2"/>
      <c r="H37" s="2">
        <f>--32.21</f>
        <v>32.21</v>
      </c>
      <c r="I37" s="2"/>
      <c r="J37" s="19"/>
      <c r="K37" s="2"/>
      <c r="L37" s="2">
        <f t="shared" si="0"/>
        <v>-32.21</v>
      </c>
      <c r="M37" s="2"/>
      <c r="N37" s="19">
        <f t="shared" si="1"/>
        <v>-1</v>
      </c>
      <c r="O37" s="11"/>
      <c r="P37" s="2">
        <f t="shared" si="9"/>
        <v>0</v>
      </c>
      <c r="Q37" s="2"/>
      <c r="R37" s="19"/>
      <c r="S37" s="2"/>
      <c r="T37" s="2">
        <f>--53.75</f>
        <v>53.75</v>
      </c>
      <c r="U37" s="2"/>
      <c r="V37" s="19"/>
      <c r="W37" s="2"/>
      <c r="X37" s="2">
        <f t="shared" si="2"/>
        <v>-53.75</v>
      </c>
      <c r="Y37" s="2"/>
      <c r="Z37" s="19">
        <f t="shared" si="3"/>
        <v>-1</v>
      </c>
    </row>
    <row r="38" spans="1:26" s="24" customFormat="1" hidden="1" outlineLevel="1" x14ac:dyDescent="0.25">
      <c r="A38" s="44"/>
      <c r="B38" s="11" t="str">
        <f>CONCATENATE("          ", "4137", " - ", "NON-TAXABLE SALES-WATER")</f>
        <v xml:space="preserve">          4137 - NON-TAXABLE SALES-WATER</v>
      </c>
      <c r="C38" s="11"/>
      <c r="D38" s="2">
        <f t="shared" si="8"/>
        <v>0</v>
      </c>
      <c r="E38" s="2"/>
      <c r="F38" s="19"/>
      <c r="G38" s="2"/>
      <c r="H38" s="2">
        <f>--522.2</f>
        <v>522.20000000000005</v>
      </c>
      <c r="I38" s="2"/>
      <c r="J38" s="19"/>
      <c r="K38" s="2"/>
      <c r="L38" s="2">
        <f t="shared" si="0"/>
        <v>-522.20000000000005</v>
      </c>
      <c r="M38" s="2"/>
      <c r="N38" s="19">
        <f t="shared" si="1"/>
        <v>-1</v>
      </c>
      <c r="O38" s="11"/>
      <c r="P38" s="2">
        <f t="shared" si="9"/>
        <v>0</v>
      </c>
      <c r="Q38" s="2"/>
      <c r="R38" s="19"/>
      <c r="S38" s="2"/>
      <c r="T38" s="2">
        <f>--552.72</f>
        <v>552.72</v>
      </c>
      <c r="U38" s="2"/>
      <c r="V38" s="19"/>
      <c r="W38" s="2"/>
      <c r="X38" s="2">
        <f t="shared" si="2"/>
        <v>-552.72</v>
      </c>
      <c r="Y38" s="2"/>
      <c r="Z38" s="19">
        <f t="shared" si="3"/>
        <v>-1</v>
      </c>
    </row>
    <row r="39" spans="1:26" s="24" customFormat="1" hidden="1" outlineLevel="1" x14ac:dyDescent="0.25">
      <c r="A39" s="44"/>
      <c r="B39" s="11" t="str">
        <f>CONCATENATE("          ", "4225", " - ", "SALES RETURN TAXABLE-TEST FORM")</f>
        <v xml:space="preserve">          4225 - SALES RETURN TAXABLE-TEST FORM</v>
      </c>
      <c r="C39" s="11"/>
      <c r="D39" s="2">
        <f t="shared" si="8"/>
        <v>0</v>
      </c>
      <c r="E39" s="2"/>
      <c r="F39" s="19"/>
      <c r="G39" s="2"/>
      <c r="H39" s="2">
        <f>-8.61</f>
        <v>-8.61</v>
      </c>
      <c r="I39" s="2"/>
      <c r="J39" s="19"/>
      <c r="K39" s="2"/>
      <c r="L39" s="2">
        <f t="shared" si="0"/>
        <v>8.61</v>
      </c>
      <c r="M39" s="2"/>
      <c r="N39" s="19">
        <f t="shared" si="1"/>
        <v>-1</v>
      </c>
      <c r="O39" s="11"/>
      <c r="P39" s="2">
        <f t="shared" si="9"/>
        <v>0</v>
      </c>
      <c r="Q39" s="2"/>
      <c r="R39" s="19"/>
      <c r="S39" s="2"/>
      <c r="T39" s="2">
        <f>-12.69</f>
        <v>-12.69</v>
      </c>
      <c r="U39" s="2"/>
      <c r="V39" s="19"/>
      <c r="W39" s="2"/>
      <c r="X39" s="2">
        <f t="shared" si="2"/>
        <v>12.69</v>
      </c>
      <c r="Y39" s="2"/>
      <c r="Z39" s="19">
        <f t="shared" si="3"/>
        <v>-1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 t="shared" si="8"/>
        <v>0</v>
      </c>
      <c r="E40" s="2"/>
      <c r="F40" s="19"/>
      <c r="G40" s="2"/>
      <c r="H40" s="2">
        <f>-60.28</f>
        <v>-60.28</v>
      </c>
      <c r="I40" s="2"/>
      <c r="J40" s="19"/>
      <c r="K40" s="2"/>
      <c r="L40" s="2">
        <f t="shared" si="0"/>
        <v>60.28</v>
      </c>
      <c r="M40" s="2"/>
      <c r="N40" s="19">
        <f t="shared" si="1"/>
        <v>-1</v>
      </c>
      <c r="O40" s="11"/>
      <c r="P40" s="2">
        <f t="shared" si="9"/>
        <v>0</v>
      </c>
      <c r="Q40" s="2"/>
      <c r="R40" s="19"/>
      <c r="S40" s="2"/>
      <c r="T40" s="2">
        <f>-124.21</f>
        <v>-124.21</v>
      </c>
      <c r="U40" s="2"/>
      <c r="V40" s="19"/>
      <c r="W40" s="2"/>
      <c r="X40" s="2">
        <f t="shared" si="2"/>
        <v>124.21</v>
      </c>
      <c r="Y40" s="2"/>
      <c r="Z40" s="19">
        <f t="shared" si="3"/>
        <v>-1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>-140.39</f>
        <v>-140.38999999999999</v>
      </c>
      <c r="E41" s="2"/>
      <c r="F41" s="19"/>
      <c r="G41" s="2"/>
      <c r="H41" s="2">
        <f>-1531.15</f>
        <v>-1531.15</v>
      </c>
      <c r="I41" s="2"/>
      <c r="J41" s="19"/>
      <c r="K41" s="2"/>
      <c r="L41" s="2">
        <f t="shared" si="0"/>
        <v>1390.7600000000002</v>
      </c>
      <c r="M41" s="2"/>
      <c r="N41" s="19">
        <f t="shared" si="1"/>
        <v>-0.90831074682428248</v>
      </c>
      <c r="O41" s="11"/>
      <c r="P41" s="2">
        <f>-140.39</f>
        <v>-140.38999999999999</v>
      </c>
      <c r="Q41" s="2"/>
      <c r="R41" s="19"/>
      <c r="S41" s="2"/>
      <c r="T41" s="2">
        <f>-1696.59</f>
        <v>-1696.59</v>
      </c>
      <c r="U41" s="2"/>
      <c r="V41" s="19"/>
      <c r="W41" s="2"/>
      <c r="X41" s="2">
        <f t="shared" si="2"/>
        <v>1556.1999999999998</v>
      </c>
      <c r="Y41" s="2"/>
      <c r="Z41" s="19">
        <f t="shared" si="3"/>
        <v>-0.91725166363116595</v>
      </c>
    </row>
    <row r="42" spans="1:26" s="24" customFormat="1" hidden="1" outlineLevel="1" x14ac:dyDescent="0.25">
      <c r="A42" s="44"/>
      <c r="B42" s="11" t="str">
        <f>CONCATENATE("          ", "4228", " - ", "SALES RETURN TAXABLE-ART/TECH")</f>
        <v xml:space="preserve">          4228 - SALES RETURN TAXABLE-ART/TECH</v>
      </c>
      <c r="C42" s="11"/>
      <c r="D42" s="2">
        <f>-164.44</f>
        <v>-164.44</v>
      </c>
      <c r="E42" s="2"/>
      <c r="F42" s="19"/>
      <c r="G42" s="2"/>
      <c r="H42" s="2">
        <f>-858.36</f>
        <v>-858.36</v>
      </c>
      <c r="I42" s="2"/>
      <c r="J42" s="19"/>
      <c r="K42" s="2"/>
      <c r="L42" s="2">
        <f t="shared" si="0"/>
        <v>693.92000000000007</v>
      </c>
      <c r="M42" s="2"/>
      <c r="N42" s="19">
        <f t="shared" si="1"/>
        <v>-0.80842536930891473</v>
      </c>
      <c r="O42" s="11"/>
      <c r="P42" s="2">
        <f>-164.44</f>
        <v>-164.44</v>
      </c>
      <c r="Q42" s="2"/>
      <c r="R42" s="19"/>
      <c r="S42" s="2"/>
      <c r="T42" s="2">
        <f>-868.73</f>
        <v>-868.73</v>
      </c>
      <c r="U42" s="2"/>
      <c r="V42" s="19"/>
      <c r="W42" s="2"/>
      <c r="X42" s="2">
        <f t="shared" si="2"/>
        <v>704.29</v>
      </c>
      <c r="Y42" s="2"/>
      <c r="Z42" s="19">
        <f t="shared" si="3"/>
        <v>-0.81071218905758979</v>
      </c>
    </row>
    <row r="43" spans="1:26" s="24" customFormat="1" hidden="1" outlineLevel="1" x14ac:dyDescent="0.25">
      <c r="A43" s="44"/>
      <c r="B43" s="11" t="str">
        <f>CONCATENATE("          ", "4327", " - ", "SALES RETURN NON TAXABLE-SCHOO")</f>
        <v xml:space="preserve">          4327 - SALES RETURN NON TAXABLE-SCHOO</v>
      </c>
      <c r="C43" s="11"/>
      <c r="D43" s="2">
        <f>0</f>
        <v>0</v>
      </c>
      <c r="E43" s="2"/>
      <c r="F43" s="19"/>
      <c r="G43" s="2"/>
      <c r="H43" s="2">
        <f>-13.58</f>
        <v>-13.58</v>
      </c>
      <c r="I43" s="2"/>
      <c r="J43" s="19"/>
      <c r="K43" s="2"/>
      <c r="L43" s="2">
        <f t="shared" si="0"/>
        <v>13.58</v>
      </c>
      <c r="M43" s="2"/>
      <c r="N43" s="19">
        <f t="shared" si="1"/>
        <v>-1</v>
      </c>
      <c r="O43" s="11"/>
      <c r="P43" s="2">
        <f>0</f>
        <v>0</v>
      </c>
      <c r="Q43" s="2"/>
      <c r="R43" s="19"/>
      <c r="S43" s="2"/>
      <c r="T43" s="2">
        <f>-13.58</f>
        <v>-13.58</v>
      </c>
      <c r="U43" s="2"/>
      <c r="V43" s="19"/>
      <c r="W43" s="2"/>
      <c r="X43" s="2">
        <f t="shared" si="2"/>
        <v>13.58</v>
      </c>
      <c r="Y43" s="2"/>
      <c r="Z43" s="19">
        <f t="shared" si="3"/>
        <v>-1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collapsed="1" x14ac:dyDescent="0.25">
      <c r="A45" s="10"/>
      <c r="B45" s="25" t="s">
        <v>8</v>
      </c>
      <c r="C45" s="10"/>
      <c r="D45" s="4">
        <f>SUM(OSRRefD16x_0)</f>
        <v>9005</v>
      </c>
      <c r="E45" s="4"/>
      <c r="F45" s="12">
        <f t="shared" ref="F45:F66" si="10">IF(D$12=0,0,D45/D$12)</f>
        <v>0.72633034197616697</v>
      </c>
      <c r="G45" s="4"/>
      <c r="H45" s="4">
        <f>SUM(OSRRefH16x_0)</f>
        <v>62562.200000000004</v>
      </c>
      <c r="I45" s="4"/>
      <c r="J45" s="12">
        <f t="shared" ref="J45:J66" si="11">IF(H$12=0,0,H45/H$12)</f>
        <v>0.46922038279866746</v>
      </c>
      <c r="K45" s="4"/>
      <c r="L45" s="4">
        <f t="shared" ref="L45:L66" si="12">+D45-H45</f>
        <v>-53557.200000000004</v>
      </c>
      <c r="M45" s="4"/>
      <c r="N45" s="12">
        <f t="shared" ref="N45:N66" si="13">IF(H45=0,0,L45/H45)</f>
        <v>-0.85606324585772242</v>
      </c>
      <c r="O45" s="10"/>
      <c r="P45" s="4">
        <f>SUM(OSRRefP16x_0)</f>
        <v>9043.0499999999993</v>
      </c>
      <c r="Q45" s="4"/>
      <c r="R45" s="12">
        <f t="shared" ref="R45:R66" si="14">IF(P$12=0,0,P45/P$12)</f>
        <v>0.72939940022294014</v>
      </c>
      <c r="S45" s="4"/>
      <c r="T45" s="4">
        <f>SUM(OSRRefT16x_0)</f>
        <v>72075.780000000013</v>
      </c>
      <c r="U45" s="4"/>
      <c r="V45" s="12">
        <f t="shared" ref="V45:V66" si="15">IF(T$12=0,0,T45/T$12)</f>
        <v>0.47386785926010605</v>
      </c>
      <c r="W45" s="4"/>
      <c r="X45" s="4">
        <f t="shared" ref="X45:X66" si="16">+P45-T45</f>
        <v>-63032.73000000001</v>
      </c>
      <c r="Y45" s="4"/>
      <c r="Z45" s="12">
        <f t="shared" ref="Z45:Z66" si="17">IF(T45=0,0,X45/T45)</f>
        <v>-0.87453413615503017</v>
      </c>
    </row>
    <row r="46" spans="1:26" s="24" customFormat="1" hidden="1" outlineLevel="1" x14ac:dyDescent="0.25">
      <c r="A46" s="44"/>
      <c r="B46" s="11" t="str">
        <f>CONCATENATE("          ", "5017", " - ", "PURCHASES @ COST-DORM/HOUSEWAR")</f>
        <v xml:space="preserve">          5017 - PURCHASES @ COST-DORM/HOUSEWAR</v>
      </c>
      <c r="C46" s="11"/>
      <c r="D46" s="2"/>
      <c r="E46" s="2"/>
      <c r="F46" s="19">
        <f t="shared" si="10"/>
        <v>0</v>
      </c>
      <c r="G46" s="2"/>
      <c r="H46" s="2">
        <v>139.86000000000001</v>
      </c>
      <c r="I46" s="2"/>
      <c r="J46" s="19">
        <f t="shared" si="11"/>
        <v>1.0489586801330777E-3</v>
      </c>
      <c r="K46" s="2"/>
      <c r="L46" s="2">
        <f t="shared" si="12"/>
        <v>-139.86000000000001</v>
      </c>
      <c r="M46" s="2"/>
      <c r="N46" s="19">
        <f t="shared" si="13"/>
        <v>-1</v>
      </c>
      <c r="O46" s="11"/>
      <c r="P46" s="2"/>
      <c r="Q46" s="2"/>
      <c r="R46" s="19">
        <f t="shared" si="14"/>
        <v>0</v>
      </c>
      <c r="S46" s="2"/>
      <c r="T46" s="2">
        <v>139.86000000000001</v>
      </c>
      <c r="U46" s="2"/>
      <c r="V46" s="19">
        <f t="shared" si="15"/>
        <v>9.1952052126412546E-4</v>
      </c>
      <c r="W46" s="2"/>
      <c r="X46" s="2">
        <f t="shared" si="16"/>
        <v>-139.86000000000001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"5025", " - ", "PURCHASES @ COST-TEST FORMS")</f>
        <v xml:space="preserve">          5025 - PURCHASES @ COST-TEST FORMS</v>
      </c>
      <c r="C47" s="11"/>
      <c r="D47" s="2"/>
      <c r="E47" s="2"/>
      <c r="F47" s="19">
        <f t="shared" si="10"/>
        <v>0</v>
      </c>
      <c r="G47" s="2"/>
      <c r="H47" s="2">
        <v>878.02</v>
      </c>
      <c r="I47" s="2"/>
      <c r="J47" s="19">
        <f t="shared" si="11"/>
        <v>6.5852044925671727E-3</v>
      </c>
      <c r="K47" s="2"/>
      <c r="L47" s="2">
        <f t="shared" si="12"/>
        <v>-878.02</v>
      </c>
      <c r="M47" s="2"/>
      <c r="N47" s="19">
        <f t="shared" si="13"/>
        <v>-1</v>
      </c>
      <c r="O47" s="11"/>
      <c r="P47" s="2"/>
      <c r="Q47" s="2"/>
      <c r="R47" s="19">
        <f t="shared" si="14"/>
        <v>0</v>
      </c>
      <c r="S47" s="2"/>
      <c r="T47" s="2">
        <v>1757.14</v>
      </c>
      <c r="U47" s="2"/>
      <c r="V47" s="19">
        <f t="shared" si="15"/>
        <v>1.1552454516902941E-2</v>
      </c>
      <c r="W47" s="2"/>
      <c r="X47" s="2">
        <f t="shared" si="16"/>
        <v>-1757.14</v>
      </c>
      <c r="Y47" s="2"/>
      <c r="Z47" s="19">
        <f t="shared" si="17"/>
        <v>-1</v>
      </c>
    </row>
    <row r="48" spans="1:26" s="24" customFormat="1" hidden="1" outlineLevel="1" x14ac:dyDescent="0.25">
      <c r="A48" s="44"/>
      <c r="B48" s="11" t="str">
        <f>CONCATENATE("          ", "5026", " - ", "PURCHASES @ COST-WRITING INSTR")</f>
        <v xml:space="preserve">          5026 - PURCHASES @ COST-WRITING INSTR</v>
      </c>
      <c r="C48" s="11"/>
      <c r="D48" s="2"/>
      <c r="E48" s="2"/>
      <c r="F48" s="19">
        <f t="shared" si="10"/>
        <v>0</v>
      </c>
      <c r="G48" s="2"/>
      <c r="H48" s="2">
        <v>2184.39</v>
      </c>
      <c r="I48" s="2"/>
      <c r="J48" s="19">
        <f t="shared" si="11"/>
        <v>1.6383060569826205E-2</v>
      </c>
      <c r="K48" s="2"/>
      <c r="L48" s="2">
        <f t="shared" si="12"/>
        <v>-2184.39</v>
      </c>
      <c r="M48" s="2"/>
      <c r="N48" s="19">
        <f t="shared" si="13"/>
        <v>-1</v>
      </c>
      <c r="O48" s="11"/>
      <c r="P48" s="2"/>
      <c r="Q48" s="2"/>
      <c r="R48" s="19">
        <f t="shared" si="14"/>
        <v>0</v>
      </c>
      <c r="S48" s="2"/>
      <c r="T48" s="2">
        <v>12590.15</v>
      </c>
      <c r="U48" s="2"/>
      <c r="V48" s="19">
        <f t="shared" si="15"/>
        <v>8.2774927004100718E-2</v>
      </c>
      <c r="W48" s="2"/>
      <c r="X48" s="2">
        <f t="shared" si="16"/>
        <v>-12590.15</v>
      </c>
      <c r="Y48" s="2"/>
      <c r="Z48" s="19">
        <f t="shared" si="17"/>
        <v>-1</v>
      </c>
    </row>
    <row r="49" spans="1:26" s="24" customFormat="1" hidden="1" outlineLevel="1" x14ac:dyDescent="0.25">
      <c r="A49" s="44"/>
      <c r="B49" s="11" t="str">
        <f>CONCATENATE("          ", "5027", " - ", "PURCHASES @ COST-SCHOOL SUPPLI")</f>
        <v xml:space="preserve">          5027 - PURCHASES @ COST-SCHOOL SUPPLI</v>
      </c>
      <c r="C49" s="11"/>
      <c r="D49" s="2"/>
      <c r="E49" s="2"/>
      <c r="F49" s="19">
        <f t="shared" si="10"/>
        <v>0</v>
      </c>
      <c r="G49" s="2"/>
      <c r="H49" s="2">
        <v>-650.94000000000005</v>
      </c>
      <c r="I49" s="2"/>
      <c r="J49" s="19">
        <f t="shared" si="11"/>
        <v>-4.8820903992980525E-3</v>
      </c>
      <c r="K49" s="2"/>
      <c r="L49" s="2">
        <f t="shared" si="12"/>
        <v>650.94000000000005</v>
      </c>
      <c r="M49" s="2"/>
      <c r="N49" s="19">
        <f t="shared" si="13"/>
        <v>-1</v>
      </c>
      <c r="O49" s="11"/>
      <c r="P49" s="2"/>
      <c r="Q49" s="2"/>
      <c r="R49" s="19">
        <f t="shared" si="14"/>
        <v>0</v>
      </c>
      <c r="S49" s="2"/>
      <c r="T49" s="2">
        <v>49463.21</v>
      </c>
      <c r="U49" s="2"/>
      <c r="V49" s="19">
        <f t="shared" si="15"/>
        <v>0.32519974719431499</v>
      </c>
      <c r="W49" s="2"/>
      <c r="X49" s="2">
        <f t="shared" si="16"/>
        <v>-49463.21</v>
      </c>
      <c r="Y49" s="2"/>
      <c r="Z49" s="19">
        <f t="shared" si="17"/>
        <v>-1</v>
      </c>
    </row>
    <row r="50" spans="1:26" s="24" customFormat="1" hidden="1" outlineLevel="1" x14ac:dyDescent="0.25">
      <c r="A50" s="44"/>
      <c r="B50" s="11" t="str">
        <f>CONCATENATE("          ", "5028", " - ", "PURCHASES @ COST-ART/TECH")</f>
        <v xml:space="preserve">          5028 - PURCHASES @ COST-ART/TECH</v>
      </c>
      <c r="C50" s="11"/>
      <c r="D50" s="2"/>
      <c r="E50" s="2"/>
      <c r="F50" s="19">
        <f t="shared" si="10"/>
        <v>0</v>
      </c>
      <c r="G50" s="2"/>
      <c r="H50" s="2">
        <v>27987.119999999999</v>
      </c>
      <c r="I50" s="2"/>
      <c r="J50" s="19">
        <f t="shared" si="11"/>
        <v>0.20990513696500826</v>
      </c>
      <c r="K50" s="2"/>
      <c r="L50" s="2">
        <f t="shared" si="12"/>
        <v>-27987.119999999999</v>
      </c>
      <c r="M50" s="2"/>
      <c r="N50" s="19">
        <f t="shared" si="13"/>
        <v>-1</v>
      </c>
      <c r="O50" s="11"/>
      <c r="P50" s="2"/>
      <c r="Q50" s="2"/>
      <c r="R50" s="19">
        <f t="shared" si="14"/>
        <v>0</v>
      </c>
      <c r="S50" s="2"/>
      <c r="T50" s="2">
        <v>56014.77</v>
      </c>
      <c r="U50" s="2"/>
      <c r="V50" s="19">
        <f t="shared" si="15"/>
        <v>0.36827349141205551</v>
      </c>
      <c r="W50" s="2"/>
      <c r="X50" s="2">
        <f t="shared" si="16"/>
        <v>-56014.77</v>
      </c>
      <c r="Y50" s="2"/>
      <c r="Z50" s="19">
        <f t="shared" si="17"/>
        <v>-1</v>
      </c>
    </row>
    <row r="51" spans="1:26" s="24" customFormat="1" hidden="1" outlineLevel="1" x14ac:dyDescent="0.25">
      <c r="A51" s="44"/>
      <c r="B51" s="11" t="str">
        <f>CONCATENATE("          ", "5031", " - ", "PURCHASES @ COST-FOOD")</f>
        <v xml:space="preserve">          5031 - PURCHASES @ COST-FOOD</v>
      </c>
      <c r="C51" s="11"/>
      <c r="D51" s="2"/>
      <c r="E51" s="2"/>
      <c r="F51" s="19">
        <f t="shared" si="10"/>
        <v>0</v>
      </c>
      <c r="G51" s="2"/>
      <c r="H51" s="2">
        <v>2679.04</v>
      </c>
      <c r="I51" s="2"/>
      <c r="J51" s="19">
        <f t="shared" si="11"/>
        <v>2.0092966269295867E-2</v>
      </c>
      <c r="K51" s="2"/>
      <c r="L51" s="2">
        <f t="shared" si="12"/>
        <v>-2679.04</v>
      </c>
      <c r="M51" s="2"/>
      <c r="N51" s="19">
        <f t="shared" si="13"/>
        <v>-1</v>
      </c>
      <c r="O51" s="11"/>
      <c r="P51" s="2"/>
      <c r="Q51" s="2"/>
      <c r="R51" s="19">
        <f t="shared" si="14"/>
        <v>0</v>
      </c>
      <c r="S51" s="2"/>
      <c r="T51" s="2">
        <v>2679.04</v>
      </c>
      <c r="U51" s="2"/>
      <c r="V51" s="19">
        <f t="shared" si="15"/>
        <v>1.7613558253163464E-2</v>
      </c>
      <c r="W51" s="2"/>
      <c r="X51" s="2">
        <f t="shared" si="16"/>
        <v>-2679.04</v>
      </c>
      <c r="Y51" s="2"/>
      <c r="Z51" s="19">
        <f t="shared" si="17"/>
        <v>-1</v>
      </c>
    </row>
    <row r="52" spans="1:26" s="24" customFormat="1" hidden="1" outlineLevel="1" x14ac:dyDescent="0.25">
      <c r="A52" s="44"/>
      <c r="B52" s="11" t="str">
        <f>CONCATENATE("          ", "5032", " - ", "PURCHASES @ COST-JUICE")</f>
        <v xml:space="preserve">          5032 - PURCHASES @ COST-JUICE</v>
      </c>
      <c r="C52" s="11"/>
      <c r="D52" s="2"/>
      <c r="E52" s="2"/>
      <c r="F52" s="19">
        <f t="shared" si="10"/>
        <v>0</v>
      </c>
      <c r="G52" s="2"/>
      <c r="H52" s="2">
        <v>227.18</v>
      </c>
      <c r="I52" s="2"/>
      <c r="J52" s="19">
        <f t="shared" si="11"/>
        <v>1.7038640994754223E-3</v>
      </c>
      <c r="K52" s="2"/>
      <c r="L52" s="2">
        <f t="shared" si="12"/>
        <v>-227.18</v>
      </c>
      <c r="M52" s="2"/>
      <c r="N52" s="19">
        <f t="shared" si="13"/>
        <v>-1</v>
      </c>
      <c r="O52" s="11"/>
      <c r="P52" s="2"/>
      <c r="Q52" s="2"/>
      <c r="R52" s="19">
        <f t="shared" si="14"/>
        <v>0</v>
      </c>
      <c r="S52" s="2"/>
      <c r="T52" s="2">
        <v>341.6</v>
      </c>
      <c r="U52" s="2"/>
      <c r="V52" s="19">
        <f t="shared" si="15"/>
        <v>2.2458759478322984E-3</v>
      </c>
      <c r="W52" s="2"/>
      <c r="X52" s="2">
        <f t="shared" si="16"/>
        <v>-341.6</v>
      </c>
      <c r="Y52" s="2"/>
      <c r="Z52" s="19">
        <f t="shared" si="17"/>
        <v>-1</v>
      </c>
    </row>
    <row r="53" spans="1:26" s="24" customFormat="1" hidden="1" outlineLevel="1" x14ac:dyDescent="0.25">
      <c r="A53" s="44"/>
      <c r="B53" s="11" t="str">
        <f>CONCATENATE("          ", "5033", " - ", "PURCHASES @ COST-CANDY")</f>
        <v xml:space="preserve">          5033 - PURCHASES @ COST-CANDY</v>
      </c>
      <c r="C53" s="11"/>
      <c r="D53" s="2"/>
      <c r="E53" s="2"/>
      <c r="F53" s="19">
        <f t="shared" si="10"/>
        <v>0</v>
      </c>
      <c r="G53" s="2"/>
      <c r="H53" s="2">
        <v>986.46</v>
      </c>
      <c r="I53" s="2"/>
      <c r="J53" s="19">
        <f t="shared" si="11"/>
        <v>7.3985112226803637E-3</v>
      </c>
      <c r="K53" s="2"/>
      <c r="L53" s="2">
        <f t="shared" si="12"/>
        <v>-986.46</v>
      </c>
      <c r="M53" s="2"/>
      <c r="N53" s="19">
        <f t="shared" si="13"/>
        <v>-1</v>
      </c>
      <c r="O53" s="11"/>
      <c r="P53" s="2"/>
      <c r="Q53" s="2"/>
      <c r="R53" s="19">
        <f t="shared" si="14"/>
        <v>0</v>
      </c>
      <c r="S53" s="2"/>
      <c r="T53" s="2">
        <v>986.46</v>
      </c>
      <c r="U53" s="2"/>
      <c r="V53" s="19">
        <f t="shared" si="15"/>
        <v>6.4855585114129066E-3</v>
      </c>
      <c r="W53" s="2"/>
      <c r="X53" s="2">
        <f t="shared" si="16"/>
        <v>-986.46</v>
      </c>
      <c r="Y53" s="2"/>
      <c r="Z53" s="19">
        <f t="shared" si="17"/>
        <v>-1</v>
      </c>
    </row>
    <row r="54" spans="1:26" s="24" customFormat="1" hidden="1" outlineLevel="1" x14ac:dyDescent="0.25">
      <c r="A54" s="44"/>
      <c r="B54" s="11" t="str">
        <f>CONCATENATE("          ", "5034", " - ", "PURCHASES @ COST-SODA")</f>
        <v xml:space="preserve">          5034 - PURCHASES @ COST-SODA</v>
      </c>
      <c r="C54" s="11"/>
      <c r="D54" s="2"/>
      <c r="E54" s="2"/>
      <c r="F54" s="19">
        <f t="shared" si="10"/>
        <v>0</v>
      </c>
      <c r="G54" s="2"/>
      <c r="H54" s="2">
        <v>350.04</v>
      </c>
      <c r="I54" s="2"/>
      <c r="J54" s="19">
        <f t="shared" si="11"/>
        <v>2.6253217245372695E-3</v>
      </c>
      <c r="K54" s="2"/>
      <c r="L54" s="2">
        <f t="shared" si="12"/>
        <v>-350.04</v>
      </c>
      <c r="M54" s="2"/>
      <c r="N54" s="19">
        <f t="shared" si="13"/>
        <v>-1</v>
      </c>
      <c r="O54" s="11"/>
      <c r="P54" s="2"/>
      <c r="Q54" s="2"/>
      <c r="R54" s="19">
        <f t="shared" si="14"/>
        <v>0</v>
      </c>
      <c r="S54" s="2"/>
      <c r="T54" s="2">
        <v>288.5</v>
      </c>
      <c r="U54" s="2"/>
      <c r="V54" s="19">
        <f t="shared" si="15"/>
        <v>1.8967658400164461E-3</v>
      </c>
      <c r="W54" s="2"/>
      <c r="X54" s="2">
        <f t="shared" si="16"/>
        <v>-288.5</v>
      </c>
      <c r="Y54" s="2"/>
      <c r="Z54" s="19">
        <f t="shared" si="17"/>
        <v>-1</v>
      </c>
    </row>
    <row r="55" spans="1:26" s="24" customFormat="1" hidden="1" outlineLevel="1" x14ac:dyDescent="0.25">
      <c r="A55" s="44"/>
      <c r="B55" s="11" t="str">
        <f>CONCATENATE("          ", "5035", " - ", "PURCHASES @ COST-HEALTH &amp; BEAU")</f>
        <v xml:space="preserve">          5035 - PURCHASES @ COST-HEALTH &amp; BEAU</v>
      </c>
      <c r="C55" s="11"/>
      <c r="D55" s="2"/>
      <c r="E55" s="2"/>
      <c r="F55" s="19">
        <f t="shared" si="10"/>
        <v>0</v>
      </c>
      <c r="G55" s="2"/>
      <c r="H55" s="2">
        <v>76.73</v>
      </c>
      <c r="I55" s="2"/>
      <c r="J55" s="19">
        <f t="shared" si="11"/>
        <v>5.7547976209503112E-4</v>
      </c>
      <c r="K55" s="2"/>
      <c r="L55" s="2">
        <f t="shared" si="12"/>
        <v>-76.73</v>
      </c>
      <c r="M55" s="2"/>
      <c r="N55" s="19">
        <f t="shared" si="13"/>
        <v>-1</v>
      </c>
      <c r="O55" s="11"/>
      <c r="P55" s="2"/>
      <c r="Q55" s="2"/>
      <c r="R55" s="19">
        <f t="shared" si="14"/>
        <v>0</v>
      </c>
      <c r="S55" s="2"/>
      <c r="T55" s="2">
        <v>76.73</v>
      </c>
      <c r="U55" s="2"/>
      <c r="V55" s="19">
        <f t="shared" si="15"/>
        <v>5.0446739308305686E-4</v>
      </c>
      <c r="W55" s="2"/>
      <c r="X55" s="2">
        <f t="shared" si="16"/>
        <v>-76.73</v>
      </c>
      <c r="Y55" s="2"/>
      <c r="Z55" s="19">
        <f t="shared" si="17"/>
        <v>-1</v>
      </c>
    </row>
    <row r="56" spans="1:26" s="24" customFormat="1" hidden="1" outlineLevel="1" x14ac:dyDescent="0.25">
      <c r="A56" s="44"/>
      <c r="B56" s="11" t="str">
        <f>CONCATENATE("          ", "5037", " - ", "PURCHASES @ COST-WATER")</f>
        <v xml:space="preserve">          5037 - PURCHASES @ COST-WATER</v>
      </c>
      <c r="C56" s="11"/>
      <c r="D56" s="2"/>
      <c r="E56" s="2"/>
      <c r="F56" s="19">
        <f t="shared" si="10"/>
        <v>0</v>
      </c>
      <c r="G56" s="2"/>
      <c r="H56" s="2">
        <v>449.64</v>
      </c>
      <c r="I56" s="2"/>
      <c r="J56" s="19">
        <f t="shared" si="11"/>
        <v>3.3723279060134206E-3</v>
      </c>
      <c r="K56" s="2"/>
      <c r="L56" s="2">
        <f t="shared" si="12"/>
        <v>-449.64</v>
      </c>
      <c r="M56" s="2"/>
      <c r="N56" s="19">
        <f t="shared" si="13"/>
        <v>-1</v>
      </c>
      <c r="O56" s="11"/>
      <c r="P56" s="2"/>
      <c r="Q56" s="2"/>
      <c r="R56" s="19">
        <f t="shared" si="14"/>
        <v>0</v>
      </c>
      <c r="S56" s="2"/>
      <c r="T56" s="2">
        <v>466.18</v>
      </c>
      <c r="U56" s="2"/>
      <c r="V56" s="19">
        <f t="shared" si="15"/>
        <v>3.0649369126477186E-3</v>
      </c>
      <c r="W56" s="2"/>
      <c r="X56" s="2">
        <f t="shared" si="16"/>
        <v>-466.18</v>
      </c>
      <c r="Y56" s="2"/>
      <c r="Z56" s="19">
        <f t="shared" si="17"/>
        <v>-1</v>
      </c>
    </row>
    <row r="57" spans="1:26" s="24" customFormat="1" hidden="1" outlineLevel="1" x14ac:dyDescent="0.25">
      <c r="A57" s="44"/>
      <c r="B57" s="11" t="str">
        <f>CONCATENATE("          ", "5081", " - ", "PURCHASES @ COST-ELECTRONICS")</f>
        <v xml:space="preserve">          5081 - PURCHASES @ COST-ELECTRONICS</v>
      </c>
      <c r="C57" s="11"/>
      <c r="D57" s="2"/>
      <c r="E57" s="2"/>
      <c r="F57" s="19">
        <f t="shared" si="10"/>
        <v>0</v>
      </c>
      <c r="G57" s="2"/>
      <c r="H57" s="2">
        <v>304.16000000000003</v>
      </c>
      <c r="I57" s="2"/>
      <c r="J57" s="19">
        <f t="shared" si="11"/>
        <v>2.2812188770862068E-3</v>
      </c>
      <c r="K57" s="2"/>
      <c r="L57" s="2">
        <f t="shared" si="12"/>
        <v>-304.16000000000003</v>
      </c>
      <c r="M57" s="2"/>
      <c r="N57" s="19">
        <f t="shared" si="13"/>
        <v>-1</v>
      </c>
      <c r="O57" s="11"/>
      <c r="P57" s="2"/>
      <c r="Q57" s="2"/>
      <c r="R57" s="19">
        <f t="shared" si="14"/>
        <v>0</v>
      </c>
      <c r="S57" s="2"/>
      <c r="T57" s="2">
        <v>304.16000000000003</v>
      </c>
      <c r="U57" s="2"/>
      <c r="V57" s="19">
        <f t="shared" si="15"/>
        <v>1.9997237362197654E-3</v>
      </c>
      <c r="W57" s="2"/>
      <c r="X57" s="2">
        <f t="shared" si="16"/>
        <v>-304.16000000000003</v>
      </c>
      <c r="Y57" s="2"/>
      <c r="Z57" s="19">
        <f t="shared" si="17"/>
        <v>-1</v>
      </c>
    </row>
    <row r="58" spans="1:26" s="24" customFormat="1" hidden="1" outlineLevel="1" x14ac:dyDescent="0.25">
      <c r="A58" s="44"/>
      <c r="B58" s="11" t="str">
        <f>CONCATENATE("          ", "5082", " - ", "PURCHASES @ COST-COMPUTER HARD")</f>
        <v xml:space="preserve">          5082 - PURCHASES @ COST-COMPUTER HARD</v>
      </c>
      <c r="C58" s="11"/>
      <c r="D58" s="2"/>
      <c r="E58" s="2"/>
      <c r="F58" s="19">
        <f t="shared" si="10"/>
        <v>0</v>
      </c>
      <c r="G58" s="2"/>
      <c r="H58" s="2">
        <v>130.6</v>
      </c>
      <c r="I58" s="2"/>
      <c r="J58" s="19">
        <f t="shared" si="11"/>
        <v>9.7950810542957178E-4</v>
      </c>
      <c r="K58" s="2"/>
      <c r="L58" s="2">
        <f t="shared" si="12"/>
        <v>-130.6</v>
      </c>
      <c r="M58" s="2"/>
      <c r="N58" s="19">
        <f t="shared" si="13"/>
        <v>-1</v>
      </c>
      <c r="O58" s="11"/>
      <c r="P58" s="2"/>
      <c r="Q58" s="2"/>
      <c r="R58" s="19">
        <f t="shared" si="14"/>
        <v>0</v>
      </c>
      <c r="S58" s="2"/>
      <c r="T58" s="2">
        <v>130.6</v>
      </c>
      <c r="U58" s="2"/>
      <c r="V58" s="19">
        <f t="shared" si="15"/>
        <v>8.5863992619115374E-4</v>
      </c>
      <c r="W58" s="2"/>
      <c r="X58" s="2">
        <f t="shared" si="16"/>
        <v>-130.6</v>
      </c>
      <c r="Y58" s="2"/>
      <c r="Z58" s="19">
        <f t="shared" si="17"/>
        <v>-1</v>
      </c>
    </row>
    <row r="59" spans="1:26" s="24" customFormat="1" hidden="1" outlineLevel="1" x14ac:dyDescent="0.25">
      <c r="A59" s="44"/>
      <c r="B59" s="11" t="str">
        <f>CONCATENATE("          ", "5083", " - ", "PURCHASES @ COST-COMPUTER EQUI")</f>
        <v xml:space="preserve">          5083 - PURCHASES @ COST-COMPUTER EQUI</v>
      </c>
      <c r="C59" s="11"/>
      <c r="D59" s="2"/>
      <c r="E59" s="2"/>
      <c r="F59" s="19">
        <f t="shared" si="10"/>
        <v>0</v>
      </c>
      <c r="G59" s="2"/>
      <c r="H59" s="2">
        <v>41.5</v>
      </c>
      <c r="I59" s="2"/>
      <c r="J59" s="19">
        <f t="shared" si="11"/>
        <v>3.1125257561506303E-4</v>
      </c>
      <c r="K59" s="2"/>
      <c r="L59" s="2">
        <f t="shared" si="12"/>
        <v>-41.5</v>
      </c>
      <c r="M59" s="2"/>
      <c r="N59" s="19">
        <f t="shared" si="13"/>
        <v>-1</v>
      </c>
      <c r="O59" s="11"/>
      <c r="P59" s="2"/>
      <c r="Q59" s="2"/>
      <c r="R59" s="19">
        <f t="shared" si="14"/>
        <v>0</v>
      </c>
      <c r="S59" s="2"/>
      <c r="T59" s="2">
        <v>41.5</v>
      </c>
      <c r="U59" s="2"/>
      <c r="V59" s="19">
        <f t="shared" si="15"/>
        <v>2.7284499951709708E-4</v>
      </c>
      <c r="W59" s="2"/>
      <c r="X59" s="2">
        <f t="shared" si="16"/>
        <v>-41.5</v>
      </c>
      <c r="Y59" s="2"/>
      <c r="Z59" s="19">
        <f t="shared" si="17"/>
        <v>-1</v>
      </c>
    </row>
    <row r="60" spans="1:26" s="24" customFormat="1" hidden="1" outlineLevel="1" x14ac:dyDescent="0.25">
      <c r="A60" s="44"/>
      <c r="B60" s="11" t="str">
        <f>CONCATENATE("          ", "5086", " - ", "PURCHASES @ COST-COMPUTER SUPP")</f>
        <v xml:space="preserve">          5086 - PURCHASES @ COST-COMPUTER SUPP</v>
      </c>
      <c r="C60" s="11"/>
      <c r="D60" s="2"/>
      <c r="E60" s="2"/>
      <c r="F60" s="19">
        <f t="shared" si="10"/>
        <v>0</v>
      </c>
      <c r="G60" s="2"/>
      <c r="H60" s="2">
        <v>58</v>
      </c>
      <c r="I60" s="2"/>
      <c r="J60" s="19">
        <f t="shared" si="11"/>
        <v>4.3500359965478692E-4</v>
      </c>
      <c r="K60" s="2"/>
      <c r="L60" s="2">
        <f t="shared" si="12"/>
        <v>-58</v>
      </c>
      <c r="M60" s="2"/>
      <c r="N60" s="19">
        <f t="shared" si="13"/>
        <v>-1</v>
      </c>
      <c r="O60" s="11"/>
      <c r="P60" s="2"/>
      <c r="Q60" s="2"/>
      <c r="R60" s="19">
        <f t="shared" si="14"/>
        <v>0</v>
      </c>
      <c r="S60" s="2"/>
      <c r="T60" s="2">
        <v>58</v>
      </c>
      <c r="U60" s="2"/>
      <c r="V60" s="19">
        <f t="shared" si="15"/>
        <v>3.8132554149377426E-4</v>
      </c>
      <c r="W60" s="2"/>
      <c r="X60" s="2">
        <f t="shared" si="16"/>
        <v>-58</v>
      </c>
      <c r="Y60" s="2"/>
      <c r="Z60" s="19">
        <f t="shared" si="17"/>
        <v>-1</v>
      </c>
    </row>
    <row r="61" spans="1:26" s="24" customFormat="1" hidden="1" outlineLevel="1" x14ac:dyDescent="0.25">
      <c r="A61" s="44"/>
      <c r="B61" s="11" t="str">
        <f>CONCATENATE("          ", "5200", " - ", "PURCHASES OFFSET")</f>
        <v xml:space="preserve">          5200 - PURCHASES OFFSET</v>
      </c>
      <c r="C61" s="11"/>
      <c r="D61" s="2"/>
      <c r="E61" s="2"/>
      <c r="F61" s="19">
        <f t="shared" si="10"/>
        <v>0</v>
      </c>
      <c r="G61" s="2"/>
      <c r="H61" s="2">
        <v>-36126</v>
      </c>
      <c r="I61" s="2"/>
      <c r="J61" s="19">
        <f t="shared" si="11"/>
        <v>-0.27094724208842813</v>
      </c>
      <c r="K61" s="2"/>
      <c r="L61" s="2">
        <f t="shared" si="12"/>
        <v>36126</v>
      </c>
      <c r="M61" s="2"/>
      <c r="N61" s="19">
        <f t="shared" si="13"/>
        <v>-1</v>
      </c>
      <c r="O61" s="11"/>
      <c r="P61" s="2"/>
      <c r="Q61" s="2"/>
      <c r="R61" s="19">
        <f t="shared" si="14"/>
        <v>0</v>
      </c>
      <c r="S61" s="2"/>
      <c r="T61" s="2">
        <v>-125955</v>
      </c>
      <c r="U61" s="2"/>
      <c r="V61" s="19">
        <f t="shared" si="15"/>
        <v>-0.8281010099801438</v>
      </c>
      <c r="W61" s="2"/>
      <c r="X61" s="2">
        <f t="shared" si="16"/>
        <v>125955</v>
      </c>
      <c r="Y61" s="2"/>
      <c r="Z61" s="19">
        <f t="shared" si="17"/>
        <v>-1</v>
      </c>
    </row>
    <row r="62" spans="1:26" s="24" customFormat="1" hidden="1" outlineLevel="1" x14ac:dyDescent="0.25">
      <c r="A62" s="44"/>
      <c r="B62" s="11" t="str">
        <f>CONCATENATE("          ", "5300", " - ", "COG$ OFFSET")</f>
        <v xml:space="preserve">          5300 - COG$ OFFSET</v>
      </c>
      <c r="C62" s="11"/>
      <c r="D62" s="2">
        <v>9005</v>
      </c>
      <c r="E62" s="2"/>
      <c r="F62" s="19">
        <f t="shared" si="10"/>
        <v>0.72633034197616697</v>
      </c>
      <c r="G62" s="2"/>
      <c r="H62" s="2">
        <v>62563.000000000007</v>
      </c>
      <c r="I62" s="2"/>
      <c r="J62" s="19">
        <f t="shared" si="11"/>
        <v>0.46922638284831786</v>
      </c>
      <c r="K62" s="2"/>
      <c r="L62" s="2">
        <f t="shared" si="12"/>
        <v>-53558.000000000007</v>
      </c>
      <c r="M62" s="2"/>
      <c r="N62" s="19">
        <f t="shared" si="13"/>
        <v>-0.85606508639291601</v>
      </c>
      <c r="O62" s="11"/>
      <c r="P62" s="2">
        <v>9005</v>
      </c>
      <c r="Q62" s="2"/>
      <c r="R62" s="19">
        <f t="shared" si="14"/>
        <v>0.72633034197616697</v>
      </c>
      <c r="S62" s="2"/>
      <c r="T62" s="2">
        <v>72027</v>
      </c>
      <c r="U62" s="2"/>
      <c r="V62" s="19">
        <f t="shared" si="15"/>
        <v>0.47354715133055308</v>
      </c>
      <c r="W62" s="2"/>
      <c r="X62" s="2">
        <f t="shared" si="16"/>
        <v>-63022</v>
      </c>
      <c r="Y62" s="2"/>
      <c r="Z62" s="19">
        <f t="shared" si="17"/>
        <v>-0.87497743901592462</v>
      </c>
    </row>
    <row r="63" spans="1:26" s="24" customFormat="1" hidden="1" outlineLevel="1" x14ac:dyDescent="0.25">
      <c r="A63" s="44"/>
      <c r="B63" s="11" t="str">
        <f>CONCATENATE("          ", "5500", " - ", "FREIGHT-IN")</f>
        <v xml:space="preserve">          5500 - FREIGHT-IN</v>
      </c>
      <c r="C63" s="11"/>
      <c r="D63" s="2"/>
      <c r="E63" s="2"/>
      <c r="F63" s="19">
        <f t="shared" si="10"/>
        <v>0</v>
      </c>
      <c r="G63" s="2"/>
      <c r="H63" s="2"/>
      <c r="I63" s="2"/>
      <c r="J63" s="19">
        <f t="shared" si="11"/>
        <v>0</v>
      </c>
      <c r="K63" s="2"/>
      <c r="L63" s="2">
        <f t="shared" si="12"/>
        <v>0</v>
      </c>
      <c r="M63" s="2"/>
      <c r="N63" s="19">
        <f t="shared" si="13"/>
        <v>0</v>
      </c>
      <c r="O63" s="11"/>
      <c r="P63" s="2"/>
      <c r="Q63" s="2"/>
      <c r="R63" s="19">
        <f t="shared" si="14"/>
        <v>0</v>
      </c>
      <c r="S63" s="2"/>
      <c r="T63" s="2">
        <v>49</v>
      </c>
      <c r="U63" s="2"/>
      <c r="V63" s="19">
        <f t="shared" si="15"/>
        <v>3.2215433677922306E-4</v>
      </c>
      <c r="W63" s="2"/>
      <c r="X63" s="2">
        <f t="shared" si="16"/>
        <v>-49</v>
      </c>
      <c r="Y63" s="2"/>
      <c r="Z63" s="19">
        <f t="shared" si="17"/>
        <v>-1</v>
      </c>
    </row>
    <row r="64" spans="1:26" s="24" customFormat="1" hidden="1" outlineLevel="1" x14ac:dyDescent="0.25">
      <c r="A64" s="44"/>
      <c r="B64" s="11" t="str">
        <f>CONCATENATE("          ", "5526", " - ", "FREIGHT-IN-WRITING INSTRUMENTS")</f>
        <v xml:space="preserve">          5526 - FREIGHT-IN-WRITING INSTRUMENTS</v>
      </c>
      <c r="C64" s="11"/>
      <c r="D64" s="2"/>
      <c r="E64" s="2"/>
      <c r="F64" s="19">
        <f t="shared" si="10"/>
        <v>0</v>
      </c>
      <c r="G64" s="2"/>
      <c r="H64" s="2">
        <v>17.46</v>
      </c>
      <c r="I64" s="2"/>
      <c r="J64" s="19">
        <f t="shared" si="11"/>
        <v>1.309510836202169E-4</v>
      </c>
      <c r="K64" s="2"/>
      <c r="L64" s="2">
        <f t="shared" si="12"/>
        <v>-17.46</v>
      </c>
      <c r="M64" s="2"/>
      <c r="N64" s="19">
        <f t="shared" si="13"/>
        <v>-1</v>
      </c>
      <c r="O64" s="11"/>
      <c r="P64" s="2"/>
      <c r="Q64" s="2"/>
      <c r="R64" s="19">
        <f t="shared" si="14"/>
        <v>0</v>
      </c>
      <c r="S64" s="2"/>
      <c r="T64" s="2">
        <v>56.57</v>
      </c>
      <c r="U64" s="2"/>
      <c r="V64" s="19">
        <f t="shared" si="15"/>
        <v>3.7192389452246226E-4</v>
      </c>
      <c r="W64" s="2"/>
      <c r="X64" s="2">
        <f t="shared" si="16"/>
        <v>-56.57</v>
      </c>
      <c r="Y64" s="2"/>
      <c r="Z64" s="19">
        <f t="shared" si="17"/>
        <v>-1</v>
      </c>
    </row>
    <row r="65" spans="1:26" s="24" customFormat="1" hidden="1" outlineLevel="1" x14ac:dyDescent="0.25">
      <c r="A65" s="44"/>
      <c r="B65" s="11" t="str">
        <f>CONCATENATE("          ", "5527", " - ", "FREIGHT-IN-SCHOOL SUPPLIES")</f>
        <v xml:space="preserve">          5527 - FREIGHT-IN-SCHOOL SUPPLIES</v>
      </c>
      <c r="C65" s="11"/>
      <c r="D65" s="2"/>
      <c r="E65" s="2"/>
      <c r="F65" s="19">
        <f t="shared" si="10"/>
        <v>0</v>
      </c>
      <c r="G65" s="2"/>
      <c r="H65" s="2">
        <v>10.49</v>
      </c>
      <c r="I65" s="2"/>
      <c r="J65" s="19">
        <f t="shared" si="11"/>
        <v>7.8675651041012321E-5</v>
      </c>
      <c r="K65" s="2"/>
      <c r="L65" s="2">
        <f t="shared" si="12"/>
        <v>-10.49</v>
      </c>
      <c r="M65" s="2"/>
      <c r="N65" s="19">
        <f t="shared" si="13"/>
        <v>-1</v>
      </c>
      <c r="O65" s="11"/>
      <c r="P65" s="2"/>
      <c r="Q65" s="2"/>
      <c r="R65" s="19">
        <f t="shared" si="14"/>
        <v>0</v>
      </c>
      <c r="S65" s="2"/>
      <c r="T65" s="2">
        <v>260.51</v>
      </c>
      <c r="U65" s="2"/>
      <c r="V65" s="19">
        <f t="shared" si="15"/>
        <v>1.712743393354192E-3</v>
      </c>
      <c r="W65" s="2"/>
      <c r="X65" s="2">
        <f t="shared" si="16"/>
        <v>-260.51</v>
      </c>
      <c r="Y65" s="2"/>
      <c r="Z65" s="19">
        <f t="shared" si="17"/>
        <v>-1</v>
      </c>
    </row>
    <row r="66" spans="1:26" s="24" customFormat="1" hidden="1" outlineLevel="1" x14ac:dyDescent="0.25">
      <c r="A66" s="44"/>
      <c r="B66" s="11" t="str">
        <f>CONCATENATE("          ", "5528", " - ", "FREIGHT-IN-ART/TECH")</f>
        <v xml:space="preserve">          5528 - FREIGHT-IN-ART/TECH</v>
      </c>
      <c r="C66" s="11"/>
      <c r="D66" s="2"/>
      <c r="E66" s="2"/>
      <c r="F66" s="19">
        <f t="shared" si="10"/>
        <v>0</v>
      </c>
      <c r="G66" s="2"/>
      <c r="H66" s="2">
        <v>255.45</v>
      </c>
      <c r="I66" s="2"/>
      <c r="J66" s="19">
        <f t="shared" si="11"/>
        <v>1.9158908539968157E-3</v>
      </c>
      <c r="K66" s="2"/>
      <c r="L66" s="2">
        <f t="shared" si="12"/>
        <v>-255.45</v>
      </c>
      <c r="M66" s="2"/>
      <c r="N66" s="19">
        <f t="shared" si="13"/>
        <v>-1</v>
      </c>
      <c r="O66" s="11"/>
      <c r="P66" s="2">
        <v>38.049999999999997</v>
      </c>
      <c r="Q66" s="2"/>
      <c r="R66" s="19">
        <f t="shared" si="14"/>
        <v>3.0690582467732541E-3</v>
      </c>
      <c r="S66" s="2"/>
      <c r="T66" s="2">
        <v>299.8</v>
      </c>
      <c r="U66" s="2"/>
      <c r="V66" s="19">
        <f t="shared" si="15"/>
        <v>1.971058574824716E-3</v>
      </c>
      <c r="W66" s="2"/>
      <c r="X66" s="2">
        <f t="shared" si="16"/>
        <v>-261.75</v>
      </c>
      <c r="Y66" s="2"/>
      <c r="Z66" s="19">
        <f t="shared" si="17"/>
        <v>-0.87308205470313538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6</v>
      </c>
      <c r="C68" s="26"/>
      <c r="D68" s="22">
        <f>D12-D45</f>
        <v>3392.9400000000005</v>
      </c>
      <c r="E68" s="13"/>
      <c r="F68" s="21">
        <f>IF(D$12=0,0,D68/D$12)</f>
        <v>0.27366965802383303</v>
      </c>
      <c r="G68" s="13"/>
      <c r="H68" s="22">
        <f>H12-H45</f>
        <v>70770.030000000057</v>
      </c>
      <c r="I68" s="13"/>
      <c r="J68" s="21">
        <f>IF(H$12=0,0,H68/H$12)</f>
        <v>0.53077961720133249</v>
      </c>
      <c r="K68" s="16"/>
      <c r="L68" s="22">
        <f>+D68-H68</f>
        <v>-67377.090000000055</v>
      </c>
      <c r="M68" s="16"/>
      <c r="N68" s="21">
        <f>IF(H68=0,0,L68/H68)</f>
        <v>-0.95205682405391101</v>
      </c>
      <c r="O68" s="25"/>
      <c r="P68" s="22">
        <f>P12-P45</f>
        <v>3354.8900000000012</v>
      </c>
      <c r="Q68" s="13"/>
      <c r="R68" s="21">
        <f>IF(P$12=0,0,P68/P$12)</f>
        <v>0.2706005997770598</v>
      </c>
      <c r="S68" s="13"/>
      <c r="T68" s="22">
        <f>T12-T45</f>
        <v>80025.230000000054</v>
      </c>
      <c r="U68" s="13"/>
      <c r="V68" s="21">
        <f>IF(T$12=0,0,T68/T$12)</f>
        <v>0.52613214073989401</v>
      </c>
      <c r="W68" s="16"/>
      <c r="X68" s="22">
        <f>+P68-T68</f>
        <v>-76670.340000000055</v>
      </c>
      <c r="Y68" s="16"/>
      <c r="Z68" s="21">
        <f>IF(T68=0,0,X68/T68)</f>
        <v>-0.95807709643571159</v>
      </c>
    </row>
    <row r="69" spans="1:26" x14ac:dyDescent="0.25">
      <c r="A69" s="9"/>
      <c r="B69" s="10"/>
      <c r="C69" s="9"/>
      <c r="D69" s="1"/>
      <c r="E69" s="1"/>
      <c r="F69" s="5"/>
      <c r="G69" s="1"/>
      <c r="H69" s="1"/>
      <c r="I69" s="1"/>
      <c r="J69" s="5"/>
      <c r="K69" s="1"/>
      <c r="L69" s="1"/>
      <c r="M69" s="1"/>
      <c r="N69" s="5"/>
      <c r="O69" s="37"/>
      <c r="P69" s="1"/>
      <c r="Q69" s="1"/>
      <c r="R69" s="5"/>
      <c r="S69" s="1"/>
      <c r="T69" s="1"/>
      <c r="U69" s="1"/>
      <c r="V69" s="5"/>
      <c r="W69" s="1"/>
      <c r="X69" s="1"/>
      <c r="Y69" s="1"/>
      <c r="Z69" s="5"/>
    </row>
    <row r="70" spans="1:26" s="23" customFormat="1" x14ac:dyDescent="0.25">
      <c r="A70" s="10"/>
      <c r="B70" s="25" t="s">
        <v>9</v>
      </c>
      <c r="C70" s="10"/>
      <c r="D70" s="20">
        <f>SUM(OSRRefD22x_0)</f>
        <v>5481.72</v>
      </c>
      <c r="E70" s="20"/>
      <c r="F70" s="35">
        <f t="shared" ref="F70:F79" si="18">IF(D$12=0,0,D70/D$12)</f>
        <v>0.44214764710911653</v>
      </c>
      <c r="G70" s="20"/>
      <c r="H70" s="20">
        <f>SUM(OSRRefH22x_0)</f>
        <v>18416.98</v>
      </c>
      <c r="I70" s="20"/>
      <c r="J70" s="35">
        <f t="shared" ref="J70:J79" si="19">IF(H$12=0,0,H70/H$12)</f>
        <v>0.13812849301327962</v>
      </c>
      <c r="K70" s="4"/>
      <c r="L70" s="20">
        <f t="shared" ref="L70:L79" si="20">+D70-H70</f>
        <v>-12935.259999999998</v>
      </c>
      <c r="M70" s="4"/>
      <c r="N70" s="35">
        <f t="shared" ref="N70:N79" si="21">IF(H70=0,0,L70/H70)</f>
        <v>-0.70235510925243982</v>
      </c>
      <c r="O70" s="10"/>
      <c r="P70" s="20">
        <f>SUM(OSRRefP22x_0)</f>
        <v>6585.0700000000006</v>
      </c>
      <c r="Q70" s="20"/>
      <c r="R70" s="35">
        <f t="shared" ref="R70:R79" si="22">IF(P$12=0,0,P70/P$12)</f>
        <v>0.53114227040943907</v>
      </c>
      <c r="S70" s="20"/>
      <c r="T70" s="20">
        <f>SUM(OSRRefT22x_0)</f>
        <v>41876.320000000007</v>
      </c>
      <c r="U70" s="20"/>
      <c r="V70" s="35">
        <f t="shared" ref="V70:V79" si="23">IF(T$12=0,0,T70/T$12)</f>
        <v>0.27531914482356157</v>
      </c>
      <c r="W70" s="4"/>
      <c r="X70" s="20">
        <f t="shared" ref="X70:X79" si="24">+P70-T70</f>
        <v>-35291.250000000007</v>
      </c>
      <c r="Y70" s="4"/>
      <c r="Z70" s="35">
        <f t="shared" ref="Z70:Z79" si="25">IF(T70=0,0,X70/T70)</f>
        <v>-0.84274955392450912</v>
      </c>
    </row>
    <row r="71" spans="1:26" s="28" customFormat="1" outlineLevel="1" collapsed="1" x14ac:dyDescent="0.25">
      <c r="A71" s="27"/>
      <c r="B71" s="14" t="str">
        <f>CONCATENATE("     ","*Benefits                                         ")</f>
        <v xml:space="preserve">     *Benefits                                         </v>
      </c>
      <c r="C71" s="14"/>
      <c r="D71" s="1">
        <f>SUM(OSRRefD22_0x_0)</f>
        <v>313.34000000000003</v>
      </c>
      <c r="E71" s="1"/>
      <c r="F71" s="5">
        <f t="shared" si="18"/>
        <v>2.5273553509695967E-2</v>
      </c>
      <c r="G71" s="1"/>
      <c r="H71" s="1">
        <f>SUM(OSRRefH22_0x_0)</f>
        <v>3606.34</v>
      </c>
      <c r="I71" s="1"/>
      <c r="J71" s="5">
        <f t="shared" si="19"/>
        <v>2.7047773820328351E-2</v>
      </c>
      <c r="K71" s="1"/>
      <c r="L71" s="1">
        <f t="shared" si="20"/>
        <v>-3293</v>
      </c>
      <c r="M71" s="1"/>
      <c r="N71" s="5">
        <f t="shared" si="21"/>
        <v>-0.91311412678782367</v>
      </c>
      <c r="O71" s="14"/>
      <c r="P71" s="1">
        <f>SUM(OSRRefP22_0x_0)</f>
        <v>313.34000000000003</v>
      </c>
      <c r="Q71" s="1"/>
      <c r="R71" s="5">
        <f t="shared" si="22"/>
        <v>2.5273553509695967E-2</v>
      </c>
      <c r="S71" s="1"/>
      <c r="T71" s="1">
        <f>SUM(OSRRefT22_0x_0)</f>
        <v>7568.3700000000008</v>
      </c>
      <c r="U71" s="1"/>
      <c r="V71" s="5">
        <f t="shared" si="23"/>
        <v>4.9758841180607527E-2</v>
      </c>
      <c r="W71" s="1"/>
      <c r="X71" s="1">
        <f t="shared" si="24"/>
        <v>-7255.0300000000007</v>
      </c>
      <c r="Y71" s="1"/>
      <c r="Z71" s="5">
        <f t="shared" si="25"/>
        <v>-0.95859874715427495</v>
      </c>
    </row>
    <row r="72" spans="1:26" s="24" customFormat="1" hidden="1" outlineLevel="2" x14ac:dyDescent="0.25">
      <c r="A72" s="29"/>
      <c r="B72" s="11" t="str">
        <f>CONCATENATE("          ", "6111", " - ", "F.I.C.A.")</f>
        <v xml:space="preserve">          6111 - F.I.C.A.</v>
      </c>
      <c r="C72" s="11"/>
      <c r="D72" s="7">
        <v>257.36</v>
      </c>
      <c r="E72" s="2"/>
      <c r="F72" s="6">
        <f t="shared" si="18"/>
        <v>2.0758287263851899E-2</v>
      </c>
      <c r="G72" s="2"/>
      <c r="H72" s="7">
        <v>848.31</v>
      </c>
      <c r="I72" s="2"/>
      <c r="J72" s="6">
        <f t="shared" si="19"/>
        <v>6.3623776486750388E-3</v>
      </c>
      <c r="K72" s="2"/>
      <c r="L72" s="7">
        <f t="shared" si="20"/>
        <v>-590.94999999999993</v>
      </c>
      <c r="M72" s="2"/>
      <c r="N72" s="6">
        <f t="shared" si="21"/>
        <v>-0.69662033926276945</v>
      </c>
      <c r="O72" s="11"/>
      <c r="P72" s="7">
        <v>257.36</v>
      </c>
      <c r="Q72" s="2"/>
      <c r="R72" s="6">
        <f t="shared" si="22"/>
        <v>2.0758287263851899E-2</v>
      </c>
      <c r="S72" s="2"/>
      <c r="T72" s="7">
        <v>1687.25</v>
      </c>
      <c r="U72" s="2"/>
      <c r="V72" s="6">
        <f t="shared" si="23"/>
        <v>1.1092957239402942E-2</v>
      </c>
      <c r="W72" s="2"/>
      <c r="X72" s="7">
        <f t="shared" si="24"/>
        <v>-1429.8899999999999</v>
      </c>
      <c r="Y72" s="2"/>
      <c r="Z72" s="6">
        <f t="shared" si="25"/>
        <v>-0.84746777300340781</v>
      </c>
    </row>
    <row r="73" spans="1:26" s="24" customFormat="1" hidden="1" outlineLevel="2" x14ac:dyDescent="0.25">
      <c r="A73" s="29"/>
      <c r="B73" s="11" t="str">
        <f>CONCATENATE("          ", "6112", " - ", "COMPENSATION INSURANCE")</f>
        <v xml:space="preserve">          6112 - COMPENSATION INSURANCE</v>
      </c>
      <c r="C73" s="11"/>
      <c r="D73" s="7">
        <v>47.24</v>
      </c>
      <c r="E73" s="2"/>
      <c r="F73" s="6">
        <f t="shared" si="18"/>
        <v>3.8103104225379377E-3</v>
      </c>
      <c r="G73" s="2"/>
      <c r="H73" s="7">
        <v>210.65</v>
      </c>
      <c r="I73" s="2"/>
      <c r="J73" s="6">
        <f t="shared" si="19"/>
        <v>1.5798880735738081E-3</v>
      </c>
      <c r="K73" s="2"/>
      <c r="L73" s="7">
        <f t="shared" si="20"/>
        <v>-163.41</v>
      </c>
      <c r="M73" s="2"/>
      <c r="N73" s="6">
        <f t="shared" si="21"/>
        <v>-0.7757417517208639</v>
      </c>
      <c r="O73" s="11"/>
      <c r="P73" s="7">
        <v>47.24</v>
      </c>
      <c r="Q73" s="2"/>
      <c r="R73" s="6">
        <f t="shared" si="22"/>
        <v>3.8103104225379377E-3</v>
      </c>
      <c r="S73" s="2"/>
      <c r="T73" s="7">
        <v>418.5</v>
      </c>
      <c r="U73" s="2"/>
      <c r="V73" s="6">
        <f t="shared" si="23"/>
        <v>2.75146101922663E-3</v>
      </c>
      <c r="W73" s="2"/>
      <c r="X73" s="7">
        <f t="shared" si="24"/>
        <v>-371.26</v>
      </c>
      <c r="Y73" s="2"/>
      <c r="Z73" s="6">
        <f t="shared" si="25"/>
        <v>-0.88712066905615294</v>
      </c>
    </row>
    <row r="74" spans="1:26" s="24" customFormat="1" hidden="1" outlineLevel="2" x14ac:dyDescent="0.25">
      <c r="A74" s="29"/>
      <c r="B74" s="11" t="str">
        <f>CONCATENATE("          ", "6113", " - ", "GROUP INSURANCE")</f>
        <v xml:space="preserve">          6113 - GROUP INSURANCE</v>
      </c>
      <c r="C74" s="11"/>
      <c r="D74" s="7"/>
      <c r="E74" s="2"/>
      <c r="F74" s="6">
        <f t="shared" si="18"/>
        <v>0</v>
      </c>
      <c r="G74" s="2"/>
      <c r="H74" s="7">
        <v>1412.76</v>
      </c>
      <c r="I74" s="2"/>
      <c r="J74" s="6">
        <f t="shared" si="19"/>
        <v>1.0595787680143048E-2</v>
      </c>
      <c r="K74" s="2"/>
      <c r="L74" s="7">
        <f t="shared" si="20"/>
        <v>-1412.76</v>
      </c>
      <c r="M74" s="2"/>
      <c r="N74" s="6">
        <f t="shared" si="21"/>
        <v>-1</v>
      </c>
      <c r="O74" s="11"/>
      <c r="P74" s="7"/>
      <c r="Q74" s="2"/>
      <c r="R74" s="6">
        <f t="shared" si="22"/>
        <v>0</v>
      </c>
      <c r="S74" s="2"/>
      <c r="T74" s="7">
        <v>2825.52</v>
      </c>
      <c r="U74" s="2"/>
      <c r="V74" s="6">
        <f t="shared" si="23"/>
        <v>1.8576602482784293E-2</v>
      </c>
      <c r="W74" s="2"/>
      <c r="X74" s="7">
        <f t="shared" si="24"/>
        <v>-2825.52</v>
      </c>
      <c r="Y74" s="2"/>
      <c r="Z74" s="6">
        <f t="shared" si="25"/>
        <v>-1</v>
      </c>
    </row>
    <row r="75" spans="1:26" s="24" customFormat="1" hidden="1" outlineLevel="2" x14ac:dyDescent="0.25">
      <c r="A75" s="29"/>
      <c r="B75" s="11" t="str">
        <f>CONCATENATE("          ", "6114", " - ", "STATE UNEMPLOYMENT INSURANCE")</f>
        <v xml:space="preserve">          6114 - STATE UNEMPLOYMENT INSURANCE</v>
      </c>
      <c r="C75" s="11"/>
      <c r="D75" s="7">
        <v>8.74</v>
      </c>
      <c r="E75" s="2"/>
      <c r="F75" s="6">
        <f t="shared" si="18"/>
        <v>7.0495582330612992E-4</v>
      </c>
      <c r="G75" s="2"/>
      <c r="H75" s="7">
        <v>28.83</v>
      </c>
      <c r="I75" s="2"/>
      <c r="J75" s="6">
        <f t="shared" si="19"/>
        <v>2.1622678927668115E-4</v>
      </c>
      <c r="K75" s="2"/>
      <c r="L75" s="7">
        <f t="shared" si="20"/>
        <v>-20.089999999999996</v>
      </c>
      <c r="M75" s="2"/>
      <c r="N75" s="6">
        <f t="shared" si="21"/>
        <v>-0.69684356573014217</v>
      </c>
      <c r="O75" s="11"/>
      <c r="P75" s="7">
        <v>8.74</v>
      </c>
      <c r="Q75" s="2"/>
      <c r="R75" s="6">
        <f t="shared" si="22"/>
        <v>7.0495582330612992E-4</v>
      </c>
      <c r="S75" s="2"/>
      <c r="T75" s="7">
        <v>57.27</v>
      </c>
      <c r="U75" s="2"/>
      <c r="V75" s="6">
        <f t="shared" si="23"/>
        <v>3.76526099333594E-4</v>
      </c>
      <c r="W75" s="2"/>
      <c r="X75" s="7">
        <f t="shared" si="24"/>
        <v>-48.53</v>
      </c>
      <c r="Y75" s="2"/>
      <c r="Z75" s="6">
        <f t="shared" si="25"/>
        <v>-0.84738955823293172</v>
      </c>
    </row>
    <row r="76" spans="1:26" s="24" customFormat="1" hidden="1" outlineLevel="2" x14ac:dyDescent="0.25">
      <c r="A76" s="29"/>
      <c r="B76" s="11" t="str">
        <f>CONCATENATE("          ", "6115", " - ", "P.E.R.S.")</f>
        <v xml:space="preserve">          6115 - P.E.R.S.</v>
      </c>
      <c r="C76" s="11"/>
      <c r="D76" s="7"/>
      <c r="E76" s="2"/>
      <c r="F76" s="6">
        <f t="shared" si="18"/>
        <v>0</v>
      </c>
      <c r="G76" s="2"/>
      <c r="H76" s="7">
        <v>384.57</v>
      </c>
      <c r="I76" s="2"/>
      <c r="J76" s="6">
        <f t="shared" si="19"/>
        <v>2.8842988675731275E-3</v>
      </c>
      <c r="K76" s="2"/>
      <c r="L76" s="7">
        <f t="shared" si="20"/>
        <v>-384.57</v>
      </c>
      <c r="M76" s="2"/>
      <c r="N76" s="6">
        <f t="shared" si="21"/>
        <v>-1</v>
      </c>
      <c r="O76" s="11"/>
      <c r="P76" s="7"/>
      <c r="Q76" s="2"/>
      <c r="R76" s="6">
        <f t="shared" si="22"/>
        <v>0</v>
      </c>
      <c r="S76" s="2"/>
      <c r="T76" s="7">
        <v>769.14</v>
      </c>
      <c r="U76" s="2"/>
      <c r="V76" s="6">
        <f t="shared" si="23"/>
        <v>5.056771154905544E-3</v>
      </c>
      <c r="W76" s="2"/>
      <c r="X76" s="7">
        <f t="shared" si="24"/>
        <v>-769.14</v>
      </c>
      <c r="Y76" s="2"/>
      <c r="Z76" s="6">
        <f t="shared" si="25"/>
        <v>-1</v>
      </c>
    </row>
    <row r="77" spans="1:26" s="24" customFormat="1" hidden="1" outlineLevel="2" x14ac:dyDescent="0.25">
      <c r="A77" s="29"/>
      <c r="B77" s="11" t="str">
        <f>CONCATENATE("          ", "6118", " - ", "VACATION")</f>
        <v xml:space="preserve">          6118 - VACATION</v>
      </c>
      <c r="C77" s="11"/>
      <c r="D77" s="7"/>
      <c r="E77" s="2"/>
      <c r="F77" s="6">
        <f t="shared" si="18"/>
        <v>0</v>
      </c>
      <c r="G77" s="2"/>
      <c r="H77" s="7">
        <v>317.27</v>
      </c>
      <c r="I77" s="2"/>
      <c r="J77" s="6">
        <f t="shared" si="19"/>
        <v>2.3795446907323146E-3</v>
      </c>
      <c r="K77" s="2"/>
      <c r="L77" s="7">
        <f t="shared" si="20"/>
        <v>-317.27</v>
      </c>
      <c r="M77" s="2"/>
      <c r="N77" s="6">
        <f t="shared" si="21"/>
        <v>-1</v>
      </c>
      <c r="O77" s="11"/>
      <c r="P77" s="7"/>
      <c r="Q77" s="2"/>
      <c r="R77" s="6">
        <f t="shared" si="22"/>
        <v>0</v>
      </c>
      <c r="S77" s="2"/>
      <c r="T77" s="7">
        <v>796.55</v>
      </c>
      <c r="U77" s="2"/>
      <c r="V77" s="6">
        <f t="shared" si="23"/>
        <v>5.2369803461528603E-3</v>
      </c>
      <c r="W77" s="2"/>
      <c r="X77" s="7">
        <f t="shared" si="24"/>
        <v>-796.55</v>
      </c>
      <c r="Y77" s="2"/>
      <c r="Z77" s="6">
        <f t="shared" si="25"/>
        <v>-1</v>
      </c>
    </row>
    <row r="78" spans="1:26" s="24" customFormat="1" hidden="1" outlineLevel="2" x14ac:dyDescent="0.25">
      <c r="A78" s="29"/>
      <c r="B78" s="11" t="str">
        <f>CONCATENATE("          ", "6119", " - ", "SICK LEAVE")</f>
        <v xml:space="preserve">          6119 - SICK LEAVE</v>
      </c>
      <c r="C78" s="11"/>
      <c r="D78" s="7"/>
      <c r="E78" s="2"/>
      <c r="F78" s="6">
        <f t="shared" si="18"/>
        <v>0</v>
      </c>
      <c r="G78" s="2"/>
      <c r="H78" s="7">
        <v>253.95</v>
      </c>
      <c r="I78" s="2"/>
      <c r="J78" s="6">
        <f t="shared" si="19"/>
        <v>1.9046407609022954E-3</v>
      </c>
      <c r="K78" s="2"/>
      <c r="L78" s="7">
        <f t="shared" si="20"/>
        <v>-253.95</v>
      </c>
      <c r="M78" s="2"/>
      <c r="N78" s="6">
        <f t="shared" si="21"/>
        <v>-1</v>
      </c>
      <c r="O78" s="11"/>
      <c r="P78" s="7"/>
      <c r="Q78" s="2"/>
      <c r="R78" s="6">
        <f t="shared" si="22"/>
        <v>0</v>
      </c>
      <c r="S78" s="2"/>
      <c r="T78" s="7">
        <v>715.41</v>
      </c>
      <c r="U78" s="2"/>
      <c r="V78" s="6">
        <f t="shared" si="23"/>
        <v>4.7035190627596731E-3</v>
      </c>
      <c r="W78" s="2"/>
      <c r="X78" s="7">
        <f t="shared" si="24"/>
        <v>-715.41</v>
      </c>
      <c r="Y78" s="2"/>
      <c r="Z78" s="6">
        <f t="shared" si="25"/>
        <v>-1</v>
      </c>
    </row>
    <row r="79" spans="1:26" s="24" customFormat="1" hidden="1" outlineLevel="2" x14ac:dyDescent="0.25">
      <c r="A79" s="29"/>
      <c r="B79" s="11" t="str">
        <f>CONCATENATE("          ", "6156", " - ", "EMPLOYEE MEALS")</f>
        <v xml:space="preserve">          6156 - EMPLOYEE MEALS</v>
      </c>
      <c r="C79" s="11"/>
      <c r="D79" s="7"/>
      <c r="E79" s="2"/>
      <c r="F79" s="6">
        <f t="shared" si="18"/>
        <v>0</v>
      </c>
      <c r="G79" s="2"/>
      <c r="H79" s="7">
        <v>150</v>
      </c>
      <c r="I79" s="2"/>
      <c r="J79" s="6">
        <f t="shared" si="19"/>
        <v>1.1250093094520351E-3</v>
      </c>
      <c r="K79" s="2"/>
      <c r="L79" s="7">
        <f t="shared" si="20"/>
        <v>-150</v>
      </c>
      <c r="M79" s="2"/>
      <c r="N79" s="6">
        <f t="shared" si="21"/>
        <v>-1</v>
      </c>
      <c r="O79" s="11"/>
      <c r="P79" s="7"/>
      <c r="Q79" s="2"/>
      <c r="R79" s="6">
        <f t="shared" si="22"/>
        <v>0</v>
      </c>
      <c r="S79" s="2"/>
      <c r="T79" s="7">
        <v>298.73</v>
      </c>
      <c r="U79" s="2"/>
      <c r="V79" s="6">
        <f t="shared" si="23"/>
        <v>1.964023776041986E-3</v>
      </c>
      <c r="W79" s="2"/>
      <c r="X79" s="7">
        <f t="shared" si="24"/>
        <v>-298.73</v>
      </c>
      <c r="Y79" s="2"/>
      <c r="Z79" s="6">
        <f t="shared" si="25"/>
        <v>-1</v>
      </c>
    </row>
    <row r="80" spans="1:26" s="28" customFormat="1" outlineLevel="1" collapsed="1" x14ac:dyDescent="0.25">
      <c r="A80" s="27"/>
      <c r="B80" s="14" t="str">
        <f>CONCATENATE("     ","*Payroll                                          ")</f>
        <v xml:space="preserve">     *Payroll                                          </v>
      </c>
      <c r="C80" s="14"/>
      <c r="D80" s="1">
        <f>SUM(OSRRefD22_1x_0)</f>
        <v>4507.12</v>
      </c>
      <c r="E80" s="1"/>
      <c r="F80" s="5">
        <f t="shared" ref="F80:F84" si="26">IF(D$12=0,0,D80/D$12)</f>
        <v>0.36353781353999132</v>
      </c>
      <c r="G80" s="1"/>
      <c r="H80" s="1">
        <f>SUM(OSRRefH22_1x_0)</f>
        <v>11027.45</v>
      </c>
      <c r="I80" s="1"/>
      <c r="J80" s="5">
        <f t="shared" ref="J80:J84" si="27">IF(H$12=0,0,H80/H$12)</f>
        <v>8.270655939677897E-2</v>
      </c>
      <c r="K80" s="1"/>
      <c r="L80" s="1">
        <f t="shared" ref="L80:L84" si="28">+D80-H80</f>
        <v>-6520.3300000000008</v>
      </c>
      <c r="M80" s="1"/>
      <c r="N80" s="5">
        <f t="shared" ref="N80:N84" si="29">IF(H80=0,0,L80/H80)</f>
        <v>-0.59128175598166399</v>
      </c>
      <c r="O80" s="14"/>
      <c r="P80" s="1">
        <f>SUM(OSRRefP22_1x_0)</f>
        <v>4507.12</v>
      </c>
      <c r="Q80" s="1"/>
      <c r="R80" s="5">
        <f t="shared" ref="R80:R84" si="30">IF(P$12=0,0,P80/P$12)</f>
        <v>0.36353781353999132</v>
      </c>
      <c r="S80" s="1"/>
      <c r="T80" s="1">
        <f>SUM(OSRRefT22_1x_0)</f>
        <v>26351.43</v>
      </c>
      <c r="U80" s="1"/>
      <c r="V80" s="5">
        <f t="shared" ref="V80:V84" si="31">IF(T$12=0,0,T80/T$12)</f>
        <v>0.17324953989457392</v>
      </c>
      <c r="W80" s="1"/>
      <c r="X80" s="1">
        <f t="shared" ref="X80:X84" si="32">+P80-T80</f>
        <v>-21844.31</v>
      </c>
      <c r="Y80" s="1"/>
      <c r="Z80" s="5">
        <f t="shared" ref="Z80:Z84" si="33">IF(T80=0,0,X80/T80)</f>
        <v>-0.82896108484435194</v>
      </c>
    </row>
    <row r="81" spans="1:26" s="24" customFormat="1" hidden="1" outlineLevel="2" x14ac:dyDescent="0.25">
      <c r="A81" s="29"/>
      <c r="B81" s="11" t="str">
        <f>CONCATENATE("          ", "6002", " - ", "STAFF SALARIES")</f>
        <v xml:space="preserve">          6002 - STAFF SALARIES</v>
      </c>
      <c r="C81" s="11"/>
      <c r="D81" s="7"/>
      <c r="E81" s="2"/>
      <c r="F81" s="6">
        <f t="shared" si="26"/>
        <v>0</v>
      </c>
      <c r="G81" s="2"/>
      <c r="H81" s="7">
        <v>3333.7</v>
      </c>
      <c r="I81" s="2"/>
      <c r="J81" s="6">
        <f t="shared" si="27"/>
        <v>2.5002956899468329E-2</v>
      </c>
      <c r="K81" s="2"/>
      <c r="L81" s="7">
        <f t="shared" si="28"/>
        <v>-3333.7</v>
      </c>
      <c r="M81" s="2"/>
      <c r="N81" s="6">
        <f t="shared" si="29"/>
        <v>-1</v>
      </c>
      <c r="O81" s="11"/>
      <c r="P81" s="7"/>
      <c r="Q81" s="2"/>
      <c r="R81" s="6">
        <f t="shared" si="30"/>
        <v>0</v>
      </c>
      <c r="S81" s="2"/>
      <c r="T81" s="7">
        <v>12113.11</v>
      </c>
      <c r="U81" s="2"/>
      <c r="V81" s="6">
        <f t="shared" si="31"/>
        <v>7.9638590171097451E-2</v>
      </c>
      <c r="W81" s="2"/>
      <c r="X81" s="7">
        <f t="shared" si="32"/>
        <v>-12113.11</v>
      </c>
      <c r="Y81" s="2"/>
      <c r="Z81" s="6">
        <f t="shared" si="33"/>
        <v>-1</v>
      </c>
    </row>
    <row r="82" spans="1:26" s="24" customFormat="1" hidden="1" outlineLevel="2" x14ac:dyDescent="0.25">
      <c r="A82" s="29"/>
      <c r="B82" s="11" t="str">
        <f>CONCATENATE("          ", "6005", " - ", "TEMPORARY WAGES-HOURLY")</f>
        <v xml:space="preserve">          6005 - TEMPORARY WAGES-HOURLY</v>
      </c>
      <c r="C82" s="11"/>
      <c r="D82" s="7">
        <v>2408.23</v>
      </c>
      <c r="E82" s="2"/>
      <c r="F82" s="6">
        <f t="shared" si="26"/>
        <v>0.19424436640280562</v>
      </c>
      <c r="G82" s="2"/>
      <c r="H82" s="7"/>
      <c r="I82" s="2"/>
      <c r="J82" s="6">
        <f t="shared" si="27"/>
        <v>0</v>
      </c>
      <c r="K82" s="2"/>
      <c r="L82" s="7">
        <f t="shared" si="28"/>
        <v>2408.23</v>
      </c>
      <c r="M82" s="2"/>
      <c r="N82" s="6">
        <f t="shared" si="29"/>
        <v>0</v>
      </c>
      <c r="O82" s="11"/>
      <c r="P82" s="7">
        <v>2408.23</v>
      </c>
      <c r="Q82" s="2"/>
      <c r="R82" s="6">
        <f t="shared" si="30"/>
        <v>0.19424436640280562</v>
      </c>
      <c r="S82" s="2"/>
      <c r="T82" s="7"/>
      <c r="U82" s="2"/>
      <c r="V82" s="6">
        <f t="shared" si="31"/>
        <v>0</v>
      </c>
      <c r="W82" s="2"/>
      <c r="X82" s="7">
        <f t="shared" si="32"/>
        <v>2408.23</v>
      </c>
      <c r="Y82" s="2"/>
      <c r="Z82" s="6">
        <f t="shared" si="33"/>
        <v>0</v>
      </c>
    </row>
    <row r="83" spans="1:26" s="24" customFormat="1" hidden="1" outlineLevel="2" x14ac:dyDescent="0.25">
      <c r="A83" s="29"/>
      <c r="B83" s="11" t="str">
        <f>CONCATENATE("          ", "6006", " - ", "TEMPORARY PART TIME")</f>
        <v xml:space="preserve">          6006 - TEMPORARY PART TIME</v>
      </c>
      <c r="C83" s="11"/>
      <c r="D83" s="7"/>
      <c r="E83" s="2"/>
      <c r="F83" s="6">
        <f t="shared" si="26"/>
        <v>0</v>
      </c>
      <c r="G83" s="2"/>
      <c r="H83" s="7"/>
      <c r="I83" s="2"/>
      <c r="J83" s="6">
        <f t="shared" si="27"/>
        <v>0</v>
      </c>
      <c r="K83" s="2"/>
      <c r="L83" s="7">
        <f t="shared" si="28"/>
        <v>0</v>
      </c>
      <c r="M83" s="2"/>
      <c r="N83" s="6">
        <f t="shared" si="29"/>
        <v>0</v>
      </c>
      <c r="O83" s="11"/>
      <c r="P83" s="7"/>
      <c r="Q83" s="2"/>
      <c r="R83" s="6">
        <f t="shared" si="30"/>
        <v>0</v>
      </c>
      <c r="S83" s="2"/>
      <c r="T83" s="7">
        <v>25.5</v>
      </c>
      <c r="U83" s="2"/>
      <c r="V83" s="6">
        <f t="shared" si="31"/>
        <v>1.6765174669122835E-4</v>
      </c>
      <c r="W83" s="2"/>
      <c r="X83" s="7">
        <f t="shared" si="32"/>
        <v>-25.5</v>
      </c>
      <c r="Y83" s="2"/>
      <c r="Z83" s="6">
        <f t="shared" si="33"/>
        <v>-1</v>
      </c>
    </row>
    <row r="84" spans="1:26" s="24" customFormat="1" hidden="1" outlineLevel="2" x14ac:dyDescent="0.25">
      <c r="A84" s="29"/>
      <c r="B84" s="11" t="str">
        <f>CONCATENATE("          ", "6007", " - ", "STUDENT HOURLY")</f>
        <v xml:space="preserve">          6007 - STUDENT HOURLY</v>
      </c>
      <c r="C84" s="11"/>
      <c r="D84" s="7">
        <v>2098.89</v>
      </c>
      <c r="E84" s="2"/>
      <c r="F84" s="6">
        <f t="shared" si="26"/>
        <v>0.16929344713718567</v>
      </c>
      <c r="G84" s="2"/>
      <c r="H84" s="7">
        <v>7693.75</v>
      </c>
      <c r="I84" s="2"/>
      <c r="J84" s="6">
        <f t="shared" si="27"/>
        <v>5.7703602497310637E-2</v>
      </c>
      <c r="K84" s="2"/>
      <c r="L84" s="7">
        <f t="shared" si="28"/>
        <v>-5594.8600000000006</v>
      </c>
      <c r="M84" s="2"/>
      <c r="N84" s="6">
        <f t="shared" si="29"/>
        <v>-0.72719545085296511</v>
      </c>
      <c r="O84" s="11"/>
      <c r="P84" s="7">
        <v>2098.89</v>
      </c>
      <c r="Q84" s="2"/>
      <c r="R84" s="6">
        <f t="shared" si="30"/>
        <v>0.16929344713718567</v>
      </c>
      <c r="S84" s="2"/>
      <c r="T84" s="7">
        <v>14212.82</v>
      </c>
      <c r="U84" s="2"/>
      <c r="V84" s="6">
        <f t="shared" si="31"/>
        <v>9.3443297976785258E-2</v>
      </c>
      <c r="W84" s="2"/>
      <c r="X84" s="7">
        <f t="shared" si="32"/>
        <v>-12113.93</v>
      </c>
      <c r="Y84" s="2"/>
      <c r="Z84" s="6">
        <f t="shared" si="33"/>
        <v>-0.85232416930630239</v>
      </c>
    </row>
    <row r="85" spans="1:26" s="28" customFormat="1" outlineLevel="1" collapsed="1" x14ac:dyDescent="0.25">
      <c r="A85" s="27"/>
      <c r="B85" s="14" t="str">
        <f>CONCATENATE("     ","Advertising/Promo                                 ")</f>
        <v xml:space="preserve">     Advertising/Promo                                 </v>
      </c>
      <c r="C85" s="14"/>
      <c r="D85" s="1">
        <f>SUM(OSRRefD22_2x_0)</f>
        <v>0</v>
      </c>
      <c r="E85" s="1"/>
      <c r="F85" s="5">
        <f t="shared" ref="F85:F91" si="34">IF(D$12=0,0,D85/D$12)</f>
        <v>0</v>
      </c>
      <c r="G85" s="1"/>
      <c r="H85" s="1">
        <f>SUM(OSRRefH22_2x_0)</f>
        <v>45.86</v>
      </c>
      <c r="I85" s="1"/>
      <c r="J85" s="5">
        <f t="shared" ref="J85:J91" si="35">IF(H$12=0,0,H85/H$12)</f>
        <v>3.4395284620980222E-4</v>
      </c>
      <c r="K85" s="1"/>
      <c r="L85" s="1">
        <f t="shared" ref="L85:L91" si="36">+D85-H85</f>
        <v>-45.86</v>
      </c>
      <c r="M85" s="1"/>
      <c r="N85" s="5">
        <f t="shared" ref="N85:N91" si="37">IF(H85=0,0,L85/H85)</f>
        <v>-1</v>
      </c>
      <c r="O85" s="14"/>
      <c r="P85" s="1">
        <f>SUM(OSRRefP22_2x_0)</f>
        <v>0</v>
      </c>
      <c r="Q85" s="1"/>
      <c r="R85" s="5">
        <f t="shared" ref="R85:R91" si="38">IF(P$12=0,0,P85/P$12)</f>
        <v>0</v>
      </c>
      <c r="S85" s="1"/>
      <c r="T85" s="1">
        <f>SUM(OSRRefT22_2x_0)</f>
        <v>45.86</v>
      </c>
      <c r="U85" s="1"/>
      <c r="V85" s="5">
        <f t="shared" ref="V85:V91" si="39">IF(T$12=0,0,T85/T$12)</f>
        <v>3.0151016091214635E-4</v>
      </c>
      <c r="W85" s="1"/>
      <c r="X85" s="1">
        <f t="shared" ref="X85:X91" si="40">+P85-T85</f>
        <v>-45.86</v>
      </c>
      <c r="Y85" s="1"/>
      <c r="Z85" s="5">
        <f t="shared" ref="Z85:Z91" si="41">IF(T85=0,0,X85/T85)</f>
        <v>-1</v>
      </c>
    </row>
    <row r="86" spans="1:26" s="24" customFormat="1" hidden="1" outlineLevel="2" x14ac:dyDescent="0.25">
      <c r="A86" s="29"/>
      <c r="B86" s="11" t="str">
        <f>CONCATENATE("          ", "6362", " - ", "ADVERTISING EXPENSE")</f>
        <v xml:space="preserve">          6362 - ADVERTISING EXPENSE</v>
      </c>
      <c r="C86" s="11"/>
      <c r="D86" s="7"/>
      <c r="E86" s="2"/>
      <c r="F86" s="6">
        <f t="shared" si="34"/>
        <v>0</v>
      </c>
      <c r="G86" s="2"/>
      <c r="H86" s="7">
        <v>45.86</v>
      </c>
      <c r="I86" s="2"/>
      <c r="J86" s="6">
        <f t="shared" si="35"/>
        <v>3.4395284620980222E-4</v>
      </c>
      <c r="K86" s="2"/>
      <c r="L86" s="7">
        <f t="shared" si="36"/>
        <v>-45.86</v>
      </c>
      <c r="M86" s="2"/>
      <c r="N86" s="6">
        <f t="shared" si="37"/>
        <v>-1</v>
      </c>
      <c r="O86" s="11"/>
      <c r="P86" s="7"/>
      <c r="Q86" s="2"/>
      <c r="R86" s="6">
        <f t="shared" si="38"/>
        <v>0</v>
      </c>
      <c r="S86" s="2"/>
      <c r="T86" s="7">
        <v>45.86</v>
      </c>
      <c r="U86" s="2"/>
      <c r="V86" s="6">
        <f t="shared" si="39"/>
        <v>3.0151016091214635E-4</v>
      </c>
      <c r="W86" s="2"/>
      <c r="X86" s="7">
        <f t="shared" si="40"/>
        <v>-45.86</v>
      </c>
      <c r="Y86" s="2"/>
      <c r="Z86" s="6">
        <f t="shared" si="41"/>
        <v>-1</v>
      </c>
    </row>
    <row r="87" spans="1:26" s="28" customFormat="1" outlineLevel="1" collapsed="1" x14ac:dyDescent="0.25">
      <c r="A87" s="27"/>
      <c r="B87" s="14" t="str">
        <f>CONCATENATE("     ","Bad Debts/Over/Short                              ")</f>
        <v xml:space="preserve">     Bad Debts/Over/Short                              </v>
      </c>
      <c r="C87" s="14"/>
      <c r="D87" s="1">
        <f>SUM(OSRRefD22_3x_0)</f>
        <v>0.3</v>
      </c>
      <c r="E87" s="1"/>
      <c r="F87" s="5">
        <f t="shared" si="34"/>
        <v>2.4197568305702396E-5</v>
      </c>
      <c r="G87" s="1"/>
      <c r="H87" s="1">
        <f>SUM(OSRRefH22_3x_0)</f>
        <v>-9.4499999999999993</v>
      </c>
      <c r="I87" s="1"/>
      <c r="J87" s="5">
        <f t="shared" si="35"/>
        <v>-7.0875586495478202E-5</v>
      </c>
      <c r="K87" s="1"/>
      <c r="L87" s="1">
        <f t="shared" si="36"/>
        <v>9.75</v>
      </c>
      <c r="M87" s="1"/>
      <c r="N87" s="5">
        <f t="shared" si="37"/>
        <v>-1.0317460317460319</v>
      </c>
      <c r="O87" s="14"/>
      <c r="P87" s="1">
        <f>SUM(OSRRefP22_3x_0)</f>
        <v>0.3</v>
      </c>
      <c r="Q87" s="1"/>
      <c r="R87" s="5">
        <f t="shared" si="38"/>
        <v>2.4197568305702396E-5</v>
      </c>
      <c r="S87" s="1"/>
      <c r="T87" s="1">
        <f>SUM(OSRRefT22_3x_0)</f>
        <v>-9.07</v>
      </c>
      <c r="U87" s="1"/>
      <c r="V87" s="5">
        <f t="shared" si="39"/>
        <v>-5.9631425195664355E-5</v>
      </c>
      <c r="W87" s="1"/>
      <c r="X87" s="1">
        <f t="shared" si="40"/>
        <v>9.370000000000001</v>
      </c>
      <c r="Y87" s="1"/>
      <c r="Z87" s="5">
        <f t="shared" si="41"/>
        <v>-1.0330760749724366</v>
      </c>
    </row>
    <row r="88" spans="1:26" s="24" customFormat="1" hidden="1" outlineLevel="2" x14ac:dyDescent="0.25">
      <c r="A88" s="29"/>
      <c r="B88" s="11" t="str">
        <f>CONCATENATE("          ", "6272", " - ", "CASH (OVER/SHORT)")</f>
        <v xml:space="preserve">          6272 - CASH (OVER/SHORT)</v>
      </c>
      <c r="C88" s="11"/>
      <c r="D88" s="7">
        <v>0.3</v>
      </c>
      <c r="E88" s="2"/>
      <c r="F88" s="6">
        <f t="shared" si="34"/>
        <v>2.4197568305702396E-5</v>
      </c>
      <c r="G88" s="2"/>
      <c r="H88" s="7">
        <v>-9.4499999999999993</v>
      </c>
      <c r="I88" s="2"/>
      <c r="J88" s="6">
        <f t="shared" si="35"/>
        <v>-7.0875586495478202E-5</v>
      </c>
      <c r="K88" s="2"/>
      <c r="L88" s="7">
        <f t="shared" si="36"/>
        <v>9.75</v>
      </c>
      <c r="M88" s="2"/>
      <c r="N88" s="6">
        <f t="shared" si="37"/>
        <v>-1.0317460317460319</v>
      </c>
      <c r="O88" s="11"/>
      <c r="P88" s="7">
        <v>0.3</v>
      </c>
      <c r="Q88" s="2"/>
      <c r="R88" s="6">
        <f t="shared" si="38"/>
        <v>2.4197568305702396E-5</v>
      </c>
      <c r="S88" s="2"/>
      <c r="T88" s="7">
        <v>-9.07</v>
      </c>
      <c r="U88" s="2"/>
      <c r="V88" s="6">
        <f t="shared" si="39"/>
        <v>-5.9631425195664355E-5</v>
      </c>
      <c r="W88" s="2"/>
      <c r="X88" s="7">
        <f t="shared" si="40"/>
        <v>9.370000000000001</v>
      </c>
      <c r="Y88" s="2"/>
      <c r="Z88" s="6">
        <f t="shared" si="41"/>
        <v>-1.0330760749724366</v>
      </c>
    </row>
    <row r="89" spans="1:26" s="28" customFormat="1" outlineLevel="1" collapsed="1" x14ac:dyDescent="0.25">
      <c r="A89" s="27"/>
      <c r="B89" s="14" t="str">
        <f>CONCATENATE("     ","Discounts and Markdowns                           ")</f>
        <v xml:space="preserve">     Discounts and Markdowns                           </v>
      </c>
      <c r="C89" s="14"/>
      <c r="D89" s="1">
        <f>SUM(OSRRefD22_4x_0)</f>
        <v>0</v>
      </c>
      <c r="E89" s="1"/>
      <c r="F89" s="5">
        <f t="shared" si="34"/>
        <v>0</v>
      </c>
      <c r="G89" s="1"/>
      <c r="H89" s="1">
        <f>SUM(OSRRefH22_4x_0)</f>
        <v>3215.8100000000004</v>
      </c>
      <c r="I89" s="1"/>
      <c r="J89" s="5">
        <f t="shared" si="35"/>
        <v>2.4118774582859662E-2</v>
      </c>
      <c r="K89" s="1"/>
      <c r="L89" s="1">
        <f t="shared" si="36"/>
        <v>-3215.8100000000004</v>
      </c>
      <c r="M89" s="1"/>
      <c r="N89" s="5">
        <f t="shared" si="37"/>
        <v>-1</v>
      </c>
      <c r="O89" s="14"/>
      <c r="P89" s="1">
        <f>SUM(OSRRefP22_4x_0)</f>
        <v>0</v>
      </c>
      <c r="Q89" s="1"/>
      <c r="R89" s="5">
        <f t="shared" si="38"/>
        <v>0</v>
      </c>
      <c r="S89" s="1"/>
      <c r="T89" s="1">
        <f>SUM(OSRRefT22_4x_0)</f>
        <v>5501.41</v>
      </c>
      <c r="U89" s="1"/>
      <c r="V89" s="5">
        <f t="shared" si="39"/>
        <v>3.6169450814297663E-2</v>
      </c>
      <c r="W89" s="1"/>
      <c r="X89" s="1">
        <f t="shared" si="40"/>
        <v>-5501.41</v>
      </c>
      <c r="Y89" s="1"/>
      <c r="Z89" s="5">
        <f t="shared" si="41"/>
        <v>-1</v>
      </c>
    </row>
    <row r="90" spans="1:26" s="24" customFormat="1" hidden="1" outlineLevel="2" x14ac:dyDescent="0.25">
      <c r="A90" s="29"/>
      <c r="B90" s="11" t="str">
        <f>CONCATENATE("          ", "6382", " - ", "DISCOUNTS/MARK DOWNS")</f>
        <v xml:space="preserve">          6382 - DISCOUNTS/MARK DOWNS</v>
      </c>
      <c r="C90" s="11"/>
      <c r="D90" s="7"/>
      <c r="E90" s="2"/>
      <c r="F90" s="6">
        <f t="shared" si="34"/>
        <v>0</v>
      </c>
      <c r="G90" s="2"/>
      <c r="H90" s="7">
        <v>3329.05</v>
      </c>
      <c r="I90" s="2"/>
      <c r="J90" s="6">
        <f t="shared" si="35"/>
        <v>2.4968081610875319E-2</v>
      </c>
      <c r="K90" s="2"/>
      <c r="L90" s="7">
        <f t="shared" si="36"/>
        <v>-3329.05</v>
      </c>
      <c r="M90" s="2"/>
      <c r="N90" s="6">
        <f t="shared" si="37"/>
        <v>-1</v>
      </c>
      <c r="O90" s="11"/>
      <c r="P90" s="7"/>
      <c r="Q90" s="2"/>
      <c r="R90" s="6">
        <f t="shared" si="38"/>
        <v>0</v>
      </c>
      <c r="S90" s="2"/>
      <c r="T90" s="7">
        <v>5614.65</v>
      </c>
      <c r="U90" s="2"/>
      <c r="V90" s="6">
        <f t="shared" si="39"/>
        <v>3.6913956061172752E-2</v>
      </c>
      <c r="W90" s="2"/>
      <c r="X90" s="7">
        <f t="shared" si="40"/>
        <v>-5614.65</v>
      </c>
      <c r="Y90" s="2"/>
      <c r="Z90" s="6">
        <f t="shared" si="41"/>
        <v>-1</v>
      </c>
    </row>
    <row r="91" spans="1:26" s="24" customFormat="1" hidden="1" outlineLevel="2" x14ac:dyDescent="0.25">
      <c r="A91" s="29"/>
      <c r="B91" s="11" t="str">
        <f>CONCATENATE("          ", "9175", " - ", "EARNED DISCOUNTS")</f>
        <v xml:space="preserve">          9175 - EARNED DISCOUNTS</v>
      </c>
      <c r="C91" s="11"/>
      <c r="D91" s="7"/>
      <c r="E91" s="2"/>
      <c r="F91" s="6">
        <f t="shared" si="34"/>
        <v>0</v>
      </c>
      <c r="G91" s="2"/>
      <c r="H91" s="7">
        <v>-113.24</v>
      </c>
      <c r="I91" s="2"/>
      <c r="J91" s="6">
        <f t="shared" si="35"/>
        <v>-8.493070280156563E-4</v>
      </c>
      <c r="K91" s="2"/>
      <c r="L91" s="7">
        <f t="shared" si="36"/>
        <v>113.24</v>
      </c>
      <c r="M91" s="2"/>
      <c r="N91" s="6">
        <f t="shared" si="37"/>
        <v>-1</v>
      </c>
      <c r="O91" s="11"/>
      <c r="P91" s="7"/>
      <c r="Q91" s="2"/>
      <c r="R91" s="6">
        <f t="shared" si="38"/>
        <v>0</v>
      </c>
      <c r="S91" s="2"/>
      <c r="T91" s="7">
        <v>-113.24</v>
      </c>
      <c r="U91" s="2"/>
      <c r="V91" s="6">
        <f t="shared" si="39"/>
        <v>-7.4450524687508614E-4</v>
      </c>
      <c r="W91" s="2"/>
      <c r="X91" s="7">
        <f t="shared" si="40"/>
        <v>113.24</v>
      </c>
      <c r="Y91" s="2"/>
      <c r="Z91" s="6">
        <f t="shared" si="41"/>
        <v>-1</v>
      </c>
    </row>
    <row r="92" spans="1:26" s="28" customFormat="1" outlineLevel="1" collapsed="1" x14ac:dyDescent="0.25">
      <c r="A92" s="27"/>
      <c r="B92" s="14" t="str">
        <f>CONCATENATE("     ","General                                           ")</f>
        <v xml:space="preserve">     General                                           </v>
      </c>
      <c r="C92" s="14"/>
      <c r="D92" s="1">
        <f>SUM(OSRRefD22_5x_0)</f>
        <v>0</v>
      </c>
      <c r="E92" s="1"/>
      <c r="F92" s="5">
        <f t="shared" ref="F92:F100" si="42">IF(D$12=0,0,D92/D$12)</f>
        <v>0</v>
      </c>
      <c r="G92" s="1"/>
      <c r="H92" s="1">
        <f>SUM(OSRRefH22_5x_0)</f>
        <v>0</v>
      </c>
      <c r="I92" s="1"/>
      <c r="J92" s="5">
        <f t="shared" ref="J92:J100" si="43">IF(H$12=0,0,H92/H$12)</f>
        <v>0</v>
      </c>
      <c r="K92" s="1"/>
      <c r="L92" s="1">
        <f t="shared" ref="L92:L100" si="44">+D92-H92</f>
        <v>0</v>
      </c>
      <c r="M92" s="1"/>
      <c r="N92" s="5">
        <f t="shared" ref="N92:N100" si="45">IF(H92=0,0,L92/H92)</f>
        <v>0</v>
      </c>
      <c r="O92" s="14"/>
      <c r="P92" s="1">
        <f>SUM(OSRRefP22_5x_0)</f>
        <v>719.55</v>
      </c>
      <c r="Q92" s="1"/>
      <c r="R92" s="5">
        <f t="shared" ref="R92:R100" si="46">IF(P$12=0,0,P92/P$12)</f>
        <v>5.8037867581227198E-2</v>
      </c>
      <c r="S92" s="1"/>
      <c r="T92" s="1">
        <f>SUM(OSRRefT22_5x_0)</f>
        <v>694.55</v>
      </c>
      <c r="U92" s="1"/>
      <c r="V92" s="5">
        <f t="shared" ref="V92:V100" si="47">IF(T$12=0,0,T92/T$12)</f>
        <v>4.5663733593879468E-3</v>
      </c>
      <c r="W92" s="1"/>
      <c r="X92" s="1">
        <f t="shared" ref="X92:X100" si="48">+P92-T92</f>
        <v>25</v>
      </c>
      <c r="Y92" s="1"/>
      <c r="Z92" s="5">
        <f t="shared" ref="Z92:Z100" si="49">IF(T92=0,0,X92/T92)</f>
        <v>3.5994528831617599E-2</v>
      </c>
    </row>
    <row r="93" spans="1:26" s="24" customFormat="1" hidden="1" outlineLevel="2" x14ac:dyDescent="0.25">
      <c r="A93" s="29"/>
      <c r="B93" s="11" t="str">
        <f>CONCATENATE("          ", "6279", " - ", "GENERAL EXPENSE")</f>
        <v xml:space="preserve">          6279 - GENERAL EXPENSE</v>
      </c>
      <c r="C93" s="11"/>
      <c r="D93" s="7"/>
      <c r="E93" s="2"/>
      <c r="F93" s="6">
        <f t="shared" si="42"/>
        <v>0</v>
      </c>
      <c r="G93" s="2"/>
      <c r="H93" s="7"/>
      <c r="I93" s="2"/>
      <c r="J93" s="6">
        <f t="shared" si="43"/>
        <v>0</v>
      </c>
      <c r="K93" s="2"/>
      <c r="L93" s="7">
        <f t="shared" si="44"/>
        <v>0</v>
      </c>
      <c r="M93" s="2"/>
      <c r="N93" s="6">
        <f t="shared" si="45"/>
        <v>0</v>
      </c>
      <c r="O93" s="11"/>
      <c r="P93" s="7">
        <v>719.55</v>
      </c>
      <c r="Q93" s="2"/>
      <c r="R93" s="6">
        <f t="shared" si="46"/>
        <v>5.8037867581227198E-2</v>
      </c>
      <c r="S93" s="2"/>
      <c r="T93" s="7">
        <v>694.55</v>
      </c>
      <c r="U93" s="2"/>
      <c r="V93" s="6">
        <f t="shared" si="47"/>
        <v>4.5663733593879468E-3</v>
      </c>
      <c r="W93" s="2"/>
      <c r="X93" s="7">
        <f t="shared" si="48"/>
        <v>25</v>
      </c>
      <c r="Y93" s="2"/>
      <c r="Z93" s="6">
        <f t="shared" si="49"/>
        <v>3.5994528831617599E-2</v>
      </c>
    </row>
    <row r="94" spans="1:26" s="28" customFormat="1" outlineLevel="1" collapsed="1" x14ac:dyDescent="0.25">
      <c r="A94" s="27"/>
      <c r="B94" s="14" t="str">
        <f>CONCATENATE("     ","Professional Services                             ")</f>
        <v xml:space="preserve">     Professional Services                             </v>
      </c>
      <c r="C94" s="14"/>
      <c r="D94" s="1">
        <f>SUM(OSRRefD22_6x_0)</f>
        <v>0</v>
      </c>
      <c r="E94" s="1"/>
      <c r="F94" s="5">
        <f t="shared" si="42"/>
        <v>0</v>
      </c>
      <c r="G94" s="1"/>
      <c r="H94" s="1">
        <f>SUM(OSRRefH22_6x_0)</f>
        <v>0</v>
      </c>
      <c r="I94" s="1"/>
      <c r="J94" s="5">
        <f t="shared" si="43"/>
        <v>0</v>
      </c>
      <c r="K94" s="1"/>
      <c r="L94" s="1">
        <f t="shared" si="44"/>
        <v>0</v>
      </c>
      <c r="M94" s="1"/>
      <c r="N94" s="5">
        <f t="shared" si="45"/>
        <v>0</v>
      </c>
      <c r="O94" s="14"/>
      <c r="P94" s="1">
        <f>SUM(OSRRefP22_6x_0)</f>
        <v>0</v>
      </c>
      <c r="Q94" s="1"/>
      <c r="R94" s="5">
        <f t="shared" si="46"/>
        <v>0</v>
      </c>
      <c r="S94" s="1"/>
      <c r="T94" s="1">
        <f>SUM(OSRRefT22_6x_0)</f>
        <v>750</v>
      </c>
      <c r="U94" s="1"/>
      <c r="V94" s="5">
        <f t="shared" si="47"/>
        <v>4.9309337262125981E-3</v>
      </c>
      <c r="W94" s="1"/>
      <c r="X94" s="1">
        <f t="shared" si="48"/>
        <v>-750</v>
      </c>
      <c r="Y94" s="1"/>
      <c r="Z94" s="5">
        <f t="shared" si="49"/>
        <v>-1</v>
      </c>
    </row>
    <row r="95" spans="1:26" s="24" customFormat="1" hidden="1" outlineLevel="2" x14ac:dyDescent="0.25">
      <c r="A95" s="29"/>
      <c r="B95" s="11" t="str">
        <f>CONCATENATE("          ", "6336", " - ", "PROFESSIONAL SERVICES")</f>
        <v xml:space="preserve">          6336 - PROFESSIONAL SERVICES</v>
      </c>
      <c r="C95" s="11"/>
      <c r="D95" s="7"/>
      <c r="E95" s="2"/>
      <c r="F95" s="6">
        <f t="shared" si="42"/>
        <v>0</v>
      </c>
      <c r="G95" s="2"/>
      <c r="H95" s="7"/>
      <c r="I95" s="2"/>
      <c r="J95" s="6">
        <f t="shared" si="43"/>
        <v>0</v>
      </c>
      <c r="K95" s="2"/>
      <c r="L95" s="7">
        <f t="shared" si="44"/>
        <v>0</v>
      </c>
      <c r="M95" s="2"/>
      <c r="N95" s="6">
        <f t="shared" si="45"/>
        <v>0</v>
      </c>
      <c r="O95" s="11"/>
      <c r="P95" s="7"/>
      <c r="Q95" s="2"/>
      <c r="R95" s="6">
        <f t="shared" si="46"/>
        <v>0</v>
      </c>
      <c r="S95" s="2"/>
      <c r="T95" s="7">
        <v>750</v>
      </c>
      <c r="U95" s="2"/>
      <c r="V95" s="6">
        <f t="shared" si="47"/>
        <v>4.9309337262125981E-3</v>
      </c>
      <c r="W95" s="2"/>
      <c r="X95" s="7">
        <f t="shared" si="48"/>
        <v>-750</v>
      </c>
      <c r="Y95" s="2"/>
      <c r="Z95" s="6">
        <f t="shared" si="49"/>
        <v>-1</v>
      </c>
    </row>
    <row r="96" spans="1:26" s="28" customFormat="1" outlineLevel="1" collapsed="1" x14ac:dyDescent="0.25">
      <c r="A96" s="27"/>
      <c r="B96" s="14" t="str">
        <f>CONCATENATE("     ","Repair and Maintenance                            ")</f>
        <v xml:space="preserve">     Repair and Maintenance                            </v>
      </c>
      <c r="C96" s="14"/>
      <c r="D96" s="1">
        <f>SUM(OSRRefD22_7x_0)</f>
        <v>78.599999999999994</v>
      </c>
      <c r="E96" s="1"/>
      <c r="F96" s="5">
        <f t="shared" si="42"/>
        <v>6.3397628960940276E-3</v>
      </c>
      <c r="G96" s="1"/>
      <c r="H96" s="1">
        <f>SUM(OSRRefH22_7x_0)</f>
        <v>0</v>
      </c>
      <c r="I96" s="1"/>
      <c r="J96" s="5">
        <f t="shared" si="43"/>
        <v>0</v>
      </c>
      <c r="K96" s="1"/>
      <c r="L96" s="1">
        <f t="shared" si="44"/>
        <v>78.599999999999994</v>
      </c>
      <c r="M96" s="1"/>
      <c r="N96" s="5">
        <f t="shared" si="45"/>
        <v>0</v>
      </c>
      <c r="O96" s="14"/>
      <c r="P96" s="1">
        <f>SUM(OSRRefP22_7x_0)</f>
        <v>78.599999999999994</v>
      </c>
      <c r="Q96" s="1"/>
      <c r="R96" s="5">
        <f t="shared" si="46"/>
        <v>6.3397628960940276E-3</v>
      </c>
      <c r="S96" s="1"/>
      <c r="T96" s="1">
        <f>SUM(OSRRefT22_7x_0)</f>
        <v>0</v>
      </c>
      <c r="U96" s="1"/>
      <c r="V96" s="5">
        <f t="shared" si="47"/>
        <v>0</v>
      </c>
      <c r="W96" s="1"/>
      <c r="X96" s="1">
        <f t="shared" si="48"/>
        <v>78.599999999999994</v>
      </c>
      <c r="Y96" s="1"/>
      <c r="Z96" s="5">
        <f t="shared" si="49"/>
        <v>0</v>
      </c>
    </row>
    <row r="97" spans="1:26" s="24" customFormat="1" hidden="1" outlineLevel="2" x14ac:dyDescent="0.25">
      <c r="A97" s="29"/>
      <c r="B97" s="11" t="str">
        <f>CONCATENATE("          ", "6373", " - ", "MAINTENANCE CONTRACTS")</f>
        <v xml:space="preserve">          6373 - MAINTENANCE CONTRACTS</v>
      </c>
      <c r="C97" s="11"/>
      <c r="D97" s="7">
        <v>78.599999999999994</v>
      </c>
      <c r="E97" s="2"/>
      <c r="F97" s="6">
        <f t="shared" si="42"/>
        <v>6.3397628960940276E-3</v>
      </c>
      <c r="G97" s="2"/>
      <c r="H97" s="7"/>
      <c r="I97" s="2"/>
      <c r="J97" s="6">
        <f t="shared" si="43"/>
        <v>0</v>
      </c>
      <c r="K97" s="2"/>
      <c r="L97" s="7">
        <f t="shared" si="44"/>
        <v>78.599999999999994</v>
      </c>
      <c r="M97" s="2"/>
      <c r="N97" s="6">
        <f t="shared" si="45"/>
        <v>0</v>
      </c>
      <c r="O97" s="11"/>
      <c r="P97" s="7">
        <v>78.599999999999994</v>
      </c>
      <c r="Q97" s="2"/>
      <c r="R97" s="6">
        <f t="shared" si="46"/>
        <v>6.3397628960940276E-3</v>
      </c>
      <c r="S97" s="2"/>
      <c r="T97" s="7"/>
      <c r="U97" s="2"/>
      <c r="V97" s="6">
        <f t="shared" si="47"/>
        <v>0</v>
      </c>
      <c r="W97" s="2"/>
      <c r="X97" s="7">
        <f t="shared" si="48"/>
        <v>78.599999999999994</v>
      </c>
      <c r="Y97" s="2"/>
      <c r="Z97" s="6">
        <f t="shared" si="49"/>
        <v>0</v>
      </c>
    </row>
    <row r="98" spans="1:26" s="28" customFormat="1" outlineLevel="1" collapsed="1" x14ac:dyDescent="0.25">
      <c r="A98" s="27"/>
      <c r="B98" s="14" t="str">
        <f>CONCATENATE("     ","Services                                          ")</f>
        <v xml:space="preserve">     Services                                          </v>
      </c>
      <c r="C98" s="14"/>
      <c r="D98" s="1">
        <f>SUM(OSRRefD22_8x_0)</f>
        <v>44</v>
      </c>
      <c r="E98" s="1"/>
      <c r="F98" s="5">
        <f t="shared" si="42"/>
        <v>3.5489766848363518E-3</v>
      </c>
      <c r="G98" s="1"/>
      <c r="H98" s="1">
        <f>SUM(OSRRefH22_8x_0)</f>
        <v>255.18</v>
      </c>
      <c r="I98" s="1"/>
      <c r="J98" s="5">
        <f t="shared" si="43"/>
        <v>1.9138658372398023E-3</v>
      </c>
      <c r="K98" s="1"/>
      <c r="L98" s="1">
        <f t="shared" si="44"/>
        <v>-211.18</v>
      </c>
      <c r="M98" s="1"/>
      <c r="N98" s="5">
        <f t="shared" si="45"/>
        <v>-0.82757269378477938</v>
      </c>
      <c r="O98" s="14"/>
      <c r="P98" s="1">
        <f>SUM(OSRRefP22_8x_0)</f>
        <v>-69.5</v>
      </c>
      <c r="Q98" s="1"/>
      <c r="R98" s="5">
        <f t="shared" si="46"/>
        <v>-5.6057699908210554E-3</v>
      </c>
      <c r="S98" s="1"/>
      <c r="T98" s="1">
        <f>SUM(OSRRefT22_8x_0)</f>
        <v>462.85</v>
      </c>
      <c r="U98" s="1"/>
      <c r="V98" s="5">
        <f t="shared" si="47"/>
        <v>3.0430435669033351E-3</v>
      </c>
      <c r="W98" s="1"/>
      <c r="X98" s="1">
        <f t="shared" si="48"/>
        <v>-532.35</v>
      </c>
      <c r="Y98" s="1"/>
      <c r="Z98" s="5">
        <f t="shared" si="49"/>
        <v>-1.1501566382197257</v>
      </c>
    </row>
    <row r="99" spans="1:26" s="24" customFormat="1" hidden="1" outlineLevel="2" x14ac:dyDescent="0.25">
      <c r="A99" s="29"/>
      <c r="B99" s="11" t="str">
        <f>CONCATENATE("          ", "6282", " - ", "JANITORIAL/EXTERMINATOR EXPENS")</f>
        <v xml:space="preserve">          6282 - JANITORIAL/EXTERMINATOR EXPENS</v>
      </c>
      <c r="C99" s="11"/>
      <c r="D99" s="7">
        <v>44</v>
      </c>
      <c r="E99" s="2"/>
      <c r="F99" s="6">
        <f t="shared" si="42"/>
        <v>3.5489766848363518E-3</v>
      </c>
      <c r="G99" s="2"/>
      <c r="H99" s="7">
        <v>44</v>
      </c>
      <c r="I99" s="2"/>
      <c r="J99" s="6">
        <f t="shared" si="43"/>
        <v>3.3000273077259698E-4</v>
      </c>
      <c r="K99" s="2"/>
      <c r="L99" s="7">
        <f t="shared" si="44"/>
        <v>0</v>
      </c>
      <c r="M99" s="2"/>
      <c r="N99" s="6">
        <f t="shared" si="45"/>
        <v>0</v>
      </c>
      <c r="O99" s="11"/>
      <c r="P99" s="7">
        <v>88</v>
      </c>
      <c r="Q99" s="2"/>
      <c r="R99" s="6">
        <f t="shared" si="46"/>
        <v>7.0979533696727036E-3</v>
      </c>
      <c r="S99" s="2"/>
      <c r="T99" s="7">
        <v>88</v>
      </c>
      <c r="U99" s="2"/>
      <c r="V99" s="6">
        <f t="shared" si="47"/>
        <v>5.7856289054227818E-4</v>
      </c>
      <c r="W99" s="2"/>
      <c r="X99" s="7">
        <f t="shared" si="48"/>
        <v>0</v>
      </c>
      <c r="Y99" s="2"/>
      <c r="Z99" s="6">
        <f t="shared" si="49"/>
        <v>0</v>
      </c>
    </row>
    <row r="100" spans="1:26" s="24" customFormat="1" hidden="1" outlineLevel="2" x14ac:dyDescent="0.25">
      <c r="A100" s="29"/>
      <c r="B100" s="11" t="str">
        <f>CONCATENATE("          ", "6285", " - ", "JANITORIAL SERVICES")</f>
        <v xml:space="preserve">          6285 - JANITORIAL SERVICES</v>
      </c>
      <c r="C100" s="11"/>
      <c r="D100" s="7"/>
      <c r="E100" s="2"/>
      <c r="F100" s="6">
        <f t="shared" si="42"/>
        <v>0</v>
      </c>
      <c r="G100" s="2"/>
      <c r="H100" s="7">
        <v>211.18</v>
      </c>
      <c r="I100" s="2"/>
      <c r="J100" s="6">
        <f t="shared" si="43"/>
        <v>1.5838631064672053E-3</v>
      </c>
      <c r="K100" s="2"/>
      <c r="L100" s="7">
        <f t="shared" si="44"/>
        <v>-211.18</v>
      </c>
      <c r="M100" s="2"/>
      <c r="N100" s="6">
        <f t="shared" si="45"/>
        <v>-1</v>
      </c>
      <c r="O100" s="11"/>
      <c r="P100" s="7">
        <v>-157.5</v>
      </c>
      <c r="Q100" s="2"/>
      <c r="R100" s="6">
        <f t="shared" si="46"/>
        <v>-1.2703723360493758E-2</v>
      </c>
      <c r="S100" s="2"/>
      <c r="T100" s="7">
        <v>374.85</v>
      </c>
      <c r="U100" s="2"/>
      <c r="V100" s="6">
        <f t="shared" si="47"/>
        <v>2.4644806763610568E-3</v>
      </c>
      <c r="W100" s="2"/>
      <c r="X100" s="7">
        <f t="shared" si="48"/>
        <v>-532.35</v>
      </c>
      <c r="Y100" s="2"/>
      <c r="Z100" s="6">
        <f t="shared" si="49"/>
        <v>-1.4201680672268908</v>
      </c>
    </row>
    <row r="101" spans="1:26" s="28" customFormat="1" outlineLevel="1" collapsed="1" x14ac:dyDescent="0.25">
      <c r="A101" s="27"/>
      <c r="B101" s="14" t="str">
        <f>CONCATENATE("     ","Subscriptions &amp; Dues                              ")</f>
        <v xml:space="preserve">     Subscriptions &amp; Dues                              </v>
      </c>
      <c r="C101" s="14"/>
      <c r="D101" s="1">
        <f>SUM(OSRRefD22_9x_0)</f>
        <v>0</v>
      </c>
      <c r="E101" s="1"/>
      <c r="F101" s="5">
        <f t="shared" ref="F101:F106" si="50">IF(D$12=0,0,D101/D$12)</f>
        <v>0</v>
      </c>
      <c r="G101" s="1"/>
      <c r="H101" s="1">
        <f>SUM(OSRRefH22_9x_0)</f>
        <v>120</v>
      </c>
      <c r="I101" s="1"/>
      <c r="J101" s="5">
        <f t="shared" ref="J101:J106" si="51">IF(H$12=0,0,H101/H$12)</f>
        <v>9.0000744756162814E-4</v>
      </c>
      <c r="K101" s="1"/>
      <c r="L101" s="1">
        <f t="shared" ref="L101:L106" si="52">+D101-H101</f>
        <v>-120</v>
      </c>
      <c r="M101" s="1"/>
      <c r="N101" s="5">
        <f t="shared" ref="N101:N106" si="53">IF(H101=0,0,L101/H101)</f>
        <v>-1</v>
      </c>
      <c r="O101" s="14"/>
      <c r="P101" s="1">
        <f>SUM(OSRRefP22_9x_0)</f>
        <v>0</v>
      </c>
      <c r="Q101" s="1"/>
      <c r="R101" s="5">
        <f t="shared" ref="R101:R106" si="54">IF(P$12=0,0,P101/P$12)</f>
        <v>0</v>
      </c>
      <c r="S101" s="1"/>
      <c r="T101" s="1">
        <f>SUM(OSRRefT22_9x_0)</f>
        <v>120</v>
      </c>
      <c r="U101" s="1"/>
      <c r="V101" s="5">
        <f t="shared" ref="V101:V106" si="55">IF(T$12=0,0,T101/T$12)</f>
        <v>7.8894939619401569E-4</v>
      </c>
      <c r="W101" s="1"/>
      <c r="X101" s="1">
        <f t="shared" ref="X101:X106" si="56">+P101-T101</f>
        <v>-120</v>
      </c>
      <c r="Y101" s="1"/>
      <c r="Z101" s="5">
        <f t="shared" ref="Z101:Z106" si="57">IF(T101=0,0,X101/T101)</f>
        <v>-1</v>
      </c>
    </row>
    <row r="102" spans="1:26" s="24" customFormat="1" hidden="1" outlineLevel="2" x14ac:dyDescent="0.25">
      <c r="A102" s="29"/>
      <c r="B102" s="11" t="str">
        <f>CONCATENATE("          ", "6258", " - ", "MEMBERSHIP DUES")</f>
        <v xml:space="preserve">          6258 - MEMBERSHIP DUES</v>
      </c>
      <c r="C102" s="11"/>
      <c r="D102" s="7"/>
      <c r="E102" s="2"/>
      <c r="F102" s="6">
        <f t="shared" si="50"/>
        <v>0</v>
      </c>
      <c r="G102" s="2"/>
      <c r="H102" s="7">
        <v>120</v>
      </c>
      <c r="I102" s="2"/>
      <c r="J102" s="6">
        <f t="shared" si="51"/>
        <v>9.0000744756162814E-4</v>
      </c>
      <c r="K102" s="2"/>
      <c r="L102" s="7">
        <f t="shared" si="52"/>
        <v>-120</v>
      </c>
      <c r="M102" s="2"/>
      <c r="N102" s="6">
        <f t="shared" si="53"/>
        <v>-1</v>
      </c>
      <c r="O102" s="11"/>
      <c r="P102" s="7"/>
      <c r="Q102" s="2"/>
      <c r="R102" s="6">
        <f t="shared" si="54"/>
        <v>0</v>
      </c>
      <c r="S102" s="2"/>
      <c r="T102" s="7">
        <v>120</v>
      </c>
      <c r="U102" s="2"/>
      <c r="V102" s="6">
        <f t="shared" si="55"/>
        <v>7.8894939619401569E-4</v>
      </c>
      <c r="W102" s="2"/>
      <c r="X102" s="7">
        <f t="shared" si="56"/>
        <v>-120</v>
      </c>
      <c r="Y102" s="2"/>
      <c r="Z102" s="6">
        <f t="shared" si="57"/>
        <v>-1</v>
      </c>
    </row>
    <row r="103" spans="1:26" s="28" customFormat="1" outlineLevel="1" collapsed="1" x14ac:dyDescent="0.25">
      <c r="A103" s="27"/>
      <c r="B103" s="14" t="str">
        <f>CONCATENATE("     ","Supplies                                          ")</f>
        <v xml:space="preserve">     Supplies                                          </v>
      </c>
      <c r="C103" s="14"/>
      <c r="D103" s="1">
        <f>SUM(OSRRefD22_10x_0)</f>
        <v>485.36</v>
      </c>
      <c r="E103" s="1"/>
      <c r="F103" s="5">
        <f t="shared" si="50"/>
        <v>3.9148439176185719E-2</v>
      </c>
      <c r="G103" s="1"/>
      <c r="H103" s="1">
        <f>SUM(OSRRefH22_10x_0)</f>
        <v>52.29</v>
      </c>
      <c r="I103" s="1"/>
      <c r="J103" s="5">
        <f t="shared" si="51"/>
        <v>3.9217824527497944E-4</v>
      </c>
      <c r="K103" s="1"/>
      <c r="L103" s="1">
        <f t="shared" si="52"/>
        <v>433.07</v>
      </c>
      <c r="M103" s="1"/>
      <c r="N103" s="5">
        <f t="shared" si="53"/>
        <v>8.2820807037674502</v>
      </c>
      <c r="O103" s="14"/>
      <c r="P103" s="1">
        <f>SUM(OSRRefP22_10x_0)</f>
        <v>929.66</v>
      </c>
      <c r="Q103" s="1"/>
      <c r="R103" s="5">
        <f t="shared" si="54"/>
        <v>7.4985037836930973E-2</v>
      </c>
      <c r="S103" s="1"/>
      <c r="T103" s="1">
        <f>SUM(OSRRefT22_10x_0)</f>
        <v>213.42</v>
      </c>
      <c r="U103" s="1"/>
      <c r="V103" s="5">
        <f t="shared" si="55"/>
        <v>1.4031465011310569E-3</v>
      </c>
      <c r="W103" s="1"/>
      <c r="X103" s="1">
        <f t="shared" si="56"/>
        <v>716.24</v>
      </c>
      <c r="Y103" s="1"/>
      <c r="Z103" s="5">
        <f t="shared" si="57"/>
        <v>3.3560116202792618</v>
      </c>
    </row>
    <row r="104" spans="1:26" s="24" customFormat="1" hidden="1" outlineLevel="2" x14ac:dyDescent="0.25">
      <c r="A104" s="29"/>
      <c r="B104" s="11" t="str">
        <f>CONCATENATE("          ", "6235", " - ", "COVID-19 EXPENSES")</f>
        <v xml:space="preserve">          6235 - COVID-19 EXPENSES</v>
      </c>
      <c r="C104" s="11"/>
      <c r="D104" s="7"/>
      <c r="E104" s="2"/>
      <c r="F104" s="6">
        <f t="shared" si="50"/>
        <v>0</v>
      </c>
      <c r="G104" s="2"/>
      <c r="H104" s="7"/>
      <c r="I104" s="2"/>
      <c r="J104" s="6">
        <f t="shared" si="51"/>
        <v>0</v>
      </c>
      <c r="K104" s="2"/>
      <c r="L104" s="7">
        <f t="shared" si="52"/>
        <v>0</v>
      </c>
      <c r="M104" s="2"/>
      <c r="N104" s="6">
        <f t="shared" si="53"/>
        <v>0</v>
      </c>
      <c r="O104" s="11"/>
      <c r="P104" s="7">
        <v>444.3</v>
      </c>
      <c r="Q104" s="2"/>
      <c r="R104" s="6">
        <f t="shared" si="54"/>
        <v>3.5836598660745254E-2</v>
      </c>
      <c r="S104" s="2"/>
      <c r="T104" s="7"/>
      <c r="U104" s="2"/>
      <c r="V104" s="6">
        <f t="shared" si="55"/>
        <v>0</v>
      </c>
      <c r="W104" s="2"/>
      <c r="X104" s="7">
        <f t="shared" si="56"/>
        <v>444.3</v>
      </c>
      <c r="Y104" s="2"/>
      <c r="Z104" s="6">
        <f t="shared" si="57"/>
        <v>0</v>
      </c>
    </row>
    <row r="105" spans="1:26" s="24" customFormat="1" hidden="1" outlineLevel="2" x14ac:dyDescent="0.25">
      <c r="A105" s="29"/>
      <c r="B105" s="11" t="str">
        <f>CONCATENATE("          ", "6241", " - ", "OFFICE EXPENSE")</f>
        <v xml:space="preserve">          6241 - OFFICE EXPENSE</v>
      </c>
      <c r="C105" s="11"/>
      <c r="D105" s="7">
        <v>225.24</v>
      </c>
      <c r="E105" s="2"/>
      <c r="F105" s="6">
        <f t="shared" si="50"/>
        <v>1.8167534283921361E-2</v>
      </c>
      <c r="G105" s="2"/>
      <c r="H105" s="7">
        <v>52.29</v>
      </c>
      <c r="I105" s="2"/>
      <c r="J105" s="6">
        <f t="shared" si="51"/>
        <v>3.9217824527497944E-4</v>
      </c>
      <c r="K105" s="2"/>
      <c r="L105" s="7">
        <f t="shared" si="52"/>
        <v>172.95000000000002</v>
      </c>
      <c r="M105" s="2"/>
      <c r="N105" s="6">
        <f t="shared" si="53"/>
        <v>3.3075157773952957</v>
      </c>
      <c r="O105" s="11"/>
      <c r="P105" s="7">
        <v>225.24</v>
      </c>
      <c r="Q105" s="2"/>
      <c r="R105" s="6">
        <f t="shared" si="54"/>
        <v>1.8167534283921361E-2</v>
      </c>
      <c r="S105" s="2"/>
      <c r="T105" s="7">
        <v>213.42</v>
      </c>
      <c r="U105" s="2"/>
      <c r="V105" s="6">
        <f t="shared" si="55"/>
        <v>1.4031465011310569E-3</v>
      </c>
      <c r="W105" s="2"/>
      <c r="X105" s="7">
        <f t="shared" si="56"/>
        <v>11.820000000000022</v>
      </c>
      <c r="Y105" s="2"/>
      <c r="Z105" s="6">
        <f t="shared" si="57"/>
        <v>5.538375035141984E-2</v>
      </c>
    </row>
    <row r="106" spans="1:26" s="24" customFormat="1" hidden="1" outlineLevel="2" x14ac:dyDescent="0.25">
      <c r="A106" s="29"/>
      <c r="B106" s="11" t="str">
        <f>CONCATENATE("          ", "6247", " - ", "STORE SUPPLIES")</f>
        <v xml:space="preserve">          6247 - STORE SUPPLIES</v>
      </c>
      <c r="C106" s="11"/>
      <c r="D106" s="7">
        <v>260.12</v>
      </c>
      <c r="E106" s="2"/>
      <c r="F106" s="6">
        <f t="shared" si="50"/>
        <v>2.0980904892264361E-2</v>
      </c>
      <c r="G106" s="2"/>
      <c r="H106" s="7"/>
      <c r="I106" s="2"/>
      <c r="J106" s="6">
        <f t="shared" si="51"/>
        <v>0</v>
      </c>
      <c r="K106" s="2"/>
      <c r="L106" s="7">
        <f t="shared" si="52"/>
        <v>260.12</v>
      </c>
      <c r="M106" s="2"/>
      <c r="N106" s="6">
        <f t="shared" si="53"/>
        <v>0</v>
      </c>
      <c r="O106" s="11"/>
      <c r="P106" s="7">
        <v>260.12</v>
      </c>
      <c r="Q106" s="2"/>
      <c r="R106" s="6">
        <f t="shared" si="54"/>
        <v>2.0980904892264361E-2</v>
      </c>
      <c r="S106" s="2"/>
      <c r="T106" s="7"/>
      <c r="U106" s="2"/>
      <c r="V106" s="6">
        <f t="shared" si="55"/>
        <v>0</v>
      </c>
      <c r="W106" s="2"/>
      <c r="X106" s="7">
        <f t="shared" si="56"/>
        <v>260.12</v>
      </c>
      <c r="Y106" s="2"/>
      <c r="Z106" s="6">
        <f t="shared" si="57"/>
        <v>0</v>
      </c>
    </row>
    <row r="107" spans="1:26" s="28" customFormat="1" outlineLevel="1" collapsed="1" x14ac:dyDescent="0.25">
      <c r="A107" s="27"/>
      <c r="B107" s="14" t="str">
        <f>CONCATENATE("     ","Telephone/Data Lines                              ")</f>
        <v xml:space="preserve">     Telephone/Data Lines                              </v>
      </c>
      <c r="C107" s="14"/>
      <c r="D107" s="1">
        <f>SUM(OSRRefD22_11x_0)</f>
        <v>53</v>
      </c>
      <c r="E107" s="1"/>
      <c r="F107" s="5">
        <f t="shared" ref="F107:F108" si="58">IF(D$12=0,0,D107/D$12)</f>
        <v>4.2749037340074235E-3</v>
      </c>
      <c r="G107" s="1"/>
      <c r="H107" s="1">
        <f>SUM(OSRRefH22_11x_0)</f>
        <v>103.5</v>
      </c>
      <c r="I107" s="1"/>
      <c r="J107" s="5">
        <f t="shared" ref="J107:J108" si="59">IF(H$12=0,0,H107/H$12)</f>
        <v>7.762564235219042E-4</v>
      </c>
      <c r="K107" s="1"/>
      <c r="L107" s="1">
        <f t="shared" ref="L107:L108" si="60">+D107-H107</f>
        <v>-50.5</v>
      </c>
      <c r="M107" s="1"/>
      <c r="N107" s="5">
        <f t="shared" ref="N107:N108" si="61">IF(H107=0,0,L107/H107)</f>
        <v>-0.48792270531400966</v>
      </c>
      <c r="O107" s="14"/>
      <c r="P107" s="1">
        <f>SUM(OSRRefP22_11x_0)</f>
        <v>106</v>
      </c>
      <c r="Q107" s="1"/>
      <c r="R107" s="5">
        <f t="shared" ref="R107:R108" si="62">IF(P$12=0,0,P107/P$12)</f>
        <v>8.5498074680148469E-3</v>
      </c>
      <c r="S107" s="1"/>
      <c r="T107" s="1">
        <f>SUM(OSRRefT22_11x_0)</f>
        <v>177.5</v>
      </c>
      <c r="U107" s="1"/>
      <c r="V107" s="5">
        <f t="shared" ref="V107:V108" si="63">IF(T$12=0,0,T107/T$12)</f>
        <v>1.1669876485369817E-3</v>
      </c>
      <c r="W107" s="1"/>
      <c r="X107" s="1">
        <f t="shared" ref="X107:X108" si="64">+P107-T107</f>
        <v>-71.5</v>
      </c>
      <c r="Y107" s="1"/>
      <c r="Z107" s="5">
        <f t="shared" ref="Z107:Z108" si="65">IF(T107=0,0,X107/T107)</f>
        <v>-0.40281690140845072</v>
      </c>
    </row>
    <row r="108" spans="1:26" s="24" customFormat="1" hidden="1" outlineLevel="2" x14ac:dyDescent="0.25">
      <c r="A108" s="29"/>
      <c r="B108" s="11" t="str">
        <f>CONCATENATE("          ", "6309", " - ", "TELEPHONE")</f>
        <v xml:space="preserve">          6309 - TELEPHONE</v>
      </c>
      <c r="C108" s="11"/>
      <c r="D108" s="7">
        <v>53</v>
      </c>
      <c r="E108" s="2"/>
      <c r="F108" s="6">
        <f t="shared" si="58"/>
        <v>4.2749037340074235E-3</v>
      </c>
      <c r="G108" s="2"/>
      <c r="H108" s="7">
        <v>103.5</v>
      </c>
      <c r="I108" s="2"/>
      <c r="J108" s="6">
        <f t="shared" si="59"/>
        <v>7.762564235219042E-4</v>
      </c>
      <c r="K108" s="2"/>
      <c r="L108" s="7">
        <f t="shared" si="60"/>
        <v>-50.5</v>
      </c>
      <c r="M108" s="2"/>
      <c r="N108" s="6">
        <f t="shared" si="61"/>
        <v>-0.48792270531400966</v>
      </c>
      <c r="O108" s="11"/>
      <c r="P108" s="7">
        <v>106</v>
      </c>
      <c r="Q108" s="2"/>
      <c r="R108" s="6">
        <f t="shared" si="62"/>
        <v>8.5498074680148469E-3</v>
      </c>
      <c r="S108" s="2"/>
      <c r="T108" s="7">
        <v>177.5</v>
      </c>
      <c r="U108" s="2"/>
      <c r="V108" s="6">
        <f t="shared" si="63"/>
        <v>1.1669876485369817E-3</v>
      </c>
      <c r="W108" s="2"/>
      <c r="X108" s="7">
        <f t="shared" si="64"/>
        <v>-71.5</v>
      </c>
      <c r="Y108" s="2"/>
      <c r="Z108" s="6">
        <f t="shared" si="65"/>
        <v>-0.40281690140845072</v>
      </c>
    </row>
    <row r="109" spans="1:26" s="52" customFormat="1" x14ac:dyDescent="0.25">
      <c r="A109" s="37"/>
      <c r="B109" s="37"/>
      <c r="C109" s="37"/>
      <c r="D109" s="1"/>
      <c r="E109" s="1"/>
      <c r="F109" s="5"/>
      <c r="G109" s="1"/>
      <c r="H109" s="1"/>
      <c r="I109" s="1"/>
      <c r="J109" s="5"/>
      <c r="K109" s="1"/>
      <c r="L109" s="1"/>
      <c r="M109" s="1"/>
      <c r="N109" s="5"/>
      <c r="O109" s="37"/>
      <c r="P109" s="1"/>
      <c r="Q109" s="1"/>
      <c r="R109" s="5"/>
      <c r="S109" s="1"/>
      <c r="T109" s="1"/>
      <c r="U109" s="1"/>
      <c r="V109" s="5"/>
      <c r="W109" s="1"/>
      <c r="X109" s="1"/>
      <c r="Y109" s="1"/>
      <c r="Z109" s="5"/>
    </row>
    <row r="110" spans="1:26" s="23" customFormat="1" x14ac:dyDescent="0.25">
      <c r="A110" s="10"/>
      <c r="B110" s="25" t="s">
        <v>0</v>
      </c>
      <c r="C110" s="10"/>
      <c r="D110" s="4">
        <f>SUM(0)</f>
        <v>0</v>
      </c>
      <c r="E110" s="4"/>
      <c r="F110" s="12">
        <f>IF(D$12=0,0,D110/D$12)</f>
        <v>0</v>
      </c>
      <c r="G110" s="4"/>
      <c r="H110" s="4">
        <f>SUM(0)</f>
        <v>0</v>
      </c>
      <c r="I110" s="4"/>
      <c r="J110" s="12">
        <f>IF(H$12=0,0,H110/H$12)</f>
        <v>0</v>
      </c>
      <c r="K110" s="4"/>
      <c r="L110" s="4">
        <f>+D110-H110</f>
        <v>0</v>
      </c>
      <c r="M110" s="4"/>
      <c r="N110" s="12">
        <f>IF(H110=0,0,L110/H110)</f>
        <v>0</v>
      </c>
      <c r="O110" s="10"/>
      <c r="P110" s="4">
        <f>SUM(0)</f>
        <v>0</v>
      </c>
      <c r="Q110" s="4"/>
      <c r="R110" s="12">
        <f>IF(P$12=0,0,P110/P$12)</f>
        <v>0</v>
      </c>
      <c r="S110" s="4"/>
      <c r="T110" s="4">
        <f>SUM(0)</f>
        <v>0</v>
      </c>
      <c r="U110" s="4"/>
      <c r="V110" s="12">
        <f>IF(T$12=0,0,T110/T$12)</f>
        <v>0</v>
      </c>
      <c r="W110" s="4"/>
      <c r="X110" s="4">
        <f>+P110-T110</f>
        <v>0</v>
      </c>
      <c r="Y110" s="4"/>
      <c r="Z110" s="12">
        <f>IF(T110=0,0,X110/T110)</f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6" t="s">
        <v>3</v>
      </c>
      <c r="C112" s="26"/>
      <c r="D112" s="22">
        <f>+D68-D70+D110</f>
        <v>-2088.7799999999997</v>
      </c>
      <c r="E112" s="13"/>
      <c r="F112" s="21">
        <f>IF(D$12=0,0,D112/D$12)</f>
        <v>-0.1684779890852835</v>
      </c>
      <c r="G112" s="13"/>
      <c r="H112" s="22">
        <f>+H68-H70+H110</f>
        <v>52353.050000000061</v>
      </c>
      <c r="I112" s="13"/>
      <c r="J112" s="21">
        <f>IF(H$12=0,0,H112/H$12)</f>
        <v>0.39265112418805292</v>
      </c>
      <c r="K112" s="16"/>
      <c r="L112" s="22">
        <f>+D112-H112</f>
        <v>-54441.83000000006</v>
      </c>
      <c r="M112" s="16"/>
      <c r="N112" s="21">
        <f>IF(H112=0,0,L112/H112)</f>
        <v>-1.0398979620098541</v>
      </c>
      <c r="O112" s="25"/>
      <c r="P112" s="22">
        <f>+P68-P70+P110</f>
        <v>-3230.1799999999994</v>
      </c>
      <c r="Q112" s="13"/>
      <c r="R112" s="21">
        <f>IF(P$12=0,0,P112/P$12)</f>
        <v>-0.26054167063237921</v>
      </c>
      <c r="S112" s="13"/>
      <c r="T112" s="22">
        <f>+T68-T70+T110</f>
        <v>38148.910000000047</v>
      </c>
      <c r="U112" s="13"/>
      <c r="V112" s="21">
        <f>IF(T$12=0,0,T112/T$12)</f>
        <v>0.25081299591633238</v>
      </c>
      <c r="W112" s="16"/>
      <c r="X112" s="22">
        <f>+P112-T112</f>
        <v>-41379.090000000047</v>
      </c>
      <c r="Y112" s="16"/>
      <c r="Z112" s="21">
        <f>IF(T112=0,0,X112/T112)</f>
        <v>-1.0846729303668177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1"/>
      <c r="B114" s="10" t="s">
        <v>13</v>
      </c>
      <c r="C114" s="10"/>
      <c r="D114" s="4">
        <v>2093.23</v>
      </c>
      <c r="E114" s="4"/>
      <c r="F114" s="12">
        <f>IF(D$12=0,0,D114/D$12)</f>
        <v>0.1688369196818181</v>
      </c>
      <c r="G114" s="4"/>
      <c r="H114" s="4">
        <v>15061.64</v>
      </c>
      <c r="I114" s="4"/>
      <c r="J114" s="12">
        <f>IF(H$12=0,0,H114/H$12)</f>
        <v>0.11296323477076767</v>
      </c>
      <c r="K114" s="4"/>
      <c r="L114" s="4">
        <f>+D114-H114</f>
        <v>-12968.41</v>
      </c>
      <c r="M114" s="4"/>
      <c r="N114" s="12">
        <f>IF(H114=0,0,L114/H114)</f>
        <v>-0.86102243845955684</v>
      </c>
      <c r="O114" s="10"/>
      <c r="P114" s="4">
        <v>2093.23</v>
      </c>
      <c r="Q114" s="4"/>
      <c r="R114" s="12">
        <f>IF(P$12=0,0,P114/P$12)</f>
        <v>0.1688369196818181</v>
      </c>
      <c r="S114" s="4"/>
      <c r="T114" s="4">
        <v>18964.22</v>
      </c>
      <c r="U114" s="4"/>
      <c r="V114" s="12">
        <f>IF(T$12=0,0,T114/T$12)</f>
        <v>0.12468174931908732</v>
      </c>
      <c r="W114" s="4"/>
      <c r="X114" s="4">
        <f>+P114-T114</f>
        <v>-16870.990000000002</v>
      </c>
      <c r="Y114" s="4"/>
      <c r="Z114" s="12">
        <f>IF(T114=0,0,X114/T114)</f>
        <v>-0.88962214106353965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6" t="s">
        <v>4</v>
      </c>
      <c r="C116" s="26"/>
      <c r="D116" s="36">
        <f>+D112-D114</f>
        <v>-4182.01</v>
      </c>
      <c r="E116" s="13"/>
      <c r="F116" s="34">
        <f>IF(D$12=0,0,D116/D$12)</f>
        <v>-0.33731490876710163</v>
      </c>
      <c r="G116" s="13"/>
      <c r="H116" s="36">
        <f>+H112-H114</f>
        <v>37291.410000000062</v>
      </c>
      <c r="I116" s="13"/>
      <c r="J116" s="34">
        <f>IF(H$12=0,0,H116/H$12)</f>
        <v>0.27968788941728523</v>
      </c>
      <c r="K116" s="16"/>
      <c r="L116" s="36">
        <f>D116-H116</f>
        <v>-41473.420000000064</v>
      </c>
      <c r="M116" s="16"/>
      <c r="N116" s="34">
        <f>IF(H116=0,0,L116/H116)</f>
        <v>-1.112144056768033</v>
      </c>
      <c r="O116" s="25"/>
      <c r="P116" s="36">
        <f>+P112-P114</f>
        <v>-5323.41</v>
      </c>
      <c r="Q116" s="13"/>
      <c r="R116" s="34">
        <f>IF(P$12=0,0,P116/P$12)</f>
        <v>-0.42937859031419734</v>
      </c>
      <c r="S116" s="13"/>
      <c r="T116" s="36">
        <f>+T112-T114</f>
        <v>19184.690000000046</v>
      </c>
      <c r="U116" s="13"/>
      <c r="V116" s="34">
        <f>IF(T$12=0,0,T116/T$12)</f>
        <v>0.12613124659724506</v>
      </c>
      <c r="W116" s="16"/>
      <c r="X116" s="36">
        <f>P116-T116</f>
        <v>-24508.100000000046</v>
      </c>
      <c r="Y116" s="16"/>
      <c r="Z116" s="34">
        <f>IF(T116=0,0,X116/T116)</f>
        <v>-1.2774822006506223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6" t="s">
        <v>5</v>
      </c>
      <c r="C119" s="26"/>
      <c r="D119" s="30">
        <f>SUM(D116:D118)</f>
        <v>-4182.01</v>
      </c>
      <c r="E119" s="13"/>
      <c r="F119" s="31">
        <f>IF(D$12=0,0,D119/D$12)</f>
        <v>-0.33731490876710163</v>
      </c>
      <c r="G119" s="13"/>
      <c r="H119" s="30">
        <f>SUM(H116:H118)</f>
        <v>37291.410000000062</v>
      </c>
      <c r="I119" s="13"/>
      <c r="J119" s="31">
        <f>IF(H$12=0,0,H119/H$12)</f>
        <v>0.27968788941728523</v>
      </c>
      <c r="K119" s="16"/>
      <c r="L119" s="30">
        <f>+D119-H119</f>
        <v>-41473.420000000064</v>
      </c>
      <c r="M119" s="16"/>
      <c r="N119" s="31">
        <f>IF(H119=0,0,L119/H119)</f>
        <v>-1.112144056768033</v>
      </c>
      <c r="O119" s="25"/>
      <c r="P119" s="30">
        <f>SUM(P116:P118)</f>
        <v>-5323.41</v>
      </c>
      <c r="Q119" s="13"/>
      <c r="R119" s="31">
        <f>IF(P$12=0,0,P119/P$12)</f>
        <v>-0.42937859031419734</v>
      </c>
      <c r="S119" s="13"/>
      <c r="T119" s="30">
        <f>SUM(T116:T118)</f>
        <v>19184.690000000046</v>
      </c>
      <c r="U119" s="13"/>
      <c r="V119" s="31">
        <f>IF(T$12=0,0,T119/T$12)</f>
        <v>0.12613124659724506</v>
      </c>
      <c r="W119" s="16"/>
      <c r="X119" s="30">
        <f>+P119-T119</f>
        <v>-24508.100000000046</v>
      </c>
      <c r="Y119" s="16"/>
      <c r="Z119" s="31">
        <f>IF(T119=0,0,X119/T119)</f>
        <v>-1.2774822006506223</v>
      </c>
    </row>
    <row r="120" spans="1:26" ht="15.75" thickTop="1" x14ac:dyDescent="0.25">
      <c r="A120" s="9"/>
      <c r="C120" s="9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61">
        <v>44113.695724189813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6" t="s">
        <v>313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8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","307", " - ", "Art Store")</f>
        <v>Department 307 - Art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12397.94</v>
      </c>
      <c r="E12" s="4"/>
      <c r="F12" s="12"/>
      <c r="G12" s="4"/>
      <c r="H12" s="4">
        <f>SUM(OSRRefH13x_0)</f>
        <v>53259.419999999991</v>
      </c>
      <c r="I12" s="4"/>
      <c r="J12" s="12"/>
      <c r="K12" s="4"/>
      <c r="L12" s="4">
        <f t="shared" ref="L12:L34" si="0">+D12-H12</f>
        <v>-40861.479999999989</v>
      </c>
      <c r="M12" s="4"/>
      <c r="N12" s="12">
        <f t="shared" ref="N12:N34" si="1">IF(H12=0,0,L12/H12)</f>
        <v>-0.76721601549547469</v>
      </c>
      <c r="O12" s="10"/>
      <c r="P12" s="4">
        <f>SUM(OSRRefP13x_0)</f>
        <v>12397.94</v>
      </c>
      <c r="Q12" s="4"/>
      <c r="R12" s="12"/>
      <c r="S12" s="4"/>
      <c r="T12" s="4">
        <f>SUM(OSRRefT13x_0)</f>
        <v>55685.37999999999</v>
      </c>
      <c r="U12" s="4"/>
      <c r="V12" s="12"/>
      <c r="W12" s="4"/>
      <c r="X12" s="4">
        <f t="shared" ref="X12:X34" si="2">+P12-T12</f>
        <v>-43287.439999999988</v>
      </c>
      <c r="Y12" s="4"/>
      <c r="Z12" s="12">
        <f t="shared" ref="Z12:Z34" si="3">IF(T12=0,0,X12/T12)</f>
        <v>-0.77735736022632862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-1069.53</f>
        <v>-1069.53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-1069.53</v>
      </c>
      <c r="M13" s="2"/>
      <c r="N13" s="19">
        <f t="shared" si="1"/>
        <v>0</v>
      </c>
      <c r="O13" s="11"/>
      <c r="P13" s="2">
        <f>-1069.53</f>
        <v>-1069.53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-1069.53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"4025", " - ", "TAXABLE SALES-TEST FORMS")</f>
        <v xml:space="preserve">          4025 - TAXABLE SALES-TEST FORMS</v>
      </c>
      <c r="C14" s="11"/>
      <c r="D14" s="2">
        <f t="shared" ref="D14:D15" si="4">0</f>
        <v>0</v>
      </c>
      <c r="E14" s="2"/>
      <c r="F14" s="19"/>
      <c r="G14" s="2"/>
      <c r="H14" s="2">
        <f>--101.25</f>
        <v>101.25</v>
      </c>
      <c r="I14" s="2"/>
      <c r="J14" s="19"/>
      <c r="K14" s="2"/>
      <c r="L14" s="2">
        <f t="shared" si="0"/>
        <v>-101.25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--102.72</f>
        <v>102.72</v>
      </c>
      <c r="U14" s="2"/>
      <c r="V14" s="19"/>
      <c r="W14" s="2"/>
      <c r="X14" s="2">
        <f t="shared" si="2"/>
        <v>-102.72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"4026", " - ", "TAXABLE SALES-WRITING INSTRUME")</f>
        <v xml:space="preserve">          4026 - TAXABLE SALES-WRITING INSTRUME</v>
      </c>
      <c r="C15" s="11"/>
      <c r="D15" s="2">
        <f t="shared" si="4"/>
        <v>0</v>
      </c>
      <c r="E15" s="2"/>
      <c r="F15" s="19"/>
      <c r="G15" s="2"/>
      <c r="H15" s="2">
        <f>--650.62</f>
        <v>650.62</v>
      </c>
      <c r="I15" s="2"/>
      <c r="J15" s="19"/>
      <c r="K15" s="2"/>
      <c r="L15" s="2">
        <f t="shared" si="0"/>
        <v>-650.62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--673.42</f>
        <v>673.42</v>
      </c>
      <c r="U15" s="2"/>
      <c r="V15" s="19"/>
      <c r="W15" s="2"/>
      <c r="X15" s="2">
        <f t="shared" si="2"/>
        <v>-673.42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"4027", " - ", "TAXABLE SALES-SCHOOL SUPPLIES")</f>
        <v xml:space="preserve">          4027 - TAXABLE SALES-SCHOOL SUPPLIES</v>
      </c>
      <c r="C16" s="11"/>
      <c r="D16" s="2">
        <f>--3388.87</f>
        <v>3388.87</v>
      </c>
      <c r="E16" s="2"/>
      <c r="F16" s="19"/>
      <c r="G16" s="2"/>
      <c r="H16" s="2">
        <f>--3262.97</f>
        <v>3262.97</v>
      </c>
      <c r="I16" s="2"/>
      <c r="J16" s="19"/>
      <c r="K16" s="2"/>
      <c r="L16" s="2">
        <f t="shared" si="0"/>
        <v>125.90000000000009</v>
      </c>
      <c r="M16" s="2"/>
      <c r="N16" s="19">
        <f t="shared" si="1"/>
        <v>3.8584479783755322E-2</v>
      </c>
      <c r="O16" s="11"/>
      <c r="P16" s="2">
        <f>--3388.87</f>
        <v>3388.87</v>
      </c>
      <c r="Q16" s="2"/>
      <c r="R16" s="19"/>
      <c r="S16" s="2"/>
      <c r="T16" s="2">
        <f>--3335.08</f>
        <v>3335.08</v>
      </c>
      <c r="U16" s="2"/>
      <c r="V16" s="19"/>
      <c r="W16" s="2"/>
      <c r="X16" s="2">
        <f t="shared" si="2"/>
        <v>53.789999999999964</v>
      </c>
      <c r="Y16" s="2"/>
      <c r="Z16" s="19">
        <f t="shared" si="3"/>
        <v>1.6128548640512361E-2</v>
      </c>
    </row>
    <row r="17" spans="1:26" s="24" customFormat="1" hidden="1" outlineLevel="1" x14ac:dyDescent="0.25">
      <c r="A17" s="44"/>
      <c r="B17" s="11" t="str">
        <f>CONCATENATE("          ", "4028", " - ", "TAXABLE SALES-ART/TECH")</f>
        <v xml:space="preserve">          4028 - TAXABLE SALES-ART/TECH</v>
      </c>
      <c r="C17" s="11"/>
      <c r="D17" s="2">
        <f>--9671.25</f>
        <v>9671.25</v>
      </c>
      <c r="E17" s="2"/>
      <c r="F17" s="19"/>
      <c r="G17" s="2"/>
      <c r="H17" s="2">
        <f>--44894.72</f>
        <v>44894.720000000001</v>
      </c>
      <c r="I17" s="2"/>
      <c r="J17" s="19"/>
      <c r="K17" s="2"/>
      <c r="L17" s="2">
        <f t="shared" si="0"/>
        <v>-35223.47</v>
      </c>
      <c r="M17" s="2"/>
      <c r="N17" s="19">
        <f t="shared" si="1"/>
        <v>-0.78457934474254432</v>
      </c>
      <c r="O17" s="11"/>
      <c r="P17" s="2">
        <f>--9671.25</f>
        <v>9671.25</v>
      </c>
      <c r="Q17" s="2"/>
      <c r="R17" s="19"/>
      <c r="S17" s="2"/>
      <c r="T17" s="2">
        <f>--46751.09</f>
        <v>46751.09</v>
      </c>
      <c r="U17" s="2"/>
      <c r="V17" s="19"/>
      <c r="W17" s="2"/>
      <c r="X17" s="2">
        <f t="shared" si="2"/>
        <v>-37079.839999999997</v>
      </c>
      <c r="Y17" s="2"/>
      <c r="Z17" s="19">
        <f t="shared" si="3"/>
        <v>-0.79313316545132961</v>
      </c>
    </row>
    <row r="18" spans="1:26" s="24" customFormat="1" hidden="1" outlineLevel="1" x14ac:dyDescent="0.25">
      <c r="A18" s="44"/>
      <c r="B18" s="11" t="str">
        <f>CONCATENATE("          ", "4031", " - ", "TAXABLE SALES-FOOD")</f>
        <v xml:space="preserve">          4031 - TAXABLE SALES-FOOD</v>
      </c>
      <c r="C18" s="11"/>
      <c r="D18" s="2">
        <f>--125.04</f>
        <v>125.04</v>
      </c>
      <c r="E18" s="2"/>
      <c r="F18" s="19"/>
      <c r="G18" s="2"/>
      <c r="H18" s="2">
        <f>--30.82</f>
        <v>30.82</v>
      </c>
      <c r="I18" s="2"/>
      <c r="J18" s="19"/>
      <c r="K18" s="2"/>
      <c r="L18" s="2">
        <f t="shared" si="0"/>
        <v>94.22</v>
      </c>
      <c r="M18" s="2"/>
      <c r="N18" s="19">
        <f t="shared" si="1"/>
        <v>3.0571057754704736</v>
      </c>
      <c r="O18" s="11"/>
      <c r="P18" s="2">
        <f>--125.04</f>
        <v>125.04</v>
      </c>
      <c r="Q18" s="2"/>
      <c r="R18" s="19"/>
      <c r="S18" s="2"/>
      <c r="T18" s="2">
        <f>--32.34</f>
        <v>32.340000000000003</v>
      </c>
      <c r="U18" s="2"/>
      <c r="V18" s="19"/>
      <c r="W18" s="2"/>
      <c r="X18" s="2">
        <f t="shared" si="2"/>
        <v>92.7</v>
      </c>
      <c r="Y18" s="2"/>
      <c r="Z18" s="19">
        <f t="shared" si="3"/>
        <v>2.8664192949907235</v>
      </c>
    </row>
    <row r="19" spans="1:26" s="24" customFormat="1" hidden="1" outlineLevel="1" x14ac:dyDescent="0.25">
      <c r="A19" s="44"/>
      <c r="B19" s="11" t="str">
        <f>CONCATENATE("          ", "4032", " - ", "TAXABLE SALES-JUICE")</f>
        <v xml:space="preserve">          4032 - TAXABLE SALES-JUICE</v>
      </c>
      <c r="C19" s="11"/>
      <c r="D19" s="2">
        <f t="shared" ref="D19:D27" si="6">0</f>
        <v>0</v>
      </c>
      <c r="E19" s="2"/>
      <c r="F19" s="19"/>
      <c r="G19" s="2"/>
      <c r="H19" s="2">
        <f>--2.34</f>
        <v>2.34</v>
      </c>
      <c r="I19" s="2"/>
      <c r="J19" s="19"/>
      <c r="K19" s="2"/>
      <c r="L19" s="2">
        <f t="shared" si="0"/>
        <v>-2.34</v>
      </c>
      <c r="M19" s="2"/>
      <c r="N19" s="19">
        <f t="shared" si="1"/>
        <v>-1</v>
      </c>
      <c r="O19" s="11"/>
      <c r="P19" s="2">
        <f t="shared" ref="P19:P27" si="7">0</f>
        <v>0</v>
      </c>
      <c r="Q19" s="2"/>
      <c r="R19" s="19"/>
      <c r="S19" s="2"/>
      <c r="T19" s="2">
        <f>--3.81</f>
        <v>3.81</v>
      </c>
      <c r="U19" s="2"/>
      <c r="V19" s="19"/>
      <c r="W19" s="2"/>
      <c r="X19" s="2">
        <f t="shared" si="2"/>
        <v>-3.81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"4033", " - ", "TAXABLE SALES-CANDY")</f>
        <v xml:space="preserve">          4033 - TAXABLE SALES-CANDY</v>
      </c>
      <c r="C20" s="11"/>
      <c r="D20" s="2">
        <f t="shared" si="6"/>
        <v>0</v>
      </c>
      <c r="E20" s="2"/>
      <c r="F20" s="19"/>
      <c r="G20" s="2"/>
      <c r="H20" s="2">
        <f>--9.83</f>
        <v>9.83</v>
      </c>
      <c r="I20" s="2"/>
      <c r="J20" s="19"/>
      <c r="K20" s="2"/>
      <c r="L20" s="2">
        <f t="shared" si="0"/>
        <v>-9.83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--13</f>
        <v>13</v>
      </c>
      <c r="U20" s="2"/>
      <c r="V20" s="19"/>
      <c r="W20" s="2"/>
      <c r="X20" s="2">
        <f t="shared" si="2"/>
        <v>-13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"4034", " - ", "TAXABLE SALES-SODA")</f>
        <v xml:space="preserve">          4034 - TAXABLE SALES-SODA</v>
      </c>
      <c r="C21" s="11"/>
      <c r="D21" s="2">
        <f t="shared" si="6"/>
        <v>0</v>
      </c>
      <c r="E21" s="2"/>
      <c r="F21" s="19"/>
      <c r="G21" s="2"/>
      <c r="H21" s="2">
        <f>--280.8</f>
        <v>280.8</v>
      </c>
      <c r="I21" s="2"/>
      <c r="J21" s="19"/>
      <c r="K21" s="2"/>
      <c r="L21" s="2">
        <f t="shared" si="0"/>
        <v>-280.8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--315.54</f>
        <v>315.54000000000002</v>
      </c>
      <c r="U21" s="2"/>
      <c r="V21" s="19"/>
      <c r="W21" s="2"/>
      <c r="X21" s="2">
        <f t="shared" si="2"/>
        <v>-315.54000000000002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"4035", " - ", "TAXABLE SALES-HEALTH &amp; BEAUTY")</f>
        <v xml:space="preserve">          4035 - TAXABLE SALES-HEALTH &amp; BEAUTY</v>
      </c>
      <c r="C22" s="11"/>
      <c r="D22" s="2">
        <f t="shared" si="6"/>
        <v>0</v>
      </c>
      <c r="E22" s="2"/>
      <c r="F22" s="19"/>
      <c r="G22" s="2"/>
      <c r="H22" s="2">
        <f>--88.53</f>
        <v>88.53</v>
      </c>
      <c r="I22" s="2"/>
      <c r="J22" s="19"/>
      <c r="K22" s="2"/>
      <c r="L22" s="2">
        <f t="shared" si="0"/>
        <v>-88.53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--91.52</f>
        <v>91.52</v>
      </c>
      <c r="U22" s="2"/>
      <c r="V22" s="19"/>
      <c r="W22" s="2"/>
      <c r="X22" s="2">
        <f t="shared" si="2"/>
        <v>-91.52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"4037", " - ", "TAXABLE SALES-WATER")</f>
        <v xml:space="preserve">          4037 - TAXABLE SALES-WATER</v>
      </c>
      <c r="C23" s="11"/>
      <c r="D23" s="2">
        <f t="shared" si="6"/>
        <v>0</v>
      </c>
      <c r="E23" s="2"/>
      <c r="F23" s="19"/>
      <c r="G23" s="2"/>
      <c r="H23" s="2">
        <f>--36.88</f>
        <v>36.880000000000003</v>
      </c>
      <c r="I23" s="2"/>
      <c r="J23" s="19"/>
      <c r="K23" s="2"/>
      <c r="L23" s="2">
        <f t="shared" si="0"/>
        <v>-36.880000000000003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--42.17</f>
        <v>42.17</v>
      </c>
      <c r="U23" s="2"/>
      <c r="V23" s="19"/>
      <c r="W23" s="2"/>
      <c r="X23" s="2">
        <f t="shared" si="2"/>
        <v>-42.17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"4081", " - ", "TAXABLE SALES-ELECTRONICS")</f>
        <v xml:space="preserve">          4081 - TAXABLE SALES-ELECTRONICS</v>
      </c>
      <c r="C24" s="11"/>
      <c r="D24" s="2">
        <f t="shared" si="6"/>
        <v>0</v>
      </c>
      <c r="E24" s="2"/>
      <c r="F24" s="19"/>
      <c r="G24" s="2"/>
      <c r="H24" s="2">
        <f>--260.88</f>
        <v>260.88</v>
      </c>
      <c r="I24" s="2"/>
      <c r="J24" s="19"/>
      <c r="K24" s="2"/>
      <c r="L24" s="2">
        <f t="shared" si="0"/>
        <v>-260.88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--268.86</f>
        <v>268.86</v>
      </c>
      <c r="U24" s="2"/>
      <c r="V24" s="19"/>
      <c r="W24" s="2"/>
      <c r="X24" s="2">
        <f t="shared" si="2"/>
        <v>-268.86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"4082", " - ", "TAXABLE SALES-COMPUTER HARDWAR")</f>
        <v xml:space="preserve">          4082 - TAXABLE SALES-COMPUTER HARDWAR</v>
      </c>
      <c r="C25" s="11"/>
      <c r="D25" s="2">
        <f t="shared" si="6"/>
        <v>0</v>
      </c>
      <c r="E25" s="2"/>
      <c r="F25" s="19"/>
      <c r="G25" s="2"/>
      <c r="H25" s="2">
        <f>--19</f>
        <v>19</v>
      </c>
      <c r="I25" s="2"/>
      <c r="J25" s="19"/>
      <c r="K25" s="2"/>
      <c r="L25" s="2">
        <f t="shared" si="0"/>
        <v>-19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--38</f>
        <v>38</v>
      </c>
      <c r="U25" s="2"/>
      <c r="V25" s="19"/>
      <c r="W25" s="2"/>
      <c r="X25" s="2">
        <f t="shared" si="2"/>
        <v>-38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"4083", " - ", "TAXABLE SALES-COMPUTER EQUIPME")</f>
        <v xml:space="preserve">          4083 - TAXABLE SALES-COMPUTER EQUIPME</v>
      </c>
      <c r="C26" s="11"/>
      <c r="D26" s="2">
        <f t="shared" si="6"/>
        <v>0</v>
      </c>
      <c r="E26" s="2"/>
      <c r="F26" s="19"/>
      <c r="G26" s="2"/>
      <c r="H26" s="2">
        <f>--29.98</f>
        <v>29.98</v>
      </c>
      <c r="I26" s="2"/>
      <c r="J26" s="19"/>
      <c r="K26" s="2"/>
      <c r="L26" s="2">
        <f t="shared" si="0"/>
        <v>-29.98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--29.98</f>
        <v>29.98</v>
      </c>
      <c r="U26" s="2"/>
      <c r="V26" s="19"/>
      <c r="W26" s="2"/>
      <c r="X26" s="2">
        <f t="shared" si="2"/>
        <v>-29.98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"4086", " - ", "TAXABLE SALES-COMPUTER SUPPLIE")</f>
        <v xml:space="preserve">          4086 - TAXABLE SALES-COMPUTER SUPPLIE</v>
      </c>
      <c r="C27" s="11"/>
      <c r="D27" s="2">
        <f t="shared" si="6"/>
        <v>0</v>
      </c>
      <c r="E27" s="2"/>
      <c r="F27" s="19"/>
      <c r="G27" s="2"/>
      <c r="H27" s="2">
        <f>--93.96</f>
        <v>93.96</v>
      </c>
      <c r="I27" s="2"/>
      <c r="J27" s="19"/>
      <c r="K27" s="2"/>
      <c r="L27" s="2">
        <f t="shared" si="0"/>
        <v>-93.96</v>
      </c>
      <c r="M27" s="2"/>
      <c r="N27" s="19">
        <f t="shared" si="1"/>
        <v>-1</v>
      </c>
      <c r="O27" s="11"/>
      <c r="P27" s="2">
        <f t="shared" si="7"/>
        <v>0</v>
      </c>
      <c r="Q27" s="2"/>
      <c r="R27" s="19"/>
      <c r="S27" s="2"/>
      <c r="T27" s="2">
        <f>--108.95</f>
        <v>108.95</v>
      </c>
      <c r="U27" s="2"/>
      <c r="V27" s="19"/>
      <c r="W27" s="2"/>
      <c r="X27" s="2">
        <f t="shared" si="2"/>
        <v>-108.95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"4131", " - ", "NON-TAXABLE SALES-FOOD")</f>
        <v xml:space="preserve">          4131 - NON-TAXABLE SALES-FOOD</v>
      </c>
      <c r="C28" s="11"/>
      <c r="D28" s="2">
        <f>--587.14</f>
        <v>587.14</v>
      </c>
      <c r="E28" s="2"/>
      <c r="F28" s="19"/>
      <c r="G28" s="2"/>
      <c r="H28" s="2">
        <f>--2311.07</f>
        <v>2311.0700000000002</v>
      </c>
      <c r="I28" s="2"/>
      <c r="J28" s="19"/>
      <c r="K28" s="2"/>
      <c r="L28" s="2">
        <f t="shared" si="0"/>
        <v>-1723.9300000000003</v>
      </c>
      <c r="M28" s="2"/>
      <c r="N28" s="19">
        <f t="shared" si="1"/>
        <v>-0.74594451920538973</v>
      </c>
      <c r="O28" s="11"/>
      <c r="P28" s="2">
        <f>--587.14</f>
        <v>587.14</v>
      </c>
      <c r="Q28" s="2"/>
      <c r="R28" s="19"/>
      <c r="S28" s="2"/>
      <c r="T28" s="2">
        <f>--2453.27</f>
        <v>2453.27</v>
      </c>
      <c r="U28" s="2"/>
      <c r="V28" s="19"/>
      <c r="W28" s="2"/>
      <c r="X28" s="2">
        <f t="shared" si="2"/>
        <v>-1866.13</v>
      </c>
      <c r="Y28" s="2"/>
      <c r="Z28" s="19">
        <f t="shared" si="3"/>
        <v>-0.76067045209047524</v>
      </c>
    </row>
    <row r="29" spans="1:26" s="24" customFormat="1" hidden="1" outlineLevel="1" x14ac:dyDescent="0.25">
      <c r="A29" s="44"/>
      <c r="B29" s="11" t="str">
        <f>CONCATENATE("          ", "4132", " - ", "NON-TAXABLE SALES-JUICE")</f>
        <v xml:space="preserve">          4132 - NON-TAXABLE SALES-JUICE</v>
      </c>
      <c r="C29" s="11"/>
      <c r="D29" s="2">
        <f t="shared" ref="D29:D32" si="8">0</f>
        <v>0</v>
      </c>
      <c r="E29" s="2"/>
      <c r="F29" s="19"/>
      <c r="G29" s="2"/>
      <c r="H29" s="2">
        <f>--713.6</f>
        <v>713.6</v>
      </c>
      <c r="I29" s="2"/>
      <c r="J29" s="19"/>
      <c r="K29" s="2"/>
      <c r="L29" s="2">
        <f t="shared" si="0"/>
        <v>-713.6</v>
      </c>
      <c r="M29" s="2"/>
      <c r="N29" s="19">
        <f t="shared" si="1"/>
        <v>-1</v>
      </c>
      <c r="O29" s="11"/>
      <c r="P29" s="2">
        <f t="shared" ref="P29:P32" si="9">0</f>
        <v>0</v>
      </c>
      <c r="Q29" s="2"/>
      <c r="R29" s="19"/>
      <c r="S29" s="2"/>
      <c r="T29" s="2">
        <f>--758.91</f>
        <v>758.91</v>
      </c>
      <c r="U29" s="2"/>
      <c r="V29" s="19"/>
      <c r="W29" s="2"/>
      <c r="X29" s="2">
        <f t="shared" si="2"/>
        <v>-758.91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"4133", " - ", "NON-TAXABLE SALES-CANDY")</f>
        <v xml:space="preserve">          4133 - NON-TAXABLE SALES-CANDY</v>
      </c>
      <c r="C30" s="11"/>
      <c r="D30" s="2">
        <f t="shared" si="8"/>
        <v>0</v>
      </c>
      <c r="E30" s="2"/>
      <c r="F30" s="19"/>
      <c r="G30" s="2"/>
      <c r="H30" s="2">
        <f>--715.78</f>
        <v>715.78</v>
      </c>
      <c r="I30" s="2"/>
      <c r="J30" s="19"/>
      <c r="K30" s="2"/>
      <c r="L30" s="2">
        <f t="shared" si="0"/>
        <v>-715.78</v>
      </c>
      <c r="M30" s="2"/>
      <c r="N30" s="19">
        <f t="shared" si="1"/>
        <v>-1</v>
      </c>
      <c r="O30" s="11"/>
      <c r="P30" s="2">
        <f t="shared" si="9"/>
        <v>0</v>
      </c>
      <c r="Q30" s="2"/>
      <c r="R30" s="19"/>
      <c r="S30" s="2"/>
      <c r="T30" s="2">
        <f>--899.15</f>
        <v>899.15</v>
      </c>
      <c r="U30" s="2"/>
      <c r="V30" s="19"/>
      <c r="W30" s="2"/>
      <c r="X30" s="2">
        <f t="shared" si="2"/>
        <v>-899.15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"4135", " - ", "NON-TAXABLE SALES")</f>
        <v xml:space="preserve">          4135 - NON-TAXABLE SALES</v>
      </c>
      <c r="C31" s="11"/>
      <c r="D31" s="2">
        <f t="shared" si="8"/>
        <v>0</v>
      </c>
      <c r="E31" s="2"/>
      <c r="F31" s="19"/>
      <c r="G31" s="2"/>
      <c r="H31" s="2">
        <f>--7.18</f>
        <v>7.18</v>
      </c>
      <c r="I31" s="2"/>
      <c r="J31" s="19"/>
      <c r="K31" s="2"/>
      <c r="L31" s="2">
        <f t="shared" si="0"/>
        <v>-7.18</v>
      </c>
      <c r="M31" s="2"/>
      <c r="N31" s="19">
        <f t="shared" si="1"/>
        <v>-1</v>
      </c>
      <c r="O31" s="11"/>
      <c r="P31" s="2">
        <f t="shared" si="9"/>
        <v>0</v>
      </c>
      <c r="Q31" s="2"/>
      <c r="R31" s="19"/>
      <c r="S31" s="2"/>
      <c r="T31" s="2">
        <f>--7.18</f>
        <v>7.18</v>
      </c>
      <c r="U31" s="2"/>
      <c r="V31" s="19"/>
      <c r="W31" s="2"/>
      <c r="X31" s="2">
        <f t="shared" si="2"/>
        <v>-7.18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"4137", " - ", "NON-TAXABLE SALES-WATER")</f>
        <v xml:space="preserve">          4137 - NON-TAXABLE SALES-WATER</v>
      </c>
      <c r="C32" s="11"/>
      <c r="D32" s="2">
        <f t="shared" si="8"/>
        <v>0</v>
      </c>
      <c r="E32" s="2"/>
      <c r="F32" s="19"/>
      <c r="G32" s="2"/>
      <c r="H32" s="2">
        <f>--522.2</f>
        <v>522.20000000000005</v>
      </c>
      <c r="I32" s="2"/>
      <c r="J32" s="19"/>
      <c r="K32" s="2"/>
      <c r="L32" s="2">
        <f t="shared" si="0"/>
        <v>-522.20000000000005</v>
      </c>
      <c r="M32" s="2"/>
      <c r="N32" s="19">
        <f t="shared" si="1"/>
        <v>-1</v>
      </c>
      <c r="O32" s="11"/>
      <c r="P32" s="2">
        <f t="shared" si="9"/>
        <v>0</v>
      </c>
      <c r="Q32" s="2"/>
      <c r="R32" s="19"/>
      <c r="S32" s="2"/>
      <c r="T32" s="2">
        <f>--552.72</f>
        <v>552.72</v>
      </c>
      <c r="U32" s="2"/>
      <c r="V32" s="19"/>
      <c r="W32" s="2"/>
      <c r="X32" s="2">
        <f t="shared" si="2"/>
        <v>-552.72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"4227", " - ", "SALES RETURN TAXABLE-SCHOOL SU")</f>
        <v xml:space="preserve">          4227 - SALES RETURN TAXABLE-SCHOOL SU</v>
      </c>
      <c r="C33" s="11"/>
      <c r="D33" s="2">
        <f>-140.39</f>
        <v>-140.38999999999999</v>
      </c>
      <c r="E33" s="2"/>
      <c r="F33" s="19"/>
      <c r="G33" s="2"/>
      <c r="H33" s="2">
        <f>-1.49</f>
        <v>-1.49</v>
      </c>
      <c r="I33" s="2"/>
      <c r="J33" s="19"/>
      <c r="K33" s="2"/>
      <c r="L33" s="2">
        <f t="shared" si="0"/>
        <v>-138.89999999999998</v>
      </c>
      <c r="M33" s="2"/>
      <c r="N33" s="19">
        <f t="shared" si="1"/>
        <v>93.221476510067106</v>
      </c>
      <c r="O33" s="11"/>
      <c r="P33" s="2">
        <f>-140.39</f>
        <v>-140.38999999999999</v>
      </c>
      <c r="Q33" s="2"/>
      <c r="R33" s="19"/>
      <c r="S33" s="2"/>
      <c r="T33" s="2">
        <f>-10.46</f>
        <v>-10.46</v>
      </c>
      <c r="U33" s="2"/>
      <c r="V33" s="19"/>
      <c r="W33" s="2"/>
      <c r="X33" s="2">
        <f t="shared" si="2"/>
        <v>-129.92999999999998</v>
      </c>
      <c r="Y33" s="2"/>
      <c r="Z33" s="19">
        <f t="shared" si="3"/>
        <v>12.421606118546842</v>
      </c>
    </row>
    <row r="34" spans="1:26" s="24" customFormat="1" hidden="1" outlineLevel="1" x14ac:dyDescent="0.25">
      <c r="A34" s="44"/>
      <c r="B34" s="11" t="str">
        <f>CONCATENATE("          ", "4228", " - ", "SALES RETURN TAXABLE-ART/TECH")</f>
        <v xml:space="preserve">          4228 - SALES RETURN TAXABLE-ART/TECH</v>
      </c>
      <c r="C34" s="11"/>
      <c r="D34" s="2">
        <f>-164.44</f>
        <v>-164.44</v>
      </c>
      <c r="E34" s="2"/>
      <c r="F34" s="19"/>
      <c r="G34" s="2"/>
      <c r="H34" s="2">
        <f>-771.5</f>
        <v>-771.5</v>
      </c>
      <c r="I34" s="2"/>
      <c r="J34" s="19"/>
      <c r="K34" s="2"/>
      <c r="L34" s="2">
        <f t="shared" si="0"/>
        <v>607.05999999999995</v>
      </c>
      <c r="M34" s="2"/>
      <c r="N34" s="19">
        <f t="shared" si="1"/>
        <v>-0.78685677252106279</v>
      </c>
      <c r="O34" s="11"/>
      <c r="P34" s="2">
        <f>-164.44</f>
        <v>-164.44</v>
      </c>
      <c r="Q34" s="2"/>
      <c r="R34" s="19"/>
      <c r="S34" s="2"/>
      <c r="T34" s="2">
        <f>-781.87</f>
        <v>-781.87</v>
      </c>
      <c r="U34" s="2"/>
      <c r="V34" s="19"/>
      <c r="W34" s="2"/>
      <c r="X34" s="2">
        <f t="shared" si="2"/>
        <v>617.43000000000006</v>
      </c>
      <c r="Y34" s="2"/>
      <c r="Z34" s="19">
        <f t="shared" si="3"/>
        <v>-0.78968370701011681</v>
      </c>
    </row>
    <row r="35" spans="1:26" x14ac:dyDescent="0.25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25">
      <c r="A36" s="10"/>
      <c r="B36" s="25" t="s">
        <v>8</v>
      </c>
      <c r="C36" s="10"/>
      <c r="D36" s="4">
        <f>SUM(OSRRefD16x_0)</f>
        <v>9005</v>
      </c>
      <c r="E36" s="4"/>
      <c r="F36" s="12">
        <f t="shared" ref="F36:F52" si="10">IF(D$12=0,0,D36/D$12)</f>
        <v>0.72633034197616697</v>
      </c>
      <c r="G36" s="4"/>
      <c r="H36" s="4">
        <f>SUM(OSRRefH16x_0)</f>
        <v>28053.26</v>
      </c>
      <c r="I36" s="4"/>
      <c r="J36" s="12">
        <f t="shared" ref="J36:J52" si="11">IF(H$12=0,0,H36/H$12)</f>
        <v>0.52672860500546204</v>
      </c>
      <c r="K36" s="4"/>
      <c r="L36" s="4">
        <f t="shared" ref="L36:L52" si="12">+D36-H36</f>
        <v>-19048.259999999998</v>
      </c>
      <c r="M36" s="4"/>
      <c r="N36" s="12">
        <f t="shared" ref="N36:N52" si="13">IF(H36=0,0,L36/H36)</f>
        <v>-0.67900343845955868</v>
      </c>
      <c r="O36" s="10"/>
      <c r="P36" s="4">
        <f>SUM(OSRRefP16x_0)</f>
        <v>9043.0499999999993</v>
      </c>
      <c r="Q36" s="4"/>
      <c r="R36" s="12">
        <f t="shared" ref="R36:R52" si="14">IF(P$12=0,0,P36/P$12)</f>
        <v>0.72939940022294014</v>
      </c>
      <c r="S36" s="4"/>
      <c r="T36" s="4">
        <f>SUM(OSRRefT16x_0)</f>
        <v>29418.140000000003</v>
      </c>
      <c r="U36" s="4"/>
      <c r="V36" s="12">
        <f t="shared" ref="V36:V52" si="15">IF(T$12=0,0,T36/T$12)</f>
        <v>0.52829198615507356</v>
      </c>
      <c r="W36" s="4"/>
      <c r="X36" s="4">
        <f t="shared" ref="X36:X52" si="16">+P36-T36</f>
        <v>-20375.090000000004</v>
      </c>
      <c r="Y36" s="4"/>
      <c r="Z36" s="12">
        <f t="shared" ref="Z36:Z52" si="17">IF(T36=0,0,X36/T36)</f>
        <v>-0.6926029313885923</v>
      </c>
    </row>
    <row r="37" spans="1:26" s="24" customFormat="1" hidden="1" outlineLevel="1" x14ac:dyDescent="0.25">
      <c r="A37" s="44"/>
      <c r="B37" s="11" t="str">
        <f>CONCATENATE("          ", "5026", " - ", "PURCHASES @ COST-WRITING INSTR")</f>
        <v xml:space="preserve">          5026 - PURCHASES @ COST-WRITING INSTR</v>
      </c>
      <c r="C37" s="11"/>
      <c r="D37" s="2"/>
      <c r="E37" s="2"/>
      <c r="F37" s="19">
        <f t="shared" si="10"/>
        <v>0</v>
      </c>
      <c r="G37" s="2"/>
      <c r="H37" s="2">
        <v>-484.71</v>
      </c>
      <c r="I37" s="2"/>
      <c r="J37" s="19">
        <f t="shared" si="11"/>
        <v>-9.1009252447736017E-3</v>
      </c>
      <c r="K37" s="2"/>
      <c r="L37" s="2">
        <f t="shared" si="12"/>
        <v>484.71</v>
      </c>
      <c r="M37" s="2"/>
      <c r="N37" s="19">
        <f t="shared" si="13"/>
        <v>-1</v>
      </c>
      <c r="O37" s="11"/>
      <c r="P37" s="2"/>
      <c r="Q37" s="2"/>
      <c r="R37" s="19">
        <f t="shared" si="14"/>
        <v>0</v>
      </c>
      <c r="S37" s="2"/>
      <c r="T37" s="2">
        <v>390.82</v>
      </c>
      <c r="U37" s="2"/>
      <c r="V37" s="19">
        <f t="shared" si="15"/>
        <v>7.0183592174463041E-3</v>
      </c>
      <c r="W37" s="2"/>
      <c r="X37" s="2">
        <f t="shared" si="16"/>
        <v>-390.82</v>
      </c>
      <c r="Y37" s="2"/>
      <c r="Z37" s="19">
        <f t="shared" si="17"/>
        <v>-1</v>
      </c>
    </row>
    <row r="38" spans="1:26" s="24" customFormat="1" hidden="1" outlineLevel="1" x14ac:dyDescent="0.25">
      <c r="A38" s="44"/>
      <c r="B38" s="11" t="str">
        <f>CONCATENATE("          ", "5027", " - ", "PURCHASES @ COST-SCHOOL SUPPLI")</f>
        <v xml:space="preserve">          5027 - PURCHASES @ COST-SCHOOL SUPPLI</v>
      </c>
      <c r="C38" s="11"/>
      <c r="D38" s="2"/>
      <c r="E38" s="2"/>
      <c r="F38" s="19">
        <f t="shared" si="10"/>
        <v>0</v>
      </c>
      <c r="G38" s="2"/>
      <c r="H38" s="2">
        <v>-460.76</v>
      </c>
      <c r="I38" s="2"/>
      <c r="J38" s="19">
        <f t="shared" si="11"/>
        <v>-8.651239536592777E-3</v>
      </c>
      <c r="K38" s="2"/>
      <c r="L38" s="2">
        <f t="shared" si="12"/>
        <v>460.76</v>
      </c>
      <c r="M38" s="2"/>
      <c r="N38" s="19">
        <f t="shared" si="13"/>
        <v>-1</v>
      </c>
      <c r="O38" s="11"/>
      <c r="P38" s="2"/>
      <c r="Q38" s="2"/>
      <c r="R38" s="19">
        <f t="shared" si="14"/>
        <v>0</v>
      </c>
      <c r="S38" s="2"/>
      <c r="T38" s="2">
        <v>396.73</v>
      </c>
      <c r="U38" s="2"/>
      <c r="V38" s="19">
        <f t="shared" si="15"/>
        <v>7.1244912039749048E-3</v>
      </c>
      <c r="W38" s="2"/>
      <c r="X38" s="2">
        <f t="shared" si="16"/>
        <v>-396.73</v>
      </c>
      <c r="Y38" s="2"/>
      <c r="Z38" s="19">
        <f t="shared" si="17"/>
        <v>-1</v>
      </c>
    </row>
    <row r="39" spans="1:26" s="24" customFormat="1" hidden="1" outlineLevel="1" x14ac:dyDescent="0.25">
      <c r="A39" s="44"/>
      <c r="B39" s="11" t="str">
        <f>CONCATENATE("          ", "5028", " - ", "PURCHASES @ COST-ART/TECH")</f>
        <v xml:space="preserve">          5028 - PURCHASES @ COST-ART/TECH</v>
      </c>
      <c r="C39" s="11"/>
      <c r="D39" s="2"/>
      <c r="E39" s="2"/>
      <c r="F39" s="19">
        <f t="shared" si="10"/>
        <v>0</v>
      </c>
      <c r="G39" s="2"/>
      <c r="H39" s="2">
        <v>27515.48</v>
      </c>
      <c r="I39" s="2"/>
      <c r="J39" s="19">
        <f t="shared" si="11"/>
        <v>0.5166312363146276</v>
      </c>
      <c r="K39" s="2"/>
      <c r="L39" s="2">
        <f t="shared" si="12"/>
        <v>-27515.48</v>
      </c>
      <c r="M39" s="2"/>
      <c r="N39" s="19">
        <f t="shared" si="13"/>
        <v>-1</v>
      </c>
      <c r="O39" s="11"/>
      <c r="P39" s="2"/>
      <c r="Q39" s="2"/>
      <c r="R39" s="19">
        <f t="shared" si="14"/>
        <v>0</v>
      </c>
      <c r="S39" s="2"/>
      <c r="T39" s="2">
        <v>53398.57</v>
      </c>
      <c r="U39" s="2"/>
      <c r="V39" s="19">
        <f t="shared" si="15"/>
        <v>0.9589333861060122</v>
      </c>
      <c r="W39" s="2"/>
      <c r="X39" s="2">
        <f t="shared" si="16"/>
        <v>-53398.57</v>
      </c>
      <c r="Y39" s="2"/>
      <c r="Z39" s="19">
        <f t="shared" si="17"/>
        <v>-1</v>
      </c>
    </row>
    <row r="40" spans="1:26" s="24" customFormat="1" hidden="1" outlineLevel="1" x14ac:dyDescent="0.25">
      <c r="A40" s="44"/>
      <c r="B40" s="11" t="str">
        <f>CONCATENATE("          ", "5031", " - ", "PURCHASES @ COST-FOOD")</f>
        <v xml:space="preserve">          5031 - PURCHASES @ COST-FOOD</v>
      </c>
      <c r="C40" s="11"/>
      <c r="D40" s="2"/>
      <c r="E40" s="2"/>
      <c r="F40" s="19">
        <f t="shared" si="10"/>
        <v>0</v>
      </c>
      <c r="G40" s="2"/>
      <c r="H40" s="2">
        <v>2529.9299999999998</v>
      </c>
      <c r="I40" s="2"/>
      <c r="J40" s="19">
        <f t="shared" si="11"/>
        <v>4.7502019361082046E-2</v>
      </c>
      <c r="K40" s="2"/>
      <c r="L40" s="2">
        <f t="shared" si="12"/>
        <v>-2529.9299999999998</v>
      </c>
      <c r="M40" s="2"/>
      <c r="N40" s="19">
        <f t="shared" si="13"/>
        <v>-1</v>
      </c>
      <c r="O40" s="11"/>
      <c r="P40" s="2"/>
      <c r="Q40" s="2"/>
      <c r="R40" s="19">
        <f t="shared" si="14"/>
        <v>0</v>
      </c>
      <c r="S40" s="2"/>
      <c r="T40" s="2">
        <v>2529.9299999999998</v>
      </c>
      <c r="U40" s="2"/>
      <c r="V40" s="19">
        <f t="shared" si="15"/>
        <v>4.5432571349966547E-2</v>
      </c>
      <c r="W40" s="2"/>
      <c r="X40" s="2">
        <f t="shared" si="16"/>
        <v>-2529.9299999999998</v>
      </c>
      <c r="Y40" s="2"/>
      <c r="Z40" s="19">
        <f t="shared" si="17"/>
        <v>-1</v>
      </c>
    </row>
    <row r="41" spans="1:26" s="24" customFormat="1" hidden="1" outlineLevel="1" x14ac:dyDescent="0.25">
      <c r="A41" s="44"/>
      <c r="B41" s="11" t="str">
        <f>CONCATENATE("          ", "5032", " - ", "PURCHASES @ COST-JUICE")</f>
        <v xml:space="preserve">          5032 - PURCHASES @ COST-JUICE</v>
      </c>
      <c r="C41" s="11"/>
      <c r="D41" s="2"/>
      <c r="E41" s="2"/>
      <c r="F41" s="19">
        <f t="shared" si="10"/>
        <v>0</v>
      </c>
      <c r="G41" s="2"/>
      <c r="H41" s="2">
        <v>227.18</v>
      </c>
      <c r="I41" s="2"/>
      <c r="J41" s="19">
        <f t="shared" si="11"/>
        <v>4.2655365003974894E-3</v>
      </c>
      <c r="K41" s="2"/>
      <c r="L41" s="2">
        <f t="shared" si="12"/>
        <v>-227.18</v>
      </c>
      <c r="M41" s="2"/>
      <c r="N41" s="19">
        <f t="shared" si="13"/>
        <v>-1</v>
      </c>
      <c r="O41" s="11"/>
      <c r="P41" s="2"/>
      <c r="Q41" s="2"/>
      <c r="R41" s="19">
        <f t="shared" si="14"/>
        <v>0</v>
      </c>
      <c r="S41" s="2"/>
      <c r="T41" s="2">
        <v>341.6</v>
      </c>
      <c r="U41" s="2"/>
      <c r="V41" s="19">
        <f t="shared" si="15"/>
        <v>6.1344647374230021E-3</v>
      </c>
      <c r="W41" s="2"/>
      <c r="X41" s="2">
        <f t="shared" si="16"/>
        <v>-341.6</v>
      </c>
      <c r="Y41" s="2"/>
      <c r="Z41" s="19">
        <f t="shared" si="17"/>
        <v>-1</v>
      </c>
    </row>
    <row r="42" spans="1:26" s="24" customFormat="1" hidden="1" outlineLevel="1" x14ac:dyDescent="0.25">
      <c r="A42" s="44"/>
      <c r="B42" s="11" t="str">
        <f>CONCATENATE("          ", "5033", " - ", "PURCHASES @ COST-CANDY")</f>
        <v xml:space="preserve">          5033 - PURCHASES @ COST-CANDY</v>
      </c>
      <c r="C42" s="11"/>
      <c r="D42" s="2"/>
      <c r="E42" s="2"/>
      <c r="F42" s="19">
        <f t="shared" si="10"/>
        <v>0</v>
      </c>
      <c r="G42" s="2"/>
      <c r="H42" s="2">
        <v>905.51</v>
      </c>
      <c r="I42" s="2"/>
      <c r="J42" s="19">
        <f t="shared" si="11"/>
        <v>1.7001874973478874E-2</v>
      </c>
      <c r="K42" s="2"/>
      <c r="L42" s="2">
        <f t="shared" si="12"/>
        <v>-905.51</v>
      </c>
      <c r="M42" s="2"/>
      <c r="N42" s="19">
        <f t="shared" si="13"/>
        <v>-1</v>
      </c>
      <c r="O42" s="11"/>
      <c r="P42" s="2"/>
      <c r="Q42" s="2"/>
      <c r="R42" s="19">
        <f t="shared" si="14"/>
        <v>0</v>
      </c>
      <c r="S42" s="2"/>
      <c r="T42" s="2">
        <v>905.51</v>
      </c>
      <c r="U42" s="2"/>
      <c r="V42" s="19">
        <f t="shared" si="15"/>
        <v>1.6261180223606269E-2</v>
      </c>
      <c r="W42" s="2"/>
      <c r="X42" s="2">
        <f t="shared" si="16"/>
        <v>-905.51</v>
      </c>
      <c r="Y42" s="2"/>
      <c r="Z42" s="19">
        <f t="shared" si="17"/>
        <v>-1</v>
      </c>
    </row>
    <row r="43" spans="1:26" s="24" customFormat="1" hidden="1" outlineLevel="1" x14ac:dyDescent="0.25">
      <c r="A43" s="44"/>
      <c r="B43" s="11" t="str">
        <f>CONCATENATE("          ", "5034", " - ", "PURCHASES @ COST-SODA")</f>
        <v xml:space="preserve">          5034 - PURCHASES @ COST-SODA</v>
      </c>
      <c r="C43" s="11"/>
      <c r="D43" s="2"/>
      <c r="E43" s="2"/>
      <c r="F43" s="19">
        <f t="shared" si="10"/>
        <v>0</v>
      </c>
      <c r="G43" s="2"/>
      <c r="H43" s="2">
        <v>350.04</v>
      </c>
      <c r="I43" s="2"/>
      <c r="J43" s="19">
        <f t="shared" si="11"/>
        <v>6.5723584672908583E-3</v>
      </c>
      <c r="K43" s="2"/>
      <c r="L43" s="2">
        <f t="shared" si="12"/>
        <v>-350.04</v>
      </c>
      <c r="M43" s="2"/>
      <c r="N43" s="19">
        <f t="shared" si="13"/>
        <v>-1</v>
      </c>
      <c r="O43" s="11"/>
      <c r="P43" s="2"/>
      <c r="Q43" s="2"/>
      <c r="R43" s="19">
        <f t="shared" si="14"/>
        <v>0</v>
      </c>
      <c r="S43" s="2"/>
      <c r="T43" s="2">
        <v>288.5</v>
      </c>
      <c r="U43" s="2"/>
      <c r="V43" s="19">
        <f t="shared" si="15"/>
        <v>5.1808930818107021E-3</v>
      </c>
      <c r="W43" s="2"/>
      <c r="X43" s="2">
        <f t="shared" si="16"/>
        <v>-288.5</v>
      </c>
      <c r="Y43" s="2"/>
      <c r="Z43" s="19">
        <f t="shared" si="17"/>
        <v>-1</v>
      </c>
    </row>
    <row r="44" spans="1:26" s="24" customFormat="1" hidden="1" outlineLevel="1" x14ac:dyDescent="0.25">
      <c r="A44" s="44"/>
      <c r="B44" s="11" t="str">
        <f>CONCATENATE("          ", "5035", " - ", "PURCHASES @ COST-HEALTH &amp; BEAU")</f>
        <v xml:space="preserve">          5035 - PURCHASES @ COST-HEALTH &amp; BEAU</v>
      </c>
      <c r="C44" s="11"/>
      <c r="D44" s="2"/>
      <c r="E44" s="2"/>
      <c r="F44" s="19">
        <f t="shared" si="10"/>
        <v>0</v>
      </c>
      <c r="G44" s="2"/>
      <c r="H44" s="2">
        <v>42.24</v>
      </c>
      <c r="I44" s="2"/>
      <c r="J44" s="19">
        <f t="shared" si="11"/>
        <v>7.9309913626547212E-4</v>
      </c>
      <c r="K44" s="2"/>
      <c r="L44" s="2">
        <f t="shared" si="12"/>
        <v>-42.24</v>
      </c>
      <c r="M44" s="2"/>
      <c r="N44" s="19">
        <f t="shared" si="13"/>
        <v>-1</v>
      </c>
      <c r="O44" s="11"/>
      <c r="P44" s="2"/>
      <c r="Q44" s="2"/>
      <c r="R44" s="19">
        <f t="shared" si="14"/>
        <v>0</v>
      </c>
      <c r="S44" s="2"/>
      <c r="T44" s="2">
        <v>42.24</v>
      </c>
      <c r="U44" s="2"/>
      <c r="V44" s="19">
        <f t="shared" si="15"/>
        <v>7.5854739610289109E-4</v>
      </c>
      <c r="W44" s="2"/>
      <c r="X44" s="2">
        <f t="shared" si="16"/>
        <v>-42.24</v>
      </c>
      <c r="Y44" s="2"/>
      <c r="Z44" s="19">
        <f t="shared" si="17"/>
        <v>-1</v>
      </c>
    </row>
    <row r="45" spans="1:26" s="24" customFormat="1" hidden="1" outlineLevel="1" x14ac:dyDescent="0.25">
      <c r="A45" s="44"/>
      <c r="B45" s="11" t="str">
        <f>CONCATENATE("          ", "5037", " - ", "PURCHASES @ COST-WATER")</f>
        <v xml:space="preserve">          5037 - PURCHASES @ COST-WATER</v>
      </c>
      <c r="C45" s="11"/>
      <c r="D45" s="2"/>
      <c r="E45" s="2"/>
      <c r="F45" s="19">
        <f t="shared" si="10"/>
        <v>0</v>
      </c>
      <c r="G45" s="2"/>
      <c r="H45" s="2">
        <v>449.64</v>
      </c>
      <c r="I45" s="2"/>
      <c r="J45" s="19">
        <f t="shared" si="11"/>
        <v>8.442450180644101E-3</v>
      </c>
      <c r="K45" s="2"/>
      <c r="L45" s="2">
        <f t="shared" si="12"/>
        <v>-449.64</v>
      </c>
      <c r="M45" s="2"/>
      <c r="N45" s="19">
        <f t="shared" si="13"/>
        <v>-1</v>
      </c>
      <c r="O45" s="11"/>
      <c r="P45" s="2"/>
      <c r="Q45" s="2"/>
      <c r="R45" s="19">
        <f t="shared" si="14"/>
        <v>0</v>
      </c>
      <c r="S45" s="2"/>
      <c r="T45" s="2">
        <v>466.18</v>
      </c>
      <c r="U45" s="2"/>
      <c r="V45" s="19">
        <f t="shared" si="15"/>
        <v>8.3716767309480536E-3</v>
      </c>
      <c r="W45" s="2"/>
      <c r="X45" s="2">
        <f t="shared" si="16"/>
        <v>-466.18</v>
      </c>
      <c r="Y45" s="2"/>
      <c r="Z45" s="19">
        <f t="shared" si="17"/>
        <v>-1</v>
      </c>
    </row>
    <row r="46" spans="1:26" s="24" customFormat="1" hidden="1" outlineLevel="1" x14ac:dyDescent="0.25">
      <c r="A46" s="44"/>
      <c r="B46" s="11" t="str">
        <f>CONCATENATE("          ", "5081", " - ", "PURCHASES @ COST-ELECTRONICS")</f>
        <v xml:space="preserve">          5081 - PURCHASES @ COST-ELECTRONICS</v>
      </c>
      <c r="C46" s="11"/>
      <c r="D46" s="2"/>
      <c r="E46" s="2"/>
      <c r="F46" s="19">
        <f t="shared" si="10"/>
        <v>0</v>
      </c>
      <c r="G46" s="2"/>
      <c r="H46" s="2">
        <v>304.16000000000003</v>
      </c>
      <c r="I46" s="2"/>
      <c r="J46" s="19">
        <f t="shared" si="11"/>
        <v>5.7109146137903884E-3</v>
      </c>
      <c r="K46" s="2"/>
      <c r="L46" s="2">
        <f t="shared" si="12"/>
        <v>-304.16000000000003</v>
      </c>
      <c r="M46" s="2"/>
      <c r="N46" s="19">
        <f t="shared" si="13"/>
        <v>-1</v>
      </c>
      <c r="O46" s="11"/>
      <c r="P46" s="2"/>
      <c r="Q46" s="2"/>
      <c r="R46" s="19">
        <f t="shared" si="14"/>
        <v>0</v>
      </c>
      <c r="S46" s="2"/>
      <c r="T46" s="2">
        <v>304.16000000000003</v>
      </c>
      <c r="U46" s="2"/>
      <c r="V46" s="19">
        <f t="shared" si="15"/>
        <v>5.4621159090590754E-3</v>
      </c>
      <c r="W46" s="2"/>
      <c r="X46" s="2">
        <f t="shared" si="16"/>
        <v>-304.16000000000003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"5082", " - ", "PURCHASES @ COST-COMPUTER HARD")</f>
        <v xml:space="preserve">          5082 - PURCHASES @ COST-COMPUTER HARD</v>
      </c>
      <c r="C47" s="11"/>
      <c r="D47" s="2"/>
      <c r="E47" s="2"/>
      <c r="F47" s="19">
        <f t="shared" si="10"/>
        <v>0</v>
      </c>
      <c r="G47" s="2"/>
      <c r="H47" s="2">
        <v>130.6</v>
      </c>
      <c r="I47" s="2"/>
      <c r="J47" s="19">
        <f t="shared" si="11"/>
        <v>2.4521483711238317E-3</v>
      </c>
      <c r="K47" s="2"/>
      <c r="L47" s="2">
        <f t="shared" si="12"/>
        <v>-130.6</v>
      </c>
      <c r="M47" s="2"/>
      <c r="N47" s="19">
        <f t="shared" si="13"/>
        <v>-1</v>
      </c>
      <c r="O47" s="11"/>
      <c r="P47" s="2"/>
      <c r="Q47" s="2"/>
      <c r="R47" s="19">
        <f t="shared" si="14"/>
        <v>0</v>
      </c>
      <c r="S47" s="2"/>
      <c r="T47" s="2">
        <v>130.6</v>
      </c>
      <c r="U47" s="2"/>
      <c r="V47" s="19">
        <f t="shared" si="15"/>
        <v>2.3453193638976696E-3</v>
      </c>
      <c r="W47" s="2"/>
      <c r="X47" s="2">
        <f t="shared" si="16"/>
        <v>-130.6</v>
      </c>
      <c r="Y47" s="2"/>
      <c r="Z47" s="19">
        <f t="shared" si="17"/>
        <v>-1</v>
      </c>
    </row>
    <row r="48" spans="1:26" s="24" customFormat="1" hidden="1" outlineLevel="1" x14ac:dyDescent="0.25">
      <c r="A48" s="44"/>
      <c r="B48" s="11" t="str">
        <f>CONCATENATE("          ", "5083", " - ", "PURCHASES @ COST-COMPUTER EQUI")</f>
        <v xml:space="preserve">          5083 - PURCHASES @ COST-COMPUTER EQUI</v>
      </c>
      <c r="C48" s="11"/>
      <c r="D48" s="2"/>
      <c r="E48" s="2"/>
      <c r="F48" s="19">
        <f t="shared" si="10"/>
        <v>0</v>
      </c>
      <c r="G48" s="2"/>
      <c r="H48" s="2">
        <v>41.5</v>
      </c>
      <c r="I48" s="2"/>
      <c r="J48" s="19">
        <f t="shared" si="11"/>
        <v>7.7920488056385157E-4</v>
      </c>
      <c r="K48" s="2"/>
      <c r="L48" s="2">
        <f t="shared" si="12"/>
        <v>-41.5</v>
      </c>
      <c r="M48" s="2"/>
      <c r="N48" s="19">
        <f t="shared" si="13"/>
        <v>-1</v>
      </c>
      <c r="O48" s="11"/>
      <c r="P48" s="2"/>
      <c r="Q48" s="2"/>
      <c r="R48" s="19">
        <f t="shared" si="14"/>
        <v>0</v>
      </c>
      <c r="S48" s="2"/>
      <c r="T48" s="2">
        <v>41.5</v>
      </c>
      <c r="U48" s="2"/>
      <c r="V48" s="19">
        <f t="shared" si="15"/>
        <v>7.4525845024313395E-4</v>
      </c>
      <c r="W48" s="2"/>
      <c r="X48" s="2">
        <f t="shared" si="16"/>
        <v>-41.5</v>
      </c>
      <c r="Y48" s="2"/>
      <c r="Z48" s="19">
        <f t="shared" si="17"/>
        <v>-1</v>
      </c>
    </row>
    <row r="49" spans="1:26" s="24" customFormat="1" hidden="1" outlineLevel="1" x14ac:dyDescent="0.25">
      <c r="A49" s="44"/>
      <c r="B49" s="11" t="str">
        <f>CONCATENATE("          ", "5086", " - ", "PURCHASES @ COST-COMPUTER SUPP")</f>
        <v xml:space="preserve">          5086 - PURCHASES @ COST-COMPUTER SUPP</v>
      </c>
      <c r="C49" s="11"/>
      <c r="D49" s="2"/>
      <c r="E49" s="2"/>
      <c r="F49" s="19">
        <f t="shared" si="10"/>
        <v>0</v>
      </c>
      <c r="G49" s="2"/>
      <c r="H49" s="2">
        <v>58</v>
      </c>
      <c r="I49" s="2"/>
      <c r="J49" s="19">
        <f t="shared" si="11"/>
        <v>1.0890092306675516E-3</v>
      </c>
      <c r="K49" s="2"/>
      <c r="L49" s="2">
        <f t="shared" si="12"/>
        <v>-58</v>
      </c>
      <c r="M49" s="2"/>
      <c r="N49" s="19">
        <f t="shared" si="13"/>
        <v>-1</v>
      </c>
      <c r="O49" s="11"/>
      <c r="P49" s="2"/>
      <c r="Q49" s="2"/>
      <c r="R49" s="19">
        <f t="shared" si="14"/>
        <v>0</v>
      </c>
      <c r="S49" s="2"/>
      <c r="T49" s="2">
        <v>58</v>
      </c>
      <c r="U49" s="2"/>
      <c r="V49" s="19">
        <f t="shared" si="15"/>
        <v>1.0415660268458258E-3</v>
      </c>
      <c r="W49" s="2"/>
      <c r="X49" s="2">
        <f t="shared" si="16"/>
        <v>-58</v>
      </c>
      <c r="Y49" s="2"/>
      <c r="Z49" s="19">
        <f t="shared" si="17"/>
        <v>-1</v>
      </c>
    </row>
    <row r="50" spans="1:26" s="24" customFormat="1" hidden="1" outlineLevel="1" x14ac:dyDescent="0.25">
      <c r="A50" s="44"/>
      <c r="B50" s="11" t="str">
        <f>CONCATENATE("          ", "5200", " - ", "PURCHASES OFFSET")</f>
        <v xml:space="preserve">          5200 - PURCHASES OFFSET</v>
      </c>
      <c r="C50" s="11"/>
      <c r="D50" s="2"/>
      <c r="E50" s="2"/>
      <c r="F50" s="19">
        <f t="shared" si="10"/>
        <v>0</v>
      </c>
      <c r="G50" s="2"/>
      <c r="H50" s="2">
        <v>-31865</v>
      </c>
      <c r="I50" s="2"/>
      <c r="J50" s="19">
        <f t="shared" si="11"/>
        <v>-0.59829791612450911</v>
      </c>
      <c r="K50" s="2"/>
      <c r="L50" s="2">
        <f t="shared" si="12"/>
        <v>31865</v>
      </c>
      <c r="M50" s="2"/>
      <c r="N50" s="19">
        <f t="shared" si="13"/>
        <v>-1</v>
      </c>
      <c r="O50" s="11"/>
      <c r="P50" s="2"/>
      <c r="Q50" s="2"/>
      <c r="R50" s="19">
        <f t="shared" si="14"/>
        <v>0</v>
      </c>
      <c r="S50" s="2"/>
      <c r="T50" s="2">
        <v>-59550</v>
      </c>
      <c r="U50" s="2"/>
      <c r="V50" s="19">
        <f t="shared" si="15"/>
        <v>-1.0694009810115332</v>
      </c>
      <c r="W50" s="2"/>
      <c r="X50" s="2">
        <f t="shared" si="16"/>
        <v>59550</v>
      </c>
      <c r="Y50" s="2"/>
      <c r="Z50" s="19">
        <f t="shared" si="17"/>
        <v>-1</v>
      </c>
    </row>
    <row r="51" spans="1:26" s="24" customFormat="1" hidden="1" outlineLevel="1" x14ac:dyDescent="0.25">
      <c r="A51" s="44"/>
      <c r="B51" s="11" t="str">
        <f>CONCATENATE("          ", "5300", " - ", "COG$ OFFSET")</f>
        <v xml:space="preserve">          5300 - COG$ OFFSET</v>
      </c>
      <c r="C51" s="11"/>
      <c r="D51" s="2">
        <v>9005</v>
      </c>
      <c r="E51" s="2"/>
      <c r="F51" s="19">
        <f t="shared" si="10"/>
        <v>0.72633034197616697</v>
      </c>
      <c r="G51" s="2"/>
      <c r="H51" s="2">
        <v>28054</v>
      </c>
      <c r="I51" s="2"/>
      <c r="J51" s="19">
        <f t="shared" si="11"/>
        <v>0.52674249926116368</v>
      </c>
      <c r="K51" s="2"/>
      <c r="L51" s="2">
        <f t="shared" si="12"/>
        <v>-19049</v>
      </c>
      <c r="M51" s="2"/>
      <c r="N51" s="19">
        <f t="shared" si="13"/>
        <v>-0.67901190561060809</v>
      </c>
      <c r="O51" s="11"/>
      <c r="P51" s="2">
        <v>9005</v>
      </c>
      <c r="Q51" s="2"/>
      <c r="R51" s="19">
        <f t="shared" si="14"/>
        <v>0.72633034197616697</v>
      </c>
      <c r="S51" s="2"/>
      <c r="T51" s="2">
        <v>29418</v>
      </c>
      <c r="U51" s="2"/>
      <c r="V51" s="19">
        <f t="shared" si="15"/>
        <v>0.52828947203018106</v>
      </c>
      <c r="W51" s="2"/>
      <c r="X51" s="2">
        <f t="shared" si="16"/>
        <v>-20413</v>
      </c>
      <c r="Y51" s="2"/>
      <c r="Z51" s="19">
        <f t="shared" si="17"/>
        <v>-0.69389489428241213</v>
      </c>
    </row>
    <row r="52" spans="1:26" s="24" customFormat="1" hidden="1" outlineLevel="1" x14ac:dyDescent="0.25">
      <c r="A52" s="44"/>
      <c r="B52" s="11" t="str">
        <f>CONCATENATE("          ", "5528", " - ", "FREIGHT-IN-ART/TECH")</f>
        <v xml:space="preserve">          5528 - FREIGHT-IN-ART/TECH</v>
      </c>
      <c r="C52" s="11"/>
      <c r="D52" s="2"/>
      <c r="E52" s="2"/>
      <c r="F52" s="19">
        <f t="shared" si="10"/>
        <v>0</v>
      </c>
      <c r="G52" s="2"/>
      <c r="H52" s="2">
        <v>255.45</v>
      </c>
      <c r="I52" s="2"/>
      <c r="J52" s="19">
        <f t="shared" si="11"/>
        <v>4.7963346202418286E-3</v>
      </c>
      <c r="K52" s="2"/>
      <c r="L52" s="2">
        <f t="shared" si="12"/>
        <v>-255.45</v>
      </c>
      <c r="M52" s="2"/>
      <c r="N52" s="19">
        <f t="shared" si="13"/>
        <v>-1</v>
      </c>
      <c r="O52" s="11"/>
      <c r="P52" s="2">
        <v>38.049999999999997</v>
      </c>
      <c r="Q52" s="2"/>
      <c r="R52" s="19">
        <f t="shared" si="14"/>
        <v>3.0690582467732541E-3</v>
      </c>
      <c r="S52" s="2"/>
      <c r="T52" s="2">
        <v>255.8</v>
      </c>
      <c r="U52" s="2"/>
      <c r="V52" s="19">
        <f t="shared" si="15"/>
        <v>4.5936653390890045E-3</v>
      </c>
      <c r="W52" s="2"/>
      <c r="X52" s="2">
        <f t="shared" si="16"/>
        <v>-217.75</v>
      </c>
      <c r="Y52" s="2"/>
      <c r="Z52" s="19">
        <f t="shared" si="17"/>
        <v>-0.85125097732603594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6" t="s">
        <v>6</v>
      </c>
      <c r="C54" s="26"/>
      <c r="D54" s="22">
        <f>D12-D36</f>
        <v>3392.9400000000005</v>
      </c>
      <c r="E54" s="13"/>
      <c r="F54" s="21">
        <f>IF(D$12=0,0,D54/D$12)</f>
        <v>0.27366965802383303</v>
      </c>
      <c r="G54" s="13"/>
      <c r="H54" s="22">
        <f>H12-H36</f>
        <v>25206.159999999993</v>
      </c>
      <c r="I54" s="13"/>
      <c r="J54" s="21">
        <f>IF(H$12=0,0,H54/H$12)</f>
        <v>0.47327139499453802</v>
      </c>
      <c r="K54" s="16"/>
      <c r="L54" s="22">
        <f>+D54-H54</f>
        <v>-21813.219999999994</v>
      </c>
      <c r="M54" s="16"/>
      <c r="N54" s="21">
        <f>IF(H54=0,0,L54/H54)</f>
        <v>-0.86539242788270809</v>
      </c>
      <c r="O54" s="25"/>
      <c r="P54" s="22">
        <f>P12-P36</f>
        <v>3354.8900000000012</v>
      </c>
      <c r="Q54" s="13"/>
      <c r="R54" s="21">
        <f>IF(P$12=0,0,P54/P$12)</f>
        <v>0.2706005997770598</v>
      </c>
      <c r="S54" s="13"/>
      <c r="T54" s="22">
        <f>T12-T36</f>
        <v>26267.239999999987</v>
      </c>
      <c r="U54" s="13"/>
      <c r="V54" s="21">
        <f>IF(T$12=0,0,T54/T$12)</f>
        <v>0.4717080138449265</v>
      </c>
      <c r="W54" s="16"/>
      <c r="X54" s="22">
        <f>+P54-T54</f>
        <v>-22912.349999999984</v>
      </c>
      <c r="Y54" s="16"/>
      <c r="Z54" s="21">
        <f>IF(T54=0,0,X54/T54)</f>
        <v>-0.87227854924994008</v>
      </c>
    </row>
    <row r="55" spans="1:26" x14ac:dyDescent="0.25">
      <c r="A55" s="9"/>
      <c r="B55" s="10"/>
      <c r="C55" s="9"/>
      <c r="D55" s="1"/>
      <c r="E55" s="1"/>
      <c r="F55" s="5"/>
      <c r="G55" s="1"/>
      <c r="H55" s="1"/>
      <c r="I55" s="1"/>
      <c r="J55" s="5"/>
      <c r="K55" s="1"/>
      <c r="L55" s="1"/>
      <c r="M55" s="1"/>
      <c r="N55" s="5"/>
      <c r="O55" s="37"/>
      <c r="P55" s="1"/>
      <c r="Q55" s="1"/>
      <c r="R55" s="5"/>
      <c r="S55" s="1"/>
      <c r="T55" s="1"/>
      <c r="U55" s="1"/>
      <c r="V55" s="5"/>
      <c r="W55" s="1"/>
      <c r="X55" s="1"/>
      <c r="Y55" s="1"/>
      <c r="Z55" s="5"/>
    </row>
    <row r="56" spans="1:26" s="23" customFormat="1" x14ac:dyDescent="0.25">
      <c r="A56" s="10"/>
      <c r="B56" s="25" t="s">
        <v>9</v>
      </c>
      <c r="C56" s="10"/>
      <c r="D56" s="20">
        <f>SUM(OSRRefD22x_0)</f>
        <v>5481.72</v>
      </c>
      <c r="E56" s="20"/>
      <c r="F56" s="35">
        <f t="shared" ref="F56:F65" si="18">IF(D$12=0,0,D56/D$12)</f>
        <v>0.44214764710911653</v>
      </c>
      <c r="G56" s="20"/>
      <c r="H56" s="20">
        <f>SUM(OSRRefH22x_0)</f>
        <v>8153.29</v>
      </c>
      <c r="I56" s="20"/>
      <c r="J56" s="35">
        <f t="shared" ref="J56:J65" si="19">IF(H$12=0,0,H56/H$12)</f>
        <v>0.15308634603981797</v>
      </c>
      <c r="K56" s="4"/>
      <c r="L56" s="20">
        <f t="shared" ref="L56:L65" si="20">+D56-H56</f>
        <v>-2671.5699999999997</v>
      </c>
      <c r="M56" s="4"/>
      <c r="N56" s="35">
        <f t="shared" ref="N56:N65" si="21">IF(H56=0,0,L56/H56)</f>
        <v>-0.32766772677042028</v>
      </c>
      <c r="O56" s="10"/>
      <c r="P56" s="20">
        <f>SUM(OSRRefP22x_0)</f>
        <v>6585.0700000000006</v>
      </c>
      <c r="Q56" s="20"/>
      <c r="R56" s="35">
        <f t="shared" ref="R56:R65" si="22">IF(P$12=0,0,P56/P$12)</f>
        <v>0.53114227040943907</v>
      </c>
      <c r="S56" s="20"/>
      <c r="T56" s="20">
        <f>SUM(OSRRefT22x_0)</f>
        <v>19436.990000000002</v>
      </c>
      <c r="U56" s="20"/>
      <c r="V56" s="35">
        <f t="shared" ref="V56:V65" si="23">IF(T$12=0,0,T56/T$12)</f>
        <v>0.34905014565762155</v>
      </c>
      <c r="W56" s="4"/>
      <c r="X56" s="20">
        <f t="shared" ref="X56:X65" si="24">+P56-T56</f>
        <v>-12851.920000000002</v>
      </c>
      <c r="Y56" s="4"/>
      <c r="Z56" s="35">
        <f t="shared" ref="Z56:Z65" si="25">IF(T56=0,0,X56/T56)</f>
        <v>-0.66120937449677142</v>
      </c>
    </row>
    <row r="57" spans="1:26" s="28" customFormat="1" outlineLevel="1" collapsed="1" x14ac:dyDescent="0.25">
      <c r="A57" s="27"/>
      <c r="B57" s="14" t="str">
        <f>CONCATENATE("     ","*Benefits                                         ")</f>
        <v xml:space="preserve">     *Benefits                                         </v>
      </c>
      <c r="C57" s="14"/>
      <c r="D57" s="1">
        <f>SUM(OSRRefD22_0x_0)</f>
        <v>313.34000000000003</v>
      </c>
      <c r="E57" s="1"/>
      <c r="F57" s="5">
        <f t="shared" si="18"/>
        <v>2.5273553509695967E-2</v>
      </c>
      <c r="G57" s="1"/>
      <c r="H57" s="1">
        <f>SUM(OSRRefH22_0x_0)</f>
        <v>1596.77</v>
      </c>
      <c r="I57" s="1"/>
      <c r="J57" s="5">
        <f t="shared" si="19"/>
        <v>2.9980987400914247E-2</v>
      </c>
      <c r="K57" s="1"/>
      <c r="L57" s="1">
        <f t="shared" si="20"/>
        <v>-1283.4299999999998</v>
      </c>
      <c r="M57" s="1"/>
      <c r="N57" s="5">
        <f t="shared" si="21"/>
        <v>-0.80376635332577628</v>
      </c>
      <c r="O57" s="14"/>
      <c r="P57" s="1">
        <f>SUM(OSRRefP22_0x_0)</f>
        <v>313.34000000000003</v>
      </c>
      <c r="Q57" s="1"/>
      <c r="R57" s="5">
        <f t="shared" si="22"/>
        <v>2.5273553509695967E-2</v>
      </c>
      <c r="S57" s="1"/>
      <c r="T57" s="1">
        <f>SUM(OSRRefT22_0x_0)</f>
        <v>3200.52</v>
      </c>
      <c r="U57" s="1"/>
      <c r="V57" s="5">
        <f t="shared" si="23"/>
        <v>5.7475050004148313E-2</v>
      </c>
      <c r="W57" s="1"/>
      <c r="X57" s="1">
        <f t="shared" si="24"/>
        <v>-2887.18</v>
      </c>
      <c r="Y57" s="1"/>
      <c r="Z57" s="5">
        <f t="shared" si="25"/>
        <v>-0.90209715921162803</v>
      </c>
    </row>
    <row r="58" spans="1:26" s="24" customFormat="1" hidden="1" outlineLevel="2" x14ac:dyDescent="0.25">
      <c r="A58" s="29"/>
      <c r="B58" s="11" t="str">
        <f>CONCATENATE("          ", "6111", " - ", "F.I.C.A.")</f>
        <v xml:space="preserve">          6111 - F.I.C.A.</v>
      </c>
      <c r="C58" s="11"/>
      <c r="D58" s="7">
        <v>257.36</v>
      </c>
      <c r="E58" s="2"/>
      <c r="F58" s="6">
        <f t="shared" si="18"/>
        <v>2.0758287263851899E-2</v>
      </c>
      <c r="G58" s="2"/>
      <c r="H58" s="7">
        <v>357.38</v>
      </c>
      <c r="I58" s="2"/>
      <c r="J58" s="6">
        <f t="shared" si="19"/>
        <v>6.7101744630339586E-3</v>
      </c>
      <c r="K58" s="2"/>
      <c r="L58" s="7">
        <f t="shared" si="20"/>
        <v>-100.01999999999998</v>
      </c>
      <c r="M58" s="2"/>
      <c r="N58" s="6">
        <f t="shared" si="21"/>
        <v>-0.27987016620963673</v>
      </c>
      <c r="O58" s="11"/>
      <c r="P58" s="7">
        <v>257.36</v>
      </c>
      <c r="Q58" s="2"/>
      <c r="R58" s="6">
        <f t="shared" si="22"/>
        <v>2.0758287263851899E-2</v>
      </c>
      <c r="S58" s="2"/>
      <c r="T58" s="7">
        <v>721.63</v>
      </c>
      <c r="U58" s="2"/>
      <c r="V58" s="6">
        <f t="shared" si="23"/>
        <v>1.295905675780609E-2</v>
      </c>
      <c r="W58" s="2"/>
      <c r="X58" s="7">
        <f t="shared" si="24"/>
        <v>-464.27</v>
      </c>
      <c r="Y58" s="2"/>
      <c r="Z58" s="6">
        <f t="shared" si="25"/>
        <v>-0.6433629422280116</v>
      </c>
    </row>
    <row r="59" spans="1:26" s="24" customFormat="1" hidden="1" outlineLevel="2" x14ac:dyDescent="0.25">
      <c r="A59" s="29"/>
      <c r="B59" s="11" t="str">
        <f>CONCATENATE("          ", "6112", " - ", "COMPENSATION INSURANCE")</f>
        <v xml:space="preserve">          6112 - COMPENSATION INSURANCE</v>
      </c>
      <c r="C59" s="11"/>
      <c r="D59" s="7">
        <v>47.24</v>
      </c>
      <c r="E59" s="2"/>
      <c r="F59" s="6">
        <f t="shared" si="18"/>
        <v>3.8103104225379377E-3</v>
      </c>
      <c r="G59" s="2"/>
      <c r="H59" s="7">
        <v>88.76</v>
      </c>
      <c r="I59" s="2"/>
      <c r="J59" s="6">
        <f t="shared" si="19"/>
        <v>1.6665596433457221E-3</v>
      </c>
      <c r="K59" s="2"/>
      <c r="L59" s="7">
        <f t="shared" si="20"/>
        <v>-41.52</v>
      </c>
      <c r="M59" s="2"/>
      <c r="N59" s="6">
        <f t="shared" si="21"/>
        <v>-0.46777827850383058</v>
      </c>
      <c r="O59" s="11"/>
      <c r="P59" s="7">
        <v>47.24</v>
      </c>
      <c r="Q59" s="2"/>
      <c r="R59" s="6">
        <f t="shared" si="22"/>
        <v>3.8103104225379377E-3</v>
      </c>
      <c r="S59" s="2"/>
      <c r="T59" s="7">
        <v>178.74</v>
      </c>
      <c r="U59" s="2"/>
      <c r="V59" s="6">
        <f t="shared" si="23"/>
        <v>3.2098191661797055E-3</v>
      </c>
      <c r="W59" s="2"/>
      <c r="X59" s="7">
        <f t="shared" si="24"/>
        <v>-131.5</v>
      </c>
      <c r="Y59" s="2"/>
      <c r="Z59" s="6">
        <f t="shared" si="25"/>
        <v>-0.73570549401365104</v>
      </c>
    </row>
    <row r="60" spans="1:26" s="24" customFormat="1" hidden="1" outlineLevel="2" x14ac:dyDescent="0.25">
      <c r="A60" s="29"/>
      <c r="B60" s="11" t="str">
        <f>CONCATENATE("          ", "6113", " - ", "GROUP INSURANCE")</f>
        <v xml:space="preserve">          6113 - GROUP INSURANCE</v>
      </c>
      <c r="C60" s="11"/>
      <c r="D60" s="7"/>
      <c r="E60" s="2"/>
      <c r="F60" s="6">
        <f t="shared" si="18"/>
        <v>0</v>
      </c>
      <c r="G60" s="2"/>
      <c r="H60" s="7">
        <v>488.51</v>
      </c>
      <c r="I60" s="2"/>
      <c r="J60" s="6">
        <f t="shared" si="19"/>
        <v>9.1722741254035445E-3</v>
      </c>
      <c r="K60" s="2"/>
      <c r="L60" s="7">
        <f t="shared" si="20"/>
        <v>-488.51</v>
      </c>
      <c r="M60" s="2"/>
      <c r="N60" s="6">
        <f t="shared" si="21"/>
        <v>-1</v>
      </c>
      <c r="O60" s="11"/>
      <c r="P60" s="7"/>
      <c r="Q60" s="2"/>
      <c r="R60" s="6">
        <f t="shared" si="22"/>
        <v>0</v>
      </c>
      <c r="S60" s="2"/>
      <c r="T60" s="7">
        <v>977.02</v>
      </c>
      <c r="U60" s="2"/>
      <c r="V60" s="6">
        <f t="shared" si="23"/>
        <v>1.7545359302567391E-2</v>
      </c>
      <c r="W60" s="2"/>
      <c r="X60" s="7">
        <f t="shared" si="24"/>
        <v>-977.02</v>
      </c>
      <c r="Y60" s="2"/>
      <c r="Z60" s="6">
        <f t="shared" si="25"/>
        <v>-1</v>
      </c>
    </row>
    <row r="61" spans="1:26" s="24" customFormat="1" hidden="1" outlineLevel="2" x14ac:dyDescent="0.25">
      <c r="A61" s="29"/>
      <c r="B61" s="11" t="str">
        <f>CONCATENATE("          ", "6114", " - ", "STATE UNEMPLOYMENT INSURANCE")</f>
        <v xml:space="preserve">          6114 - STATE UNEMPLOYMENT INSURANCE</v>
      </c>
      <c r="C61" s="11"/>
      <c r="D61" s="7">
        <v>8.74</v>
      </c>
      <c r="E61" s="2"/>
      <c r="F61" s="6">
        <f t="shared" si="18"/>
        <v>7.0495582330612992E-4</v>
      </c>
      <c r="G61" s="2"/>
      <c r="H61" s="7">
        <v>12.15</v>
      </c>
      <c r="I61" s="2"/>
      <c r="J61" s="6">
        <f t="shared" si="19"/>
        <v>2.2812865780363366E-4</v>
      </c>
      <c r="K61" s="2"/>
      <c r="L61" s="7">
        <f t="shared" si="20"/>
        <v>-3.41</v>
      </c>
      <c r="M61" s="2"/>
      <c r="N61" s="6">
        <f t="shared" si="21"/>
        <v>-0.28065843621399178</v>
      </c>
      <c r="O61" s="11"/>
      <c r="P61" s="7">
        <v>8.74</v>
      </c>
      <c r="Q61" s="2"/>
      <c r="R61" s="6">
        <f t="shared" si="22"/>
        <v>7.0495582330612992E-4</v>
      </c>
      <c r="S61" s="2"/>
      <c r="T61" s="7">
        <v>24.46</v>
      </c>
      <c r="U61" s="2"/>
      <c r="V61" s="6">
        <f t="shared" si="23"/>
        <v>4.3925353476980864E-4</v>
      </c>
      <c r="W61" s="2"/>
      <c r="X61" s="7">
        <f t="shared" si="24"/>
        <v>-15.72</v>
      </c>
      <c r="Y61" s="2"/>
      <c r="Z61" s="6">
        <f t="shared" si="25"/>
        <v>-0.64268192968111204</v>
      </c>
    </row>
    <row r="62" spans="1:26" s="24" customFormat="1" hidden="1" outlineLevel="2" x14ac:dyDescent="0.25">
      <c r="A62" s="29"/>
      <c r="B62" s="11" t="str">
        <f>CONCATENATE("          ", "6115", " - ", "P.E.R.S.")</f>
        <v xml:space="preserve">          6115 - P.E.R.S.</v>
      </c>
      <c r="C62" s="11"/>
      <c r="D62" s="7"/>
      <c r="E62" s="2"/>
      <c r="F62" s="6">
        <f t="shared" si="18"/>
        <v>0</v>
      </c>
      <c r="G62" s="2"/>
      <c r="H62" s="7">
        <v>201.17</v>
      </c>
      <c r="I62" s="2"/>
      <c r="J62" s="6">
        <f t="shared" si="19"/>
        <v>3.7771721885067472E-3</v>
      </c>
      <c r="K62" s="2"/>
      <c r="L62" s="7">
        <f t="shared" si="20"/>
        <v>-201.17</v>
      </c>
      <c r="M62" s="2"/>
      <c r="N62" s="6">
        <f t="shared" si="21"/>
        <v>-1</v>
      </c>
      <c r="O62" s="11"/>
      <c r="P62" s="7"/>
      <c r="Q62" s="2"/>
      <c r="R62" s="6">
        <f t="shared" si="22"/>
        <v>0</v>
      </c>
      <c r="S62" s="2"/>
      <c r="T62" s="7">
        <v>402.34</v>
      </c>
      <c r="U62" s="2"/>
      <c r="V62" s="6">
        <f t="shared" si="23"/>
        <v>7.2252357800198196E-3</v>
      </c>
      <c r="W62" s="2"/>
      <c r="X62" s="7">
        <f t="shared" si="24"/>
        <v>-402.34</v>
      </c>
      <c r="Y62" s="2"/>
      <c r="Z62" s="6">
        <f t="shared" si="25"/>
        <v>-1</v>
      </c>
    </row>
    <row r="63" spans="1:26" s="24" customFormat="1" hidden="1" outlineLevel="2" x14ac:dyDescent="0.25">
      <c r="A63" s="29"/>
      <c r="B63" s="11" t="str">
        <f>CONCATENATE("          ", "6118", " - ", "VACATION")</f>
        <v xml:space="preserve">          6118 - VACATION</v>
      </c>
      <c r="C63" s="11"/>
      <c r="D63" s="7"/>
      <c r="E63" s="2"/>
      <c r="F63" s="6">
        <f t="shared" si="18"/>
        <v>0</v>
      </c>
      <c r="G63" s="2"/>
      <c r="H63" s="7">
        <v>165.96</v>
      </c>
      <c r="I63" s="2"/>
      <c r="J63" s="6">
        <f t="shared" si="19"/>
        <v>3.1160684814066702E-3</v>
      </c>
      <c r="K63" s="2"/>
      <c r="L63" s="7">
        <f t="shared" si="20"/>
        <v>-165.96</v>
      </c>
      <c r="M63" s="2"/>
      <c r="N63" s="6">
        <f t="shared" si="21"/>
        <v>-1</v>
      </c>
      <c r="O63" s="11"/>
      <c r="P63" s="7"/>
      <c r="Q63" s="2"/>
      <c r="R63" s="6">
        <f t="shared" si="22"/>
        <v>0</v>
      </c>
      <c r="S63" s="2"/>
      <c r="T63" s="7">
        <v>331.92</v>
      </c>
      <c r="U63" s="2"/>
      <c r="V63" s="6">
        <f t="shared" si="23"/>
        <v>5.9606309591494228E-3</v>
      </c>
      <c r="W63" s="2"/>
      <c r="X63" s="7">
        <f t="shared" si="24"/>
        <v>-331.92</v>
      </c>
      <c r="Y63" s="2"/>
      <c r="Z63" s="6">
        <f t="shared" si="25"/>
        <v>-1</v>
      </c>
    </row>
    <row r="64" spans="1:26" s="24" customFormat="1" hidden="1" outlineLevel="2" x14ac:dyDescent="0.25">
      <c r="A64" s="29"/>
      <c r="B64" s="11" t="str">
        <f>CONCATENATE("          ", "6119", " - ", "SICK LEAVE")</f>
        <v xml:space="preserve">          6119 - SICK LEAVE</v>
      </c>
      <c r="C64" s="11"/>
      <c r="D64" s="7"/>
      <c r="E64" s="2"/>
      <c r="F64" s="6">
        <f t="shared" si="18"/>
        <v>0</v>
      </c>
      <c r="G64" s="2"/>
      <c r="H64" s="7">
        <v>132.84</v>
      </c>
      <c r="I64" s="2"/>
      <c r="J64" s="6">
        <f t="shared" si="19"/>
        <v>2.4942066586530615E-3</v>
      </c>
      <c r="K64" s="2"/>
      <c r="L64" s="7">
        <f t="shared" si="20"/>
        <v>-132.84</v>
      </c>
      <c r="M64" s="2"/>
      <c r="N64" s="6">
        <f t="shared" si="21"/>
        <v>-1</v>
      </c>
      <c r="O64" s="11"/>
      <c r="P64" s="7"/>
      <c r="Q64" s="2"/>
      <c r="R64" s="6">
        <f t="shared" si="22"/>
        <v>0</v>
      </c>
      <c r="S64" s="2"/>
      <c r="T64" s="7">
        <v>265.68</v>
      </c>
      <c r="U64" s="2"/>
      <c r="V64" s="6">
        <f t="shared" si="23"/>
        <v>4.7710907243517066E-3</v>
      </c>
      <c r="W64" s="2"/>
      <c r="X64" s="7">
        <f t="shared" si="24"/>
        <v>-265.68</v>
      </c>
      <c r="Y64" s="2"/>
      <c r="Z64" s="6">
        <f t="shared" si="25"/>
        <v>-1</v>
      </c>
    </row>
    <row r="65" spans="1:26" s="24" customFormat="1" hidden="1" outlineLevel="2" x14ac:dyDescent="0.25">
      <c r="A65" s="29"/>
      <c r="B65" s="11" t="str">
        <f>CONCATENATE("          ", "6156", " - ", "EMPLOYEE MEALS")</f>
        <v xml:space="preserve">          6156 - EMPLOYEE MEALS</v>
      </c>
      <c r="C65" s="11"/>
      <c r="D65" s="7"/>
      <c r="E65" s="2"/>
      <c r="F65" s="6">
        <f t="shared" si="18"/>
        <v>0</v>
      </c>
      <c r="G65" s="2"/>
      <c r="H65" s="7">
        <v>150</v>
      </c>
      <c r="I65" s="2"/>
      <c r="J65" s="6">
        <f t="shared" si="19"/>
        <v>2.8164031827609091E-3</v>
      </c>
      <c r="K65" s="2"/>
      <c r="L65" s="7">
        <f t="shared" si="20"/>
        <v>-150</v>
      </c>
      <c r="M65" s="2"/>
      <c r="N65" s="6">
        <f t="shared" si="21"/>
        <v>-1</v>
      </c>
      <c r="O65" s="11"/>
      <c r="P65" s="7"/>
      <c r="Q65" s="2"/>
      <c r="R65" s="6">
        <f t="shared" si="22"/>
        <v>0</v>
      </c>
      <c r="S65" s="2"/>
      <c r="T65" s="7">
        <v>298.73</v>
      </c>
      <c r="U65" s="2"/>
      <c r="V65" s="6">
        <f t="shared" si="23"/>
        <v>5.3646037793043718E-3</v>
      </c>
      <c r="W65" s="2"/>
      <c r="X65" s="7">
        <f t="shared" si="24"/>
        <v>-298.73</v>
      </c>
      <c r="Y65" s="2"/>
      <c r="Z65" s="6">
        <f t="shared" si="25"/>
        <v>-1</v>
      </c>
    </row>
    <row r="66" spans="1:26" s="28" customFormat="1" outlineLevel="1" collapsed="1" x14ac:dyDescent="0.25">
      <c r="A66" s="27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4507.12</v>
      </c>
      <c r="E66" s="1"/>
      <c r="F66" s="5">
        <f t="shared" ref="F66:F70" si="26">IF(D$12=0,0,D66/D$12)</f>
        <v>0.36353781353999132</v>
      </c>
      <c r="G66" s="1"/>
      <c r="H66" s="1">
        <f>SUM(OSRRefH22_1x_0)</f>
        <v>3840.56</v>
      </c>
      <c r="I66" s="1"/>
      <c r="J66" s="5">
        <f t="shared" ref="J66:J70" si="27">IF(H$12=0,0,H66/H$12)</f>
        <v>7.2110436050561583E-2</v>
      </c>
      <c r="K66" s="1"/>
      <c r="L66" s="1">
        <f t="shared" ref="L66:L70" si="28">+D66-H66</f>
        <v>666.56</v>
      </c>
      <c r="M66" s="1"/>
      <c r="N66" s="5">
        <f t="shared" ref="N66:N70" si="29">IF(H66=0,0,L66/H66)</f>
        <v>0.17355802278834334</v>
      </c>
      <c r="O66" s="14"/>
      <c r="P66" s="1">
        <f>SUM(OSRRefP22_1x_0)</f>
        <v>4507.12</v>
      </c>
      <c r="Q66" s="1"/>
      <c r="R66" s="5">
        <f t="shared" ref="R66:R70" si="30">IF(P$12=0,0,P66/P$12)</f>
        <v>0.36353781353999132</v>
      </c>
      <c r="S66" s="1"/>
      <c r="T66" s="1">
        <f>SUM(OSRRefT22_1x_0)</f>
        <v>11658.75</v>
      </c>
      <c r="U66" s="1"/>
      <c r="V66" s="5">
        <f t="shared" ref="V66:V70" si="31">IF(T$12=0,0,T66/T$12)</f>
        <v>0.2093682399222202</v>
      </c>
      <c r="W66" s="1"/>
      <c r="X66" s="1">
        <f t="shared" ref="X66:X70" si="32">+P66-T66</f>
        <v>-7151.63</v>
      </c>
      <c r="Y66" s="1"/>
      <c r="Z66" s="5">
        <f t="shared" ref="Z66:Z70" si="33">IF(T66=0,0,X66/T66)</f>
        <v>-0.61341310174761443</v>
      </c>
    </row>
    <row r="67" spans="1:26" s="24" customFormat="1" hidden="1" outlineLevel="2" x14ac:dyDescent="0.25">
      <c r="A67" s="29"/>
      <c r="B67" s="11" t="str">
        <f>CONCATENATE("          ", "6002", " - ", "STAFF SALARIES")</f>
        <v xml:space="preserve">          6002 - STAFF SALARIES</v>
      </c>
      <c r="C67" s="11"/>
      <c r="D67" s="7"/>
      <c r="E67" s="2"/>
      <c r="F67" s="6">
        <f t="shared" si="26"/>
        <v>0</v>
      </c>
      <c r="G67" s="2"/>
      <c r="H67" s="7">
        <v>707</v>
      </c>
      <c r="I67" s="2"/>
      <c r="J67" s="6">
        <f t="shared" si="27"/>
        <v>1.3274647001413085E-2</v>
      </c>
      <c r="K67" s="2"/>
      <c r="L67" s="7">
        <f t="shared" si="28"/>
        <v>-707</v>
      </c>
      <c r="M67" s="2"/>
      <c r="N67" s="6">
        <f t="shared" si="29"/>
        <v>-1</v>
      </c>
      <c r="O67" s="11"/>
      <c r="P67" s="7"/>
      <c r="Q67" s="2"/>
      <c r="R67" s="6">
        <f t="shared" si="30"/>
        <v>0</v>
      </c>
      <c r="S67" s="2"/>
      <c r="T67" s="7">
        <v>6336</v>
      </c>
      <c r="U67" s="2"/>
      <c r="V67" s="6">
        <f t="shared" si="31"/>
        <v>0.11378210941543365</v>
      </c>
      <c r="W67" s="2"/>
      <c r="X67" s="7">
        <f t="shared" si="32"/>
        <v>-6336</v>
      </c>
      <c r="Y67" s="2"/>
      <c r="Z67" s="6">
        <f t="shared" si="33"/>
        <v>-1</v>
      </c>
    </row>
    <row r="68" spans="1:26" s="24" customFormat="1" hidden="1" outlineLevel="2" x14ac:dyDescent="0.25">
      <c r="A68" s="29"/>
      <c r="B68" s="11" t="str">
        <f>CONCATENATE("          ", "6005", " - ", "TEMPORARY WAGES-HOURLY")</f>
        <v xml:space="preserve">          6005 - TEMPORARY WAGES-HOURLY</v>
      </c>
      <c r="C68" s="11"/>
      <c r="D68" s="7">
        <v>2408.23</v>
      </c>
      <c r="E68" s="2"/>
      <c r="F68" s="6">
        <f t="shared" si="26"/>
        <v>0.19424436640280562</v>
      </c>
      <c r="G68" s="2"/>
      <c r="H68" s="7"/>
      <c r="I68" s="2"/>
      <c r="J68" s="6">
        <f t="shared" si="27"/>
        <v>0</v>
      </c>
      <c r="K68" s="2"/>
      <c r="L68" s="7">
        <f t="shared" si="28"/>
        <v>2408.23</v>
      </c>
      <c r="M68" s="2"/>
      <c r="N68" s="6">
        <f t="shared" si="29"/>
        <v>0</v>
      </c>
      <c r="O68" s="11"/>
      <c r="P68" s="7">
        <v>2408.23</v>
      </c>
      <c r="Q68" s="2"/>
      <c r="R68" s="6">
        <f t="shared" si="30"/>
        <v>0.19424436640280562</v>
      </c>
      <c r="S68" s="2"/>
      <c r="T68" s="7"/>
      <c r="U68" s="2"/>
      <c r="V68" s="6">
        <f t="shared" si="31"/>
        <v>0</v>
      </c>
      <c r="W68" s="2"/>
      <c r="X68" s="7">
        <f t="shared" si="32"/>
        <v>2408.23</v>
      </c>
      <c r="Y68" s="2"/>
      <c r="Z68" s="6">
        <f t="shared" si="33"/>
        <v>0</v>
      </c>
    </row>
    <row r="69" spans="1:26" s="24" customFormat="1" hidden="1" outlineLevel="2" x14ac:dyDescent="0.25">
      <c r="A69" s="29"/>
      <c r="B69" s="11" t="str">
        <f>CONCATENATE("          ", "6006", " - ", "TEMPORARY PART TIME")</f>
        <v xml:space="preserve">          6006 - TEMPORARY PART TIME</v>
      </c>
      <c r="C69" s="11"/>
      <c r="D69" s="7"/>
      <c r="E69" s="2"/>
      <c r="F69" s="6">
        <f t="shared" si="26"/>
        <v>0</v>
      </c>
      <c r="G69" s="2"/>
      <c r="H69" s="7"/>
      <c r="I69" s="2"/>
      <c r="J69" s="6">
        <f t="shared" si="27"/>
        <v>0</v>
      </c>
      <c r="K69" s="2"/>
      <c r="L69" s="7">
        <f t="shared" si="28"/>
        <v>0</v>
      </c>
      <c r="M69" s="2"/>
      <c r="N69" s="6">
        <f t="shared" si="29"/>
        <v>0</v>
      </c>
      <c r="O69" s="11"/>
      <c r="P69" s="7"/>
      <c r="Q69" s="2"/>
      <c r="R69" s="6">
        <f t="shared" si="30"/>
        <v>0</v>
      </c>
      <c r="S69" s="2"/>
      <c r="T69" s="7">
        <v>25.5</v>
      </c>
      <c r="U69" s="2"/>
      <c r="V69" s="6">
        <f t="shared" si="31"/>
        <v>4.5792989111325099E-4</v>
      </c>
      <c r="W69" s="2"/>
      <c r="X69" s="7">
        <f t="shared" si="32"/>
        <v>-25.5</v>
      </c>
      <c r="Y69" s="2"/>
      <c r="Z69" s="6">
        <f t="shared" si="33"/>
        <v>-1</v>
      </c>
    </row>
    <row r="70" spans="1:26" s="24" customFormat="1" hidden="1" outlineLevel="2" x14ac:dyDescent="0.25">
      <c r="A70" s="29"/>
      <c r="B70" s="11" t="str">
        <f>CONCATENATE("          ", "6007", " - ", "STUDENT HOURLY")</f>
        <v xml:space="preserve">          6007 - STUDENT HOURLY</v>
      </c>
      <c r="C70" s="11"/>
      <c r="D70" s="7">
        <v>2098.89</v>
      </c>
      <c r="E70" s="2"/>
      <c r="F70" s="6">
        <f t="shared" si="26"/>
        <v>0.16929344713718567</v>
      </c>
      <c r="G70" s="2"/>
      <c r="H70" s="7">
        <v>3133.56</v>
      </c>
      <c r="I70" s="2"/>
      <c r="J70" s="6">
        <f t="shared" si="27"/>
        <v>5.8835789049148497E-2</v>
      </c>
      <c r="K70" s="2"/>
      <c r="L70" s="7">
        <f t="shared" si="28"/>
        <v>-1034.67</v>
      </c>
      <c r="M70" s="2"/>
      <c r="N70" s="6">
        <f t="shared" si="29"/>
        <v>-0.33018994370620003</v>
      </c>
      <c r="O70" s="11"/>
      <c r="P70" s="7">
        <v>2098.89</v>
      </c>
      <c r="Q70" s="2"/>
      <c r="R70" s="6">
        <f t="shared" si="30"/>
        <v>0.16929344713718567</v>
      </c>
      <c r="S70" s="2"/>
      <c r="T70" s="7">
        <v>5297.25</v>
      </c>
      <c r="U70" s="2"/>
      <c r="V70" s="6">
        <f t="shared" si="31"/>
        <v>9.5128200615673286E-2</v>
      </c>
      <c r="W70" s="2"/>
      <c r="X70" s="7">
        <f t="shared" si="32"/>
        <v>-3198.36</v>
      </c>
      <c r="Y70" s="2"/>
      <c r="Z70" s="6">
        <f t="shared" si="33"/>
        <v>-0.60377743168625231</v>
      </c>
    </row>
    <row r="71" spans="1:26" s="28" customFormat="1" outlineLevel="1" collapsed="1" x14ac:dyDescent="0.25">
      <c r="A71" s="27"/>
      <c r="B71" s="14" t="str">
        <f>CONCATENATE("     ","Advertising/Promo                                 ")</f>
        <v xml:space="preserve">     Advertising/Promo                                 </v>
      </c>
      <c r="C71" s="14"/>
      <c r="D71" s="1">
        <f>SUM(OSRRefD22_2x_0)</f>
        <v>0</v>
      </c>
      <c r="E71" s="1"/>
      <c r="F71" s="5">
        <f t="shared" ref="F71:F77" si="34">IF(D$12=0,0,D71/D$12)</f>
        <v>0</v>
      </c>
      <c r="G71" s="1"/>
      <c r="H71" s="1">
        <f>SUM(OSRRefH22_2x_0)</f>
        <v>45.86</v>
      </c>
      <c r="I71" s="1"/>
      <c r="J71" s="5">
        <f t="shared" ref="J71:J77" si="35">IF(H$12=0,0,H71/H$12)</f>
        <v>8.6106833307610195E-4</v>
      </c>
      <c r="K71" s="1"/>
      <c r="L71" s="1">
        <f t="shared" ref="L71:L77" si="36">+D71-H71</f>
        <v>-45.86</v>
      </c>
      <c r="M71" s="1"/>
      <c r="N71" s="5">
        <f t="shared" ref="N71:N77" si="37">IF(H71=0,0,L71/H71)</f>
        <v>-1</v>
      </c>
      <c r="O71" s="14"/>
      <c r="P71" s="1">
        <f>SUM(OSRRefP22_2x_0)</f>
        <v>0</v>
      </c>
      <c r="Q71" s="1"/>
      <c r="R71" s="5">
        <f t="shared" ref="R71:R77" si="38">IF(P$12=0,0,P71/P$12)</f>
        <v>0</v>
      </c>
      <c r="S71" s="1"/>
      <c r="T71" s="1">
        <f>SUM(OSRRefT22_2x_0)</f>
        <v>45.86</v>
      </c>
      <c r="U71" s="1"/>
      <c r="V71" s="5">
        <f t="shared" ref="V71:V77" si="39">IF(T$12=0,0,T71/T$12)</f>
        <v>8.2355548260602709E-4</v>
      </c>
      <c r="W71" s="1"/>
      <c r="X71" s="1">
        <f t="shared" ref="X71:X77" si="40">+P71-T71</f>
        <v>-45.86</v>
      </c>
      <c r="Y71" s="1"/>
      <c r="Z71" s="5">
        <f t="shared" ref="Z71:Z77" si="41">IF(T71=0,0,X71/T71)</f>
        <v>-1</v>
      </c>
    </row>
    <row r="72" spans="1:26" s="24" customFormat="1" hidden="1" outlineLevel="2" x14ac:dyDescent="0.25">
      <c r="A72" s="29"/>
      <c r="B72" s="11" t="str">
        <f>CONCATENATE("          ", "6362", " - ", "ADVERTISING EXPENSE")</f>
        <v xml:space="preserve">          6362 - ADVERTISING EXPENSE</v>
      </c>
      <c r="C72" s="11"/>
      <c r="D72" s="7"/>
      <c r="E72" s="2"/>
      <c r="F72" s="6">
        <f t="shared" si="34"/>
        <v>0</v>
      </c>
      <c r="G72" s="2"/>
      <c r="H72" s="7">
        <v>45.86</v>
      </c>
      <c r="I72" s="2"/>
      <c r="J72" s="6">
        <f t="shared" si="35"/>
        <v>8.6106833307610195E-4</v>
      </c>
      <c r="K72" s="2"/>
      <c r="L72" s="7">
        <f t="shared" si="36"/>
        <v>-45.86</v>
      </c>
      <c r="M72" s="2"/>
      <c r="N72" s="6">
        <f t="shared" si="37"/>
        <v>-1</v>
      </c>
      <c r="O72" s="11"/>
      <c r="P72" s="7"/>
      <c r="Q72" s="2"/>
      <c r="R72" s="6">
        <f t="shared" si="38"/>
        <v>0</v>
      </c>
      <c r="S72" s="2"/>
      <c r="T72" s="7">
        <v>45.86</v>
      </c>
      <c r="U72" s="2"/>
      <c r="V72" s="6">
        <f t="shared" si="39"/>
        <v>8.2355548260602709E-4</v>
      </c>
      <c r="W72" s="2"/>
      <c r="X72" s="7">
        <f t="shared" si="40"/>
        <v>-45.86</v>
      </c>
      <c r="Y72" s="2"/>
      <c r="Z72" s="6">
        <f t="shared" si="41"/>
        <v>-1</v>
      </c>
    </row>
    <row r="73" spans="1:26" s="28" customFormat="1" outlineLevel="1" collapsed="1" x14ac:dyDescent="0.25">
      <c r="A73" s="27"/>
      <c r="B73" s="14" t="str">
        <f>CONCATENATE("     ","Bad Debts/Over/Short                              ")</f>
        <v xml:space="preserve">     Bad Debts/Over/Short                              </v>
      </c>
      <c r="C73" s="14"/>
      <c r="D73" s="1">
        <f>SUM(OSRRefD22_3x_0)</f>
        <v>0.3</v>
      </c>
      <c r="E73" s="1"/>
      <c r="F73" s="5">
        <f t="shared" si="34"/>
        <v>2.4197568305702396E-5</v>
      </c>
      <c r="G73" s="1"/>
      <c r="H73" s="1">
        <f>SUM(OSRRefH22_3x_0)</f>
        <v>-9.4499999999999993</v>
      </c>
      <c r="I73" s="1"/>
      <c r="J73" s="5">
        <f t="shared" si="35"/>
        <v>-1.7743340051393726E-4</v>
      </c>
      <c r="K73" s="1"/>
      <c r="L73" s="1">
        <f t="shared" si="36"/>
        <v>9.75</v>
      </c>
      <c r="M73" s="1"/>
      <c r="N73" s="5">
        <f t="shared" si="37"/>
        <v>-1.0317460317460319</v>
      </c>
      <c r="O73" s="14"/>
      <c r="P73" s="1">
        <f>SUM(OSRRefP22_3x_0)</f>
        <v>0.3</v>
      </c>
      <c r="Q73" s="1"/>
      <c r="R73" s="5">
        <f t="shared" si="38"/>
        <v>2.4197568305702396E-5</v>
      </c>
      <c r="S73" s="1"/>
      <c r="T73" s="1">
        <f>SUM(OSRRefT22_3x_0)</f>
        <v>-9.07</v>
      </c>
      <c r="U73" s="1"/>
      <c r="V73" s="5">
        <f t="shared" si="39"/>
        <v>-1.628793769567524E-4</v>
      </c>
      <c r="W73" s="1"/>
      <c r="X73" s="1">
        <f t="shared" si="40"/>
        <v>9.370000000000001</v>
      </c>
      <c r="Y73" s="1"/>
      <c r="Z73" s="5">
        <f t="shared" si="41"/>
        <v>-1.0330760749724366</v>
      </c>
    </row>
    <row r="74" spans="1:26" s="24" customFormat="1" hidden="1" outlineLevel="2" x14ac:dyDescent="0.25">
      <c r="A74" s="29"/>
      <c r="B74" s="11" t="str">
        <f>CONCATENATE("          ", "6272", " - ", "CASH (OVER/SHORT)")</f>
        <v xml:space="preserve">          6272 - CASH (OVER/SHORT)</v>
      </c>
      <c r="C74" s="11"/>
      <c r="D74" s="7">
        <v>0.3</v>
      </c>
      <c r="E74" s="2"/>
      <c r="F74" s="6">
        <f t="shared" si="34"/>
        <v>2.4197568305702396E-5</v>
      </c>
      <c r="G74" s="2"/>
      <c r="H74" s="7">
        <v>-9.4499999999999993</v>
      </c>
      <c r="I74" s="2"/>
      <c r="J74" s="6">
        <f t="shared" si="35"/>
        <v>-1.7743340051393726E-4</v>
      </c>
      <c r="K74" s="2"/>
      <c r="L74" s="7">
        <f t="shared" si="36"/>
        <v>9.75</v>
      </c>
      <c r="M74" s="2"/>
      <c r="N74" s="6">
        <f t="shared" si="37"/>
        <v>-1.0317460317460319</v>
      </c>
      <c r="O74" s="11"/>
      <c r="P74" s="7">
        <v>0.3</v>
      </c>
      <c r="Q74" s="2"/>
      <c r="R74" s="6">
        <f t="shared" si="38"/>
        <v>2.4197568305702396E-5</v>
      </c>
      <c r="S74" s="2"/>
      <c r="T74" s="7">
        <v>-9.07</v>
      </c>
      <c r="U74" s="2"/>
      <c r="V74" s="6">
        <f t="shared" si="39"/>
        <v>-1.628793769567524E-4</v>
      </c>
      <c r="W74" s="2"/>
      <c r="X74" s="7">
        <f t="shared" si="40"/>
        <v>9.370000000000001</v>
      </c>
      <c r="Y74" s="2"/>
      <c r="Z74" s="6">
        <f t="shared" si="41"/>
        <v>-1.0330760749724366</v>
      </c>
    </row>
    <row r="75" spans="1:26" s="28" customFormat="1" outlineLevel="1" collapsed="1" x14ac:dyDescent="0.25">
      <c r="A75" s="27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SUM(OSRRefD22_4x_0)</f>
        <v>0</v>
      </c>
      <c r="E75" s="1"/>
      <c r="F75" s="5">
        <f t="shared" si="34"/>
        <v>0</v>
      </c>
      <c r="G75" s="1"/>
      <c r="H75" s="1">
        <f>SUM(OSRRefH22_4x_0)</f>
        <v>2310.4499999999998</v>
      </c>
      <c r="I75" s="1"/>
      <c r="J75" s="5">
        <f t="shared" si="35"/>
        <v>4.338105822406628E-2</v>
      </c>
      <c r="K75" s="1"/>
      <c r="L75" s="1">
        <f t="shared" si="36"/>
        <v>-2310.4499999999998</v>
      </c>
      <c r="M75" s="1"/>
      <c r="N75" s="5">
        <f t="shared" si="37"/>
        <v>-1</v>
      </c>
      <c r="O75" s="14"/>
      <c r="P75" s="1">
        <f>SUM(OSRRefP22_4x_0)</f>
        <v>0</v>
      </c>
      <c r="Q75" s="1"/>
      <c r="R75" s="5">
        <f t="shared" si="38"/>
        <v>0</v>
      </c>
      <c r="S75" s="1"/>
      <c r="T75" s="1">
        <f>SUM(OSRRefT22_4x_0)</f>
        <v>2440.94</v>
      </c>
      <c r="U75" s="1"/>
      <c r="V75" s="5">
        <f t="shared" si="39"/>
        <v>4.3834485820156033E-2</v>
      </c>
      <c r="W75" s="1"/>
      <c r="X75" s="1">
        <f t="shared" si="40"/>
        <v>-2440.94</v>
      </c>
      <c r="Y75" s="1"/>
      <c r="Z75" s="5">
        <f t="shared" si="41"/>
        <v>-1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34"/>
        <v>0</v>
      </c>
      <c r="G76" s="2"/>
      <c r="H76" s="7">
        <v>2368.89</v>
      </c>
      <c r="I76" s="2"/>
      <c r="J76" s="6">
        <f t="shared" si="35"/>
        <v>4.4478328904069935E-2</v>
      </c>
      <c r="K76" s="2"/>
      <c r="L76" s="7">
        <f t="shared" si="36"/>
        <v>-2368.89</v>
      </c>
      <c r="M76" s="2"/>
      <c r="N76" s="6">
        <f t="shared" si="37"/>
        <v>-1</v>
      </c>
      <c r="O76" s="11"/>
      <c r="P76" s="7"/>
      <c r="Q76" s="2"/>
      <c r="R76" s="6">
        <f t="shared" si="38"/>
        <v>0</v>
      </c>
      <c r="S76" s="2"/>
      <c r="T76" s="7">
        <v>2499.38</v>
      </c>
      <c r="U76" s="2"/>
      <c r="V76" s="6">
        <f t="shared" si="39"/>
        <v>4.4883953382377932E-2</v>
      </c>
      <c r="W76" s="2"/>
      <c r="X76" s="7">
        <f t="shared" si="40"/>
        <v>-2499.38</v>
      </c>
      <c r="Y76" s="2"/>
      <c r="Z76" s="6">
        <f t="shared" si="41"/>
        <v>-1</v>
      </c>
    </row>
    <row r="77" spans="1:26" s="24" customFormat="1" hidden="1" outlineLevel="2" x14ac:dyDescent="0.25">
      <c r="A77" s="29"/>
      <c r="B77" s="11" t="str">
        <f>CONCATENATE("          ", "9175", " - ", "EARNED DISCOUNTS")</f>
        <v xml:space="preserve">          9175 - EARNED DISCOUNTS</v>
      </c>
      <c r="C77" s="11"/>
      <c r="D77" s="7"/>
      <c r="E77" s="2"/>
      <c r="F77" s="6">
        <f t="shared" si="34"/>
        <v>0</v>
      </c>
      <c r="G77" s="2"/>
      <c r="H77" s="7">
        <v>-58.44</v>
      </c>
      <c r="I77" s="2"/>
      <c r="J77" s="6">
        <f t="shared" si="35"/>
        <v>-1.0972706800036502E-3</v>
      </c>
      <c r="K77" s="2"/>
      <c r="L77" s="7">
        <f t="shared" si="36"/>
        <v>58.44</v>
      </c>
      <c r="M77" s="2"/>
      <c r="N77" s="6">
        <f t="shared" si="37"/>
        <v>-1</v>
      </c>
      <c r="O77" s="11"/>
      <c r="P77" s="7"/>
      <c r="Q77" s="2"/>
      <c r="R77" s="6">
        <f t="shared" si="38"/>
        <v>0</v>
      </c>
      <c r="S77" s="2"/>
      <c r="T77" s="7">
        <v>-58.44</v>
      </c>
      <c r="U77" s="2"/>
      <c r="V77" s="6">
        <f t="shared" si="39"/>
        <v>-1.0494675622218976E-3</v>
      </c>
      <c r="W77" s="2"/>
      <c r="X77" s="7">
        <f t="shared" si="40"/>
        <v>58.44</v>
      </c>
      <c r="Y77" s="2"/>
      <c r="Z77" s="6">
        <f t="shared" si="41"/>
        <v>-1</v>
      </c>
    </row>
    <row r="78" spans="1:26" s="28" customFormat="1" outlineLevel="1" collapsed="1" x14ac:dyDescent="0.25">
      <c r="A78" s="27"/>
      <c r="B78" s="14" t="str">
        <f>CONCATENATE("     ","General                                           ")</f>
        <v xml:space="preserve">     General                                           </v>
      </c>
      <c r="C78" s="14"/>
      <c r="D78" s="1">
        <f>SUM(OSRRefD22_5x_0)</f>
        <v>0</v>
      </c>
      <c r="E78" s="1"/>
      <c r="F78" s="5">
        <f t="shared" ref="F78:F86" si="42">IF(D$12=0,0,D78/D$12)</f>
        <v>0</v>
      </c>
      <c r="G78" s="1"/>
      <c r="H78" s="1">
        <f>SUM(OSRRefH22_5x_0)</f>
        <v>0</v>
      </c>
      <c r="I78" s="1"/>
      <c r="J78" s="5">
        <f t="shared" ref="J78:J86" si="43">IF(H$12=0,0,H78/H$12)</f>
        <v>0</v>
      </c>
      <c r="K78" s="1"/>
      <c r="L78" s="1">
        <f t="shared" ref="L78:L86" si="44">+D78-H78</f>
        <v>0</v>
      </c>
      <c r="M78" s="1"/>
      <c r="N78" s="5">
        <f t="shared" ref="N78:N86" si="45">IF(H78=0,0,L78/H78)</f>
        <v>0</v>
      </c>
      <c r="O78" s="14"/>
      <c r="P78" s="1">
        <f>SUM(OSRRefP22_5x_0)</f>
        <v>719.55</v>
      </c>
      <c r="Q78" s="1"/>
      <c r="R78" s="5">
        <f t="shared" ref="R78:R86" si="46">IF(P$12=0,0,P78/P$12)</f>
        <v>5.8037867581227198E-2</v>
      </c>
      <c r="S78" s="1"/>
      <c r="T78" s="1">
        <f>SUM(OSRRefT22_5x_0)</f>
        <v>694.55</v>
      </c>
      <c r="U78" s="1"/>
      <c r="V78" s="5">
        <f t="shared" ref="V78:V86" si="47">IF(T$12=0,0,T78/T$12)</f>
        <v>1.2472753171478763E-2</v>
      </c>
      <c r="W78" s="1"/>
      <c r="X78" s="1">
        <f t="shared" ref="X78:X86" si="48">+P78-T78</f>
        <v>25</v>
      </c>
      <c r="Y78" s="1"/>
      <c r="Z78" s="5">
        <f t="shared" ref="Z78:Z86" si="49">IF(T78=0,0,X78/T78)</f>
        <v>3.5994528831617599E-2</v>
      </c>
    </row>
    <row r="79" spans="1:26" s="24" customFormat="1" hidden="1" outlineLevel="2" x14ac:dyDescent="0.25">
      <c r="A79" s="29"/>
      <c r="B79" s="11" t="str">
        <f>CONCATENATE("          ", "6279", " - ", "GENERAL EXPENSE")</f>
        <v xml:space="preserve">          6279 - GENERAL EXPENSE</v>
      </c>
      <c r="C79" s="11"/>
      <c r="D79" s="7"/>
      <c r="E79" s="2"/>
      <c r="F79" s="6">
        <f t="shared" si="42"/>
        <v>0</v>
      </c>
      <c r="G79" s="2"/>
      <c r="H79" s="7"/>
      <c r="I79" s="2"/>
      <c r="J79" s="6">
        <f t="shared" si="43"/>
        <v>0</v>
      </c>
      <c r="K79" s="2"/>
      <c r="L79" s="7">
        <f t="shared" si="44"/>
        <v>0</v>
      </c>
      <c r="M79" s="2"/>
      <c r="N79" s="6">
        <f t="shared" si="45"/>
        <v>0</v>
      </c>
      <c r="O79" s="11"/>
      <c r="P79" s="7">
        <v>719.55</v>
      </c>
      <c r="Q79" s="2"/>
      <c r="R79" s="6">
        <f t="shared" si="46"/>
        <v>5.8037867581227198E-2</v>
      </c>
      <c r="S79" s="2"/>
      <c r="T79" s="7">
        <v>694.55</v>
      </c>
      <c r="U79" s="2"/>
      <c r="V79" s="6">
        <f t="shared" si="47"/>
        <v>1.2472753171478763E-2</v>
      </c>
      <c r="W79" s="2"/>
      <c r="X79" s="7">
        <f t="shared" si="48"/>
        <v>25</v>
      </c>
      <c r="Y79" s="2"/>
      <c r="Z79" s="6">
        <f t="shared" si="49"/>
        <v>3.5994528831617599E-2</v>
      </c>
    </row>
    <row r="80" spans="1:26" s="28" customFormat="1" outlineLevel="1" collapsed="1" x14ac:dyDescent="0.25">
      <c r="A80" s="27"/>
      <c r="B80" s="14" t="str">
        <f>CONCATENATE("     ","Professional Services                             ")</f>
        <v xml:space="preserve">     Professional Services                             </v>
      </c>
      <c r="C80" s="14"/>
      <c r="D80" s="1">
        <f>SUM(OSRRefD22_6x_0)</f>
        <v>0</v>
      </c>
      <c r="E80" s="1"/>
      <c r="F80" s="5">
        <f t="shared" si="42"/>
        <v>0</v>
      </c>
      <c r="G80" s="1"/>
      <c r="H80" s="1">
        <f>SUM(OSRRefH22_6x_0)</f>
        <v>0</v>
      </c>
      <c r="I80" s="1"/>
      <c r="J80" s="5">
        <f t="shared" si="43"/>
        <v>0</v>
      </c>
      <c r="K80" s="1"/>
      <c r="L80" s="1">
        <f t="shared" si="44"/>
        <v>0</v>
      </c>
      <c r="M80" s="1"/>
      <c r="N80" s="5">
        <f t="shared" si="45"/>
        <v>0</v>
      </c>
      <c r="O80" s="14"/>
      <c r="P80" s="1">
        <f>SUM(OSRRefP22_6x_0)</f>
        <v>0</v>
      </c>
      <c r="Q80" s="1"/>
      <c r="R80" s="5">
        <f t="shared" si="46"/>
        <v>0</v>
      </c>
      <c r="S80" s="1"/>
      <c r="T80" s="1">
        <f>SUM(OSRRefT22_6x_0)</f>
        <v>750</v>
      </c>
      <c r="U80" s="1"/>
      <c r="V80" s="5">
        <f t="shared" si="47"/>
        <v>1.3468526209213265E-2</v>
      </c>
      <c r="W80" s="1"/>
      <c r="X80" s="1">
        <f t="shared" si="48"/>
        <v>-750</v>
      </c>
      <c r="Y80" s="1"/>
      <c r="Z80" s="5">
        <f t="shared" si="49"/>
        <v>-1</v>
      </c>
    </row>
    <row r="81" spans="1:26" s="24" customFormat="1" hidden="1" outlineLevel="2" x14ac:dyDescent="0.25">
      <c r="A81" s="29"/>
      <c r="B81" s="11" t="str">
        <f>CONCATENATE("          ", "6336", " - ", "PROFESSIONAL SERVICES")</f>
        <v xml:space="preserve">          6336 - PROFESSIONAL SERVICES</v>
      </c>
      <c r="C81" s="11"/>
      <c r="D81" s="7"/>
      <c r="E81" s="2"/>
      <c r="F81" s="6">
        <f t="shared" si="42"/>
        <v>0</v>
      </c>
      <c r="G81" s="2"/>
      <c r="H81" s="7"/>
      <c r="I81" s="2"/>
      <c r="J81" s="6">
        <f t="shared" si="43"/>
        <v>0</v>
      </c>
      <c r="K81" s="2"/>
      <c r="L81" s="7">
        <f t="shared" si="44"/>
        <v>0</v>
      </c>
      <c r="M81" s="2"/>
      <c r="N81" s="6">
        <f t="shared" si="45"/>
        <v>0</v>
      </c>
      <c r="O81" s="11"/>
      <c r="P81" s="7"/>
      <c r="Q81" s="2"/>
      <c r="R81" s="6">
        <f t="shared" si="46"/>
        <v>0</v>
      </c>
      <c r="S81" s="2"/>
      <c r="T81" s="7">
        <v>750</v>
      </c>
      <c r="U81" s="2"/>
      <c r="V81" s="6">
        <f t="shared" si="47"/>
        <v>1.3468526209213265E-2</v>
      </c>
      <c r="W81" s="2"/>
      <c r="X81" s="7">
        <f t="shared" si="48"/>
        <v>-750</v>
      </c>
      <c r="Y81" s="2"/>
      <c r="Z81" s="6">
        <f t="shared" si="49"/>
        <v>-1</v>
      </c>
    </row>
    <row r="82" spans="1:26" s="28" customFormat="1" outlineLevel="1" collapsed="1" x14ac:dyDescent="0.25">
      <c r="A82" s="27"/>
      <c r="B82" s="14" t="str">
        <f>CONCATENATE("     ","Repair and Maintenance                            ")</f>
        <v xml:space="preserve">     Repair and Maintenance                            </v>
      </c>
      <c r="C82" s="14"/>
      <c r="D82" s="1">
        <f>SUM(OSRRefD22_7x_0)</f>
        <v>78.599999999999994</v>
      </c>
      <c r="E82" s="1"/>
      <c r="F82" s="5">
        <f t="shared" si="42"/>
        <v>6.3397628960940276E-3</v>
      </c>
      <c r="G82" s="1"/>
      <c r="H82" s="1">
        <f>SUM(OSRRefH22_7x_0)</f>
        <v>0</v>
      </c>
      <c r="I82" s="1"/>
      <c r="J82" s="5">
        <f t="shared" si="43"/>
        <v>0</v>
      </c>
      <c r="K82" s="1"/>
      <c r="L82" s="1">
        <f t="shared" si="44"/>
        <v>78.599999999999994</v>
      </c>
      <c r="M82" s="1"/>
      <c r="N82" s="5">
        <f t="shared" si="45"/>
        <v>0</v>
      </c>
      <c r="O82" s="14"/>
      <c r="P82" s="1">
        <f>SUM(OSRRefP22_7x_0)</f>
        <v>78.599999999999994</v>
      </c>
      <c r="Q82" s="1"/>
      <c r="R82" s="5">
        <f t="shared" si="46"/>
        <v>6.3397628960940276E-3</v>
      </c>
      <c r="S82" s="1"/>
      <c r="T82" s="1">
        <f>SUM(OSRRefT22_7x_0)</f>
        <v>0</v>
      </c>
      <c r="U82" s="1"/>
      <c r="V82" s="5">
        <f t="shared" si="47"/>
        <v>0</v>
      </c>
      <c r="W82" s="1"/>
      <c r="X82" s="1">
        <f t="shared" si="48"/>
        <v>78.599999999999994</v>
      </c>
      <c r="Y82" s="1"/>
      <c r="Z82" s="5">
        <f t="shared" si="49"/>
        <v>0</v>
      </c>
    </row>
    <row r="83" spans="1:26" s="24" customFormat="1" hidden="1" outlineLevel="2" x14ac:dyDescent="0.25">
      <c r="A83" s="29"/>
      <c r="B83" s="11" t="str">
        <f>CONCATENATE("          ", "6373", " - ", "MAINTENANCE CONTRACTS")</f>
        <v xml:space="preserve">          6373 - MAINTENANCE CONTRACTS</v>
      </c>
      <c r="C83" s="11"/>
      <c r="D83" s="7">
        <v>78.599999999999994</v>
      </c>
      <c r="E83" s="2"/>
      <c r="F83" s="6">
        <f t="shared" si="42"/>
        <v>6.3397628960940276E-3</v>
      </c>
      <c r="G83" s="2"/>
      <c r="H83" s="7"/>
      <c r="I83" s="2"/>
      <c r="J83" s="6">
        <f t="shared" si="43"/>
        <v>0</v>
      </c>
      <c r="K83" s="2"/>
      <c r="L83" s="7">
        <f t="shared" si="44"/>
        <v>78.599999999999994</v>
      </c>
      <c r="M83" s="2"/>
      <c r="N83" s="6">
        <f t="shared" si="45"/>
        <v>0</v>
      </c>
      <c r="O83" s="11"/>
      <c r="P83" s="7">
        <v>78.599999999999994</v>
      </c>
      <c r="Q83" s="2"/>
      <c r="R83" s="6">
        <f t="shared" si="46"/>
        <v>6.3397628960940276E-3</v>
      </c>
      <c r="S83" s="2"/>
      <c r="T83" s="7"/>
      <c r="U83" s="2"/>
      <c r="V83" s="6">
        <f t="shared" si="47"/>
        <v>0</v>
      </c>
      <c r="W83" s="2"/>
      <c r="X83" s="7">
        <f t="shared" si="48"/>
        <v>78.599999999999994</v>
      </c>
      <c r="Y83" s="2"/>
      <c r="Z83" s="6">
        <f t="shared" si="49"/>
        <v>0</v>
      </c>
    </row>
    <row r="84" spans="1:26" s="28" customFormat="1" outlineLevel="1" collapsed="1" x14ac:dyDescent="0.25">
      <c r="A84" s="27"/>
      <c r="B84" s="14" t="str">
        <f>CONCATENATE("     ","Services                                          ")</f>
        <v xml:space="preserve">     Services                                          </v>
      </c>
      <c r="C84" s="14"/>
      <c r="D84" s="1">
        <f>SUM(OSRRefD22_8x_0)</f>
        <v>44</v>
      </c>
      <c r="E84" s="1"/>
      <c r="F84" s="5">
        <f t="shared" si="42"/>
        <v>3.5489766848363518E-3</v>
      </c>
      <c r="G84" s="1"/>
      <c r="H84" s="1">
        <f>SUM(OSRRefH22_8x_0)</f>
        <v>255.18</v>
      </c>
      <c r="I84" s="1"/>
      <c r="J84" s="5">
        <f t="shared" si="43"/>
        <v>4.7912650945128588E-3</v>
      </c>
      <c r="K84" s="1"/>
      <c r="L84" s="1">
        <f t="shared" si="44"/>
        <v>-211.18</v>
      </c>
      <c r="M84" s="1"/>
      <c r="N84" s="5">
        <f t="shared" si="45"/>
        <v>-0.82757269378477938</v>
      </c>
      <c r="O84" s="14"/>
      <c r="P84" s="1">
        <f>SUM(OSRRefP22_8x_0)</f>
        <v>-69.5</v>
      </c>
      <c r="Q84" s="1"/>
      <c r="R84" s="5">
        <f t="shared" si="46"/>
        <v>-5.6057699908210554E-3</v>
      </c>
      <c r="S84" s="1"/>
      <c r="T84" s="1">
        <f>SUM(OSRRefT22_8x_0)</f>
        <v>462.85</v>
      </c>
      <c r="U84" s="1"/>
      <c r="V84" s="5">
        <f t="shared" si="47"/>
        <v>8.3118764745791461E-3</v>
      </c>
      <c r="W84" s="1"/>
      <c r="X84" s="1">
        <f t="shared" si="48"/>
        <v>-532.35</v>
      </c>
      <c r="Y84" s="1"/>
      <c r="Z84" s="5">
        <f t="shared" si="49"/>
        <v>-1.1501566382197257</v>
      </c>
    </row>
    <row r="85" spans="1:26" s="24" customFormat="1" hidden="1" outlineLevel="2" x14ac:dyDescent="0.25">
      <c r="A85" s="29"/>
      <c r="B85" s="11" t="str">
        <f>CONCATENATE("          ", "6282", " - ", "JANITORIAL/EXTERMINATOR EXPENS")</f>
        <v xml:space="preserve">          6282 - JANITORIAL/EXTERMINATOR EXPENS</v>
      </c>
      <c r="C85" s="11"/>
      <c r="D85" s="7">
        <v>44</v>
      </c>
      <c r="E85" s="2"/>
      <c r="F85" s="6">
        <f t="shared" si="42"/>
        <v>3.5489766848363518E-3</v>
      </c>
      <c r="G85" s="2"/>
      <c r="H85" s="7">
        <v>44</v>
      </c>
      <c r="I85" s="2"/>
      <c r="J85" s="6">
        <f t="shared" si="43"/>
        <v>8.2614493360986673E-4</v>
      </c>
      <c r="K85" s="2"/>
      <c r="L85" s="7">
        <f t="shared" si="44"/>
        <v>0</v>
      </c>
      <c r="M85" s="2"/>
      <c r="N85" s="6">
        <f t="shared" si="45"/>
        <v>0</v>
      </c>
      <c r="O85" s="11"/>
      <c r="P85" s="7">
        <v>88</v>
      </c>
      <c r="Q85" s="2"/>
      <c r="R85" s="6">
        <f t="shared" si="46"/>
        <v>7.0979533696727036E-3</v>
      </c>
      <c r="S85" s="2"/>
      <c r="T85" s="7">
        <v>88</v>
      </c>
      <c r="U85" s="2"/>
      <c r="V85" s="6">
        <f t="shared" si="47"/>
        <v>1.5803070752143564E-3</v>
      </c>
      <c r="W85" s="2"/>
      <c r="X85" s="7">
        <f t="shared" si="48"/>
        <v>0</v>
      </c>
      <c r="Y85" s="2"/>
      <c r="Z85" s="6">
        <f t="shared" si="49"/>
        <v>0</v>
      </c>
    </row>
    <row r="86" spans="1:26" s="24" customFormat="1" hidden="1" outlineLevel="2" x14ac:dyDescent="0.25">
      <c r="A86" s="29"/>
      <c r="B86" s="11" t="str">
        <f>CONCATENATE("          ", "6285", " - ", "JANITORIAL SERVICES")</f>
        <v xml:space="preserve">          6285 - JANITORIAL SERVICES</v>
      </c>
      <c r="C86" s="11"/>
      <c r="D86" s="7"/>
      <c r="E86" s="2"/>
      <c r="F86" s="6">
        <f t="shared" si="42"/>
        <v>0</v>
      </c>
      <c r="G86" s="2"/>
      <c r="H86" s="7">
        <v>211.18</v>
      </c>
      <c r="I86" s="2"/>
      <c r="J86" s="6">
        <f t="shared" si="43"/>
        <v>3.9651201609029922E-3</v>
      </c>
      <c r="K86" s="2"/>
      <c r="L86" s="7">
        <f t="shared" si="44"/>
        <v>-211.18</v>
      </c>
      <c r="M86" s="2"/>
      <c r="N86" s="6">
        <f t="shared" si="45"/>
        <v>-1</v>
      </c>
      <c r="O86" s="11"/>
      <c r="P86" s="7">
        <v>-157.5</v>
      </c>
      <c r="Q86" s="2"/>
      <c r="R86" s="6">
        <f t="shared" si="46"/>
        <v>-1.2703723360493758E-2</v>
      </c>
      <c r="S86" s="2"/>
      <c r="T86" s="7">
        <v>374.85</v>
      </c>
      <c r="U86" s="2"/>
      <c r="V86" s="6">
        <f t="shared" si="47"/>
        <v>6.7315693993647901E-3</v>
      </c>
      <c r="W86" s="2"/>
      <c r="X86" s="7">
        <f t="shared" si="48"/>
        <v>-532.35</v>
      </c>
      <c r="Y86" s="2"/>
      <c r="Z86" s="6">
        <f t="shared" si="49"/>
        <v>-1.4201680672268908</v>
      </c>
    </row>
    <row r="87" spans="1:26" s="28" customFormat="1" outlineLevel="1" collapsed="1" x14ac:dyDescent="0.25">
      <c r="A87" s="27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SUM(OSRRefD22_9x_0)</f>
        <v>485.36</v>
      </c>
      <c r="E87" s="1"/>
      <c r="F87" s="5">
        <f t="shared" ref="F87:F90" si="50">IF(D$12=0,0,D87/D$12)</f>
        <v>3.9148439176185719E-2</v>
      </c>
      <c r="G87" s="1"/>
      <c r="H87" s="1">
        <f>SUM(OSRRefH22_9x_0)</f>
        <v>10.42</v>
      </c>
      <c r="I87" s="1"/>
      <c r="J87" s="5">
        <f t="shared" ref="J87:J90" si="51">IF(H$12=0,0,H87/H$12)</f>
        <v>1.9564614109579117E-4</v>
      </c>
      <c r="K87" s="1"/>
      <c r="L87" s="1">
        <f t="shared" ref="L87:L90" si="52">+D87-H87</f>
        <v>474.94</v>
      </c>
      <c r="M87" s="1"/>
      <c r="N87" s="5">
        <f t="shared" ref="N87:N90" si="53">IF(H87=0,0,L87/H87)</f>
        <v>45.579654510556622</v>
      </c>
      <c r="O87" s="14"/>
      <c r="P87" s="1">
        <f>SUM(OSRRefP22_9x_0)</f>
        <v>929.66</v>
      </c>
      <c r="Q87" s="1"/>
      <c r="R87" s="5">
        <f t="shared" ref="R87:R90" si="54">IF(P$12=0,0,P87/P$12)</f>
        <v>7.4985037836930973E-2</v>
      </c>
      <c r="S87" s="1"/>
      <c r="T87" s="1">
        <f>SUM(OSRRefT22_9x_0)</f>
        <v>15.09</v>
      </c>
      <c r="U87" s="1"/>
      <c r="V87" s="5">
        <f t="shared" ref="V87:V90" si="55">IF(T$12=0,0,T87/T$12)</f>
        <v>2.7098674732937088E-4</v>
      </c>
      <c r="W87" s="1"/>
      <c r="X87" s="1">
        <f t="shared" ref="X87:X90" si="56">+P87-T87</f>
        <v>914.56999999999994</v>
      </c>
      <c r="Y87" s="1"/>
      <c r="Z87" s="5">
        <f t="shared" ref="Z87:Z90" si="57">IF(T87=0,0,X87/T87)</f>
        <v>60.607687210072889</v>
      </c>
    </row>
    <row r="88" spans="1:26" s="24" customFormat="1" hidden="1" outlineLevel="2" x14ac:dyDescent="0.25">
      <c r="A88" s="29"/>
      <c r="B88" s="11" t="str">
        <f>CONCATENATE("          ", "6235", " - ", "COVID-19 EXPENSES")</f>
        <v xml:space="preserve">          6235 - COVID-19 EXPENSES</v>
      </c>
      <c r="C88" s="11"/>
      <c r="D88" s="7"/>
      <c r="E88" s="2"/>
      <c r="F88" s="6">
        <f t="shared" si="50"/>
        <v>0</v>
      </c>
      <c r="G88" s="2"/>
      <c r="H88" s="7"/>
      <c r="I88" s="2"/>
      <c r="J88" s="6">
        <f t="shared" si="51"/>
        <v>0</v>
      </c>
      <c r="K88" s="2"/>
      <c r="L88" s="7">
        <f t="shared" si="52"/>
        <v>0</v>
      </c>
      <c r="M88" s="2"/>
      <c r="N88" s="6">
        <f t="shared" si="53"/>
        <v>0</v>
      </c>
      <c r="O88" s="11"/>
      <c r="P88" s="7">
        <v>444.3</v>
      </c>
      <c r="Q88" s="2"/>
      <c r="R88" s="6">
        <f t="shared" si="54"/>
        <v>3.5836598660745254E-2</v>
      </c>
      <c r="S88" s="2"/>
      <c r="T88" s="7"/>
      <c r="U88" s="2"/>
      <c r="V88" s="6">
        <f t="shared" si="55"/>
        <v>0</v>
      </c>
      <c r="W88" s="2"/>
      <c r="X88" s="7">
        <f t="shared" si="56"/>
        <v>444.3</v>
      </c>
      <c r="Y88" s="2"/>
      <c r="Z88" s="6">
        <f t="shared" si="57"/>
        <v>0</v>
      </c>
    </row>
    <row r="89" spans="1:26" s="24" customFormat="1" hidden="1" outlineLevel="2" x14ac:dyDescent="0.25">
      <c r="A89" s="29"/>
      <c r="B89" s="11" t="str">
        <f>CONCATENATE("          ", "6241", " - ", "OFFICE EXPENSE")</f>
        <v xml:space="preserve">          6241 - OFFICE EXPENSE</v>
      </c>
      <c r="C89" s="11"/>
      <c r="D89" s="7">
        <v>225.24</v>
      </c>
      <c r="E89" s="2"/>
      <c r="F89" s="6">
        <f t="shared" si="50"/>
        <v>1.8167534283921361E-2</v>
      </c>
      <c r="G89" s="2"/>
      <c r="H89" s="7">
        <v>10.42</v>
      </c>
      <c r="I89" s="2"/>
      <c r="J89" s="6">
        <f t="shared" si="51"/>
        <v>1.9564614109579117E-4</v>
      </c>
      <c r="K89" s="2"/>
      <c r="L89" s="7">
        <f t="shared" si="52"/>
        <v>214.82000000000002</v>
      </c>
      <c r="M89" s="2"/>
      <c r="N89" s="6">
        <f t="shared" si="53"/>
        <v>20.616122840690981</v>
      </c>
      <c r="O89" s="11"/>
      <c r="P89" s="7">
        <v>225.24</v>
      </c>
      <c r="Q89" s="2"/>
      <c r="R89" s="6">
        <f t="shared" si="54"/>
        <v>1.8167534283921361E-2</v>
      </c>
      <c r="S89" s="2"/>
      <c r="T89" s="7">
        <v>15.09</v>
      </c>
      <c r="U89" s="2"/>
      <c r="V89" s="6">
        <f t="shared" si="55"/>
        <v>2.7098674732937088E-4</v>
      </c>
      <c r="W89" s="2"/>
      <c r="X89" s="7">
        <f t="shared" si="56"/>
        <v>210.15</v>
      </c>
      <c r="Y89" s="2"/>
      <c r="Z89" s="6">
        <f t="shared" si="57"/>
        <v>13.926441351888668</v>
      </c>
    </row>
    <row r="90" spans="1:26" s="24" customFormat="1" hidden="1" outlineLevel="2" x14ac:dyDescent="0.25">
      <c r="A90" s="29"/>
      <c r="B90" s="11" t="str">
        <f>CONCATENATE("          ", "6247", " - ", "STORE SUPPLIES")</f>
        <v xml:space="preserve">          6247 - STORE SUPPLIES</v>
      </c>
      <c r="C90" s="11"/>
      <c r="D90" s="7">
        <v>260.12</v>
      </c>
      <c r="E90" s="2"/>
      <c r="F90" s="6">
        <f t="shared" si="50"/>
        <v>2.0980904892264361E-2</v>
      </c>
      <c r="G90" s="2"/>
      <c r="H90" s="7"/>
      <c r="I90" s="2"/>
      <c r="J90" s="6">
        <f t="shared" si="51"/>
        <v>0</v>
      </c>
      <c r="K90" s="2"/>
      <c r="L90" s="7">
        <f t="shared" si="52"/>
        <v>260.12</v>
      </c>
      <c r="M90" s="2"/>
      <c r="N90" s="6">
        <f t="shared" si="53"/>
        <v>0</v>
      </c>
      <c r="O90" s="11"/>
      <c r="P90" s="7">
        <v>260.12</v>
      </c>
      <c r="Q90" s="2"/>
      <c r="R90" s="6">
        <f t="shared" si="54"/>
        <v>2.0980904892264361E-2</v>
      </c>
      <c r="S90" s="2"/>
      <c r="T90" s="7"/>
      <c r="U90" s="2"/>
      <c r="V90" s="6">
        <f t="shared" si="55"/>
        <v>0</v>
      </c>
      <c r="W90" s="2"/>
      <c r="X90" s="7">
        <f t="shared" si="56"/>
        <v>260.12</v>
      </c>
      <c r="Y90" s="2"/>
      <c r="Z90" s="6">
        <f t="shared" si="57"/>
        <v>0</v>
      </c>
    </row>
    <row r="91" spans="1:26" s="28" customFormat="1" outlineLevel="1" collapsed="1" x14ac:dyDescent="0.25">
      <c r="A91" s="27"/>
      <c r="B91" s="14" t="str">
        <f>CONCATENATE("     ","Telephone/Data Lines                              ")</f>
        <v xml:space="preserve">     Telephone/Data Lines                              </v>
      </c>
      <c r="C91" s="14"/>
      <c r="D91" s="1">
        <f>SUM(OSRRefD22_10x_0)</f>
        <v>53</v>
      </c>
      <c r="E91" s="1"/>
      <c r="F91" s="5">
        <f t="shared" ref="F91:F92" si="58">IF(D$12=0,0,D91/D$12)</f>
        <v>4.2749037340074235E-3</v>
      </c>
      <c r="G91" s="1"/>
      <c r="H91" s="1">
        <f>SUM(OSRRefH22_10x_0)</f>
        <v>103.5</v>
      </c>
      <c r="I91" s="1"/>
      <c r="J91" s="5">
        <f t="shared" ref="J91:J92" si="59">IF(H$12=0,0,H91/H$12)</f>
        <v>1.9433181961050275E-3</v>
      </c>
      <c r="K91" s="1"/>
      <c r="L91" s="1">
        <f t="shared" ref="L91:L92" si="60">+D91-H91</f>
        <v>-50.5</v>
      </c>
      <c r="M91" s="1"/>
      <c r="N91" s="5">
        <f t="shared" ref="N91:N92" si="61">IF(H91=0,0,L91/H91)</f>
        <v>-0.48792270531400966</v>
      </c>
      <c r="O91" s="14"/>
      <c r="P91" s="1">
        <f>SUM(OSRRefP22_10x_0)</f>
        <v>106</v>
      </c>
      <c r="Q91" s="1"/>
      <c r="R91" s="5">
        <f t="shared" ref="R91:R92" si="62">IF(P$12=0,0,P91/P$12)</f>
        <v>8.5498074680148469E-3</v>
      </c>
      <c r="S91" s="1"/>
      <c r="T91" s="1">
        <f>SUM(OSRRefT22_10x_0)</f>
        <v>177.5</v>
      </c>
      <c r="U91" s="1"/>
      <c r="V91" s="5">
        <f t="shared" ref="V91:V92" si="63">IF(T$12=0,0,T91/T$12)</f>
        <v>3.1875512028471391E-3</v>
      </c>
      <c r="W91" s="1"/>
      <c r="X91" s="1">
        <f t="shared" ref="X91:X92" si="64">+P91-T91</f>
        <v>-71.5</v>
      </c>
      <c r="Y91" s="1"/>
      <c r="Z91" s="5">
        <f t="shared" ref="Z91:Z92" si="65">IF(T91=0,0,X91/T91)</f>
        <v>-0.40281690140845072</v>
      </c>
    </row>
    <row r="92" spans="1:26" s="24" customFormat="1" hidden="1" outlineLevel="2" x14ac:dyDescent="0.25">
      <c r="A92" s="29"/>
      <c r="B92" s="11" t="str">
        <f>CONCATENATE("          ", "6309", " - ", "TELEPHONE")</f>
        <v xml:space="preserve">          6309 - TELEPHONE</v>
      </c>
      <c r="C92" s="11"/>
      <c r="D92" s="7">
        <v>53</v>
      </c>
      <c r="E92" s="2"/>
      <c r="F92" s="6">
        <f t="shared" si="58"/>
        <v>4.2749037340074235E-3</v>
      </c>
      <c r="G92" s="2"/>
      <c r="H92" s="7">
        <v>103.5</v>
      </c>
      <c r="I92" s="2"/>
      <c r="J92" s="6">
        <f t="shared" si="59"/>
        <v>1.9433181961050275E-3</v>
      </c>
      <c r="K92" s="2"/>
      <c r="L92" s="7">
        <f t="shared" si="60"/>
        <v>-50.5</v>
      </c>
      <c r="M92" s="2"/>
      <c r="N92" s="6">
        <f t="shared" si="61"/>
        <v>-0.48792270531400966</v>
      </c>
      <c r="O92" s="11"/>
      <c r="P92" s="7">
        <v>106</v>
      </c>
      <c r="Q92" s="2"/>
      <c r="R92" s="6">
        <f t="shared" si="62"/>
        <v>8.5498074680148469E-3</v>
      </c>
      <c r="S92" s="2"/>
      <c r="T92" s="7">
        <v>177.5</v>
      </c>
      <c r="U92" s="2"/>
      <c r="V92" s="6">
        <f t="shared" si="63"/>
        <v>3.1875512028471391E-3</v>
      </c>
      <c r="W92" s="2"/>
      <c r="X92" s="7">
        <f t="shared" si="64"/>
        <v>-71.5</v>
      </c>
      <c r="Y92" s="2"/>
      <c r="Z92" s="6">
        <f t="shared" si="65"/>
        <v>-0.40281690140845072</v>
      </c>
    </row>
    <row r="93" spans="1:26" s="52" customFormat="1" x14ac:dyDescent="0.25">
      <c r="A93" s="37"/>
      <c r="B93" s="37"/>
      <c r="C93" s="37"/>
      <c r="D93" s="1"/>
      <c r="E93" s="1"/>
      <c r="F93" s="5"/>
      <c r="G93" s="1"/>
      <c r="H93" s="1"/>
      <c r="I93" s="1"/>
      <c r="J93" s="5"/>
      <c r="K93" s="1"/>
      <c r="L93" s="1"/>
      <c r="M93" s="1"/>
      <c r="N93" s="5"/>
      <c r="O93" s="37"/>
      <c r="P93" s="1"/>
      <c r="Q93" s="1"/>
      <c r="R93" s="5"/>
      <c r="S93" s="1"/>
      <c r="T93" s="1"/>
      <c r="U93" s="1"/>
      <c r="V93" s="5"/>
      <c r="W93" s="1"/>
      <c r="X93" s="1"/>
      <c r="Y93" s="1"/>
      <c r="Z93" s="5"/>
    </row>
    <row r="94" spans="1:26" s="23" customFormat="1" x14ac:dyDescent="0.25">
      <c r="A94" s="10"/>
      <c r="B94" s="25" t="s">
        <v>0</v>
      </c>
      <c r="C94" s="10"/>
      <c r="D94" s="4">
        <f>SUM(0)</f>
        <v>0</v>
      </c>
      <c r="E94" s="4"/>
      <c r="F94" s="12">
        <f>IF(D$12=0,0,D94/D$12)</f>
        <v>0</v>
      </c>
      <c r="G94" s="4"/>
      <c r="H94" s="4">
        <f>SUM(0)</f>
        <v>0</v>
      </c>
      <c r="I94" s="4"/>
      <c r="J94" s="12">
        <f>IF(H$12=0,0,H94/H$12)</f>
        <v>0</v>
      </c>
      <c r="K94" s="4"/>
      <c r="L94" s="4">
        <f>+D94-H94</f>
        <v>0</v>
      </c>
      <c r="M94" s="4"/>
      <c r="N94" s="12">
        <f>IF(H94=0,0,L94/H94)</f>
        <v>0</v>
      </c>
      <c r="O94" s="10"/>
      <c r="P94" s="4">
        <f>SUM(0)</f>
        <v>0</v>
      </c>
      <c r="Q94" s="4"/>
      <c r="R94" s="12">
        <f>IF(P$12=0,0,P94/P$12)</f>
        <v>0</v>
      </c>
      <c r="S94" s="4"/>
      <c r="T94" s="4">
        <f>SUM(0)</f>
        <v>0</v>
      </c>
      <c r="U94" s="4"/>
      <c r="V94" s="12">
        <f>IF(T$12=0,0,T94/T$12)</f>
        <v>0</v>
      </c>
      <c r="W94" s="4"/>
      <c r="X94" s="4">
        <f>+P94-T94</f>
        <v>0</v>
      </c>
      <c r="Y94" s="4"/>
      <c r="Z94" s="12">
        <f>IF(T94=0,0,X94/T94)</f>
        <v>0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x14ac:dyDescent="0.25">
      <c r="A96" s="10"/>
      <c r="B96" s="26" t="s">
        <v>3</v>
      </c>
      <c r="C96" s="26"/>
      <c r="D96" s="22">
        <f>+D54-D56+D94</f>
        <v>-2088.7799999999997</v>
      </c>
      <c r="E96" s="13"/>
      <c r="F96" s="21">
        <f>IF(D$12=0,0,D96/D$12)</f>
        <v>-0.1684779890852835</v>
      </c>
      <c r="G96" s="13"/>
      <c r="H96" s="22">
        <f>+H54-H56+H94</f>
        <v>17052.869999999992</v>
      </c>
      <c r="I96" s="13"/>
      <c r="J96" s="21">
        <f>IF(H$12=0,0,H96/H$12)</f>
        <v>0.32018504895472</v>
      </c>
      <c r="K96" s="16"/>
      <c r="L96" s="22">
        <f>+D96-H96</f>
        <v>-19141.649999999991</v>
      </c>
      <c r="M96" s="16"/>
      <c r="N96" s="21">
        <f>IF(H96=0,0,L96/H96)</f>
        <v>-1.1224884726148736</v>
      </c>
      <c r="O96" s="25"/>
      <c r="P96" s="22">
        <f>+P54-P56+P94</f>
        <v>-3230.1799999999994</v>
      </c>
      <c r="Q96" s="13"/>
      <c r="R96" s="21">
        <f>IF(P$12=0,0,P96/P$12)</f>
        <v>-0.26054167063237921</v>
      </c>
      <c r="S96" s="13"/>
      <c r="T96" s="22">
        <f>+T54-T56+T94</f>
        <v>6830.2499999999854</v>
      </c>
      <c r="U96" s="13"/>
      <c r="V96" s="21">
        <f>IF(T$12=0,0,T96/T$12)</f>
        <v>0.12265786818730494</v>
      </c>
      <c r="W96" s="16"/>
      <c r="X96" s="22">
        <f>+P96-T96</f>
        <v>-10060.429999999986</v>
      </c>
      <c r="Y96" s="16"/>
      <c r="Z96" s="21">
        <f>IF(T96=0,0,X96/T96)</f>
        <v>-1.4729226602247365</v>
      </c>
    </row>
    <row r="97" spans="1:26" x14ac:dyDescent="0.25">
      <c r="A97" s="9"/>
      <c r="B97" s="10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25">
      <c r="A98" s="51"/>
      <c r="B98" s="10" t="s">
        <v>13</v>
      </c>
      <c r="C98" s="10"/>
      <c r="D98" s="4">
        <v>2093.23</v>
      </c>
      <c r="E98" s="4"/>
      <c r="F98" s="12">
        <f>IF(D$12=0,0,D98/D$12)</f>
        <v>0.1688369196818181</v>
      </c>
      <c r="G98" s="4"/>
      <c r="H98" s="4">
        <v>6438.52</v>
      </c>
      <c r="I98" s="4"/>
      <c r="J98" s="12">
        <f>IF(H$12=0,0,H98/H$12)</f>
        <v>0.12088978813513181</v>
      </c>
      <c r="K98" s="4"/>
      <c r="L98" s="4">
        <f>+D98-H98</f>
        <v>-4345.2900000000009</v>
      </c>
      <c r="M98" s="4"/>
      <c r="N98" s="12">
        <f>IF(H98=0,0,L98/H98)</f>
        <v>-0.67488957089517476</v>
      </c>
      <c r="O98" s="10"/>
      <c r="P98" s="4">
        <v>2093.23</v>
      </c>
      <c r="Q98" s="4"/>
      <c r="R98" s="12">
        <f>IF(P$12=0,0,P98/P$12)</f>
        <v>0.1688369196818181</v>
      </c>
      <c r="S98" s="4"/>
      <c r="T98" s="4">
        <v>6942.95</v>
      </c>
      <c r="U98" s="4"/>
      <c r="V98" s="12">
        <f>IF(T$12=0,0,T98/T$12)</f>
        <v>0.12468173872567631</v>
      </c>
      <c r="W98" s="4"/>
      <c r="X98" s="4">
        <f>+P98-T98</f>
        <v>-4849.7199999999993</v>
      </c>
      <c r="Y98" s="4"/>
      <c r="Z98" s="12">
        <f>IF(T98=0,0,X98/T98)</f>
        <v>-0.69850999935186042</v>
      </c>
    </row>
    <row r="99" spans="1:26" x14ac:dyDescent="0.25">
      <c r="A99" s="9"/>
      <c r="B99" s="10"/>
      <c r="C99" s="10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O99" s="10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ht="15.75" thickBot="1" x14ac:dyDescent="0.3">
      <c r="A100" s="10"/>
      <c r="B100" s="26" t="s">
        <v>4</v>
      </c>
      <c r="C100" s="26"/>
      <c r="D100" s="36">
        <f>+D96-D98</f>
        <v>-4182.01</v>
      </c>
      <c r="E100" s="13"/>
      <c r="F100" s="34">
        <f>IF(D$12=0,0,D100/D$12)</f>
        <v>-0.33731490876710163</v>
      </c>
      <c r="G100" s="13"/>
      <c r="H100" s="36">
        <f>+H96-H98</f>
        <v>10614.349999999991</v>
      </c>
      <c r="I100" s="13"/>
      <c r="J100" s="34">
        <f>IF(H$12=0,0,H100/H$12)</f>
        <v>0.1992952608195882</v>
      </c>
      <c r="K100" s="16"/>
      <c r="L100" s="36">
        <f>D100-H100</f>
        <v>-14796.359999999991</v>
      </c>
      <c r="M100" s="16"/>
      <c r="N100" s="34">
        <f>IF(H100=0,0,L100/H100)</f>
        <v>-1.3939958640896526</v>
      </c>
      <c r="O100" s="25"/>
      <c r="P100" s="36">
        <f>+P96-P98</f>
        <v>-5323.41</v>
      </c>
      <c r="Q100" s="13"/>
      <c r="R100" s="34">
        <f>IF(P$12=0,0,P100/P$12)</f>
        <v>-0.42937859031419734</v>
      </c>
      <c r="S100" s="13"/>
      <c r="T100" s="36">
        <f>+T96-T98</f>
        <v>-112.70000000001437</v>
      </c>
      <c r="U100" s="13"/>
      <c r="V100" s="34">
        <f>IF(T$12=0,0,T100/T$12)</f>
        <v>-2.0238705383713715E-3</v>
      </c>
      <c r="W100" s="16"/>
      <c r="X100" s="36">
        <f>P100-T100</f>
        <v>-5210.7099999999855</v>
      </c>
      <c r="Y100" s="16"/>
      <c r="Z100" s="34">
        <f>IF(T100=0,0,X100/T100)</f>
        <v>46.235226264412788</v>
      </c>
    </row>
    <row r="101" spans="1:26" ht="15.75" thickTop="1" x14ac:dyDescent="0.25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s="23" customFormat="1" ht="15.75" thickBot="1" x14ac:dyDescent="0.3">
      <c r="A103" s="10"/>
      <c r="B103" s="26" t="s">
        <v>5</v>
      </c>
      <c r="C103" s="26"/>
      <c r="D103" s="30">
        <f>SUM(D100:D102)</f>
        <v>-4182.01</v>
      </c>
      <c r="E103" s="13"/>
      <c r="F103" s="31">
        <f>IF(D$12=0,0,D103/D$12)</f>
        <v>-0.33731490876710163</v>
      </c>
      <c r="G103" s="13"/>
      <c r="H103" s="30">
        <f>SUM(H100:H102)</f>
        <v>10614.349999999991</v>
      </c>
      <c r="I103" s="13"/>
      <c r="J103" s="31">
        <f>IF(H$12=0,0,H103/H$12)</f>
        <v>0.1992952608195882</v>
      </c>
      <c r="K103" s="16"/>
      <c r="L103" s="30">
        <f>+D103-H103</f>
        <v>-14796.359999999991</v>
      </c>
      <c r="M103" s="16"/>
      <c r="N103" s="31">
        <f>IF(H103=0,0,L103/H103)</f>
        <v>-1.3939958640896526</v>
      </c>
      <c r="O103" s="25"/>
      <c r="P103" s="30">
        <f>SUM(P100:P102)</f>
        <v>-5323.41</v>
      </c>
      <c r="Q103" s="13"/>
      <c r="R103" s="31">
        <f>IF(P$12=0,0,P103/P$12)</f>
        <v>-0.42937859031419734</v>
      </c>
      <c r="S103" s="13"/>
      <c r="T103" s="30">
        <f>SUM(T100:T102)</f>
        <v>-112.70000000001437</v>
      </c>
      <c r="U103" s="13"/>
      <c r="V103" s="31">
        <f>IF(T$12=0,0,T103/T$12)</f>
        <v>-2.0238705383713715E-3</v>
      </c>
      <c r="W103" s="16"/>
      <c r="X103" s="30">
        <f>+P103-T103</f>
        <v>-5210.7099999999855</v>
      </c>
      <c r="Y103" s="16"/>
      <c r="Z103" s="31">
        <f>IF(T103=0,0,X103/T103)</f>
        <v>46.235226264412788</v>
      </c>
    </row>
    <row r="104" spans="1:26" ht="15.75" thickTop="1" x14ac:dyDescent="0.25">
      <c r="A104" s="9"/>
      <c r="C104" s="9"/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  <row r="105" spans="1:26" x14ac:dyDescent="0.25">
      <c r="A105" s="9"/>
      <c r="B105" s="61">
        <v>44113.696176886573</v>
      </c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56" t="s">
        <v>313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8"/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","314", " - ", "Tech/Supplies")</f>
        <v>Department 314 - Tech/Supplies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80072.809999999983</v>
      </c>
      <c r="I12" s="4"/>
      <c r="J12" s="12"/>
      <c r="K12" s="4"/>
      <c r="L12" s="4">
        <f t="shared" ref="L12:L31" si="0">+D12-H12</f>
        <v>-80072.809999999983</v>
      </c>
      <c r="M12" s="4"/>
      <c r="N12" s="12">
        <f t="shared" ref="N12:N31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96415.629999999976</v>
      </c>
      <c r="U12" s="4"/>
      <c r="V12" s="12"/>
      <c r="W12" s="4"/>
      <c r="X12" s="4">
        <f t="shared" ref="X12:X31" si="2">+P12-T12</f>
        <v>-96415.629999999976</v>
      </c>
      <c r="Y12" s="4"/>
      <c r="Z12" s="12">
        <f t="shared" ref="Z12:Z31" si="3">IF(T12=0,0,X12/T12)</f>
        <v>-1</v>
      </c>
    </row>
    <row r="13" spans="1:26" s="24" customFormat="1" hidden="1" outlineLevel="1" x14ac:dyDescent="0.25">
      <c r="A13" s="44"/>
      <c r="B13" s="11" t="str">
        <f>CONCATENATE("          ", "4017", " - ", "TAXABLE SALES-DORM/HOUSEWARES")</f>
        <v xml:space="preserve">          4017 - TAXABLE SALES-DORM/HOUSEWARES</v>
      </c>
      <c r="C13" s="11"/>
      <c r="D13" s="2">
        <f t="shared" ref="D13:D31" si="4">0</f>
        <v>0</v>
      </c>
      <c r="E13" s="2"/>
      <c r="F13" s="19"/>
      <c r="G13" s="2"/>
      <c r="H13" s="2">
        <f>--152.83</f>
        <v>152.83000000000001</v>
      </c>
      <c r="I13" s="2"/>
      <c r="J13" s="19"/>
      <c r="K13" s="2"/>
      <c r="L13" s="2">
        <f t="shared" si="0"/>
        <v>-152.83000000000001</v>
      </c>
      <c r="M13" s="2"/>
      <c r="N13" s="19">
        <f t="shared" si="1"/>
        <v>-1</v>
      </c>
      <c r="O13" s="11"/>
      <c r="P13" s="2">
        <f t="shared" ref="P13:P31" si="5">0</f>
        <v>0</v>
      </c>
      <c r="Q13" s="2"/>
      <c r="R13" s="19"/>
      <c r="S13" s="2"/>
      <c r="T13" s="2">
        <f>--157.3</f>
        <v>157.30000000000001</v>
      </c>
      <c r="U13" s="2"/>
      <c r="V13" s="19"/>
      <c r="W13" s="2"/>
      <c r="X13" s="2">
        <f t="shared" si="2"/>
        <v>-157.30000000000001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"4019", " - ", "TAXABLE SALES-BOOK RELATED")</f>
        <v xml:space="preserve">          4019 - TAXABLE SALES-BOOK RELATED</v>
      </c>
      <c r="C14" s="11"/>
      <c r="D14" s="2">
        <f t="shared" si="4"/>
        <v>0</v>
      </c>
      <c r="E14" s="2"/>
      <c r="F14" s="19"/>
      <c r="G14" s="2"/>
      <c r="H14" s="2">
        <f>--14.95</f>
        <v>14.95</v>
      </c>
      <c r="I14" s="2"/>
      <c r="J14" s="19"/>
      <c r="K14" s="2"/>
      <c r="L14" s="2">
        <f t="shared" si="0"/>
        <v>-14.95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--14.95</f>
        <v>14.95</v>
      </c>
      <c r="U14" s="2"/>
      <c r="V14" s="19"/>
      <c r="W14" s="2"/>
      <c r="X14" s="2">
        <f t="shared" si="2"/>
        <v>-14.95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"4025", " - ", "TAXABLE SALES-TEST FORMS")</f>
        <v xml:space="preserve">          4025 - TAXABLE SALES-TEST FORMS</v>
      </c>
      <c r="C15" s="11"/>
      <c r="D15" s="2">
        <f t="shared" si="4"/>
        <v>0</v>
      </c>
      <c r="E15" s="2"/>
      <c r="F15" s="19"/>
      <c r="G15" s="2"/>
      <c r="H15" s="2">
        <f>--3964.99</f>
        <v>3964.99</v>
      </c>
      <c r="I15" s="2"/>
      <c r="J15" s="19"/>
      <c r="K15" s="2"/>
      <c r="L15" s="2">
        <f t="shared" si="0"/>
        <v>-3964.99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--4355.81</f>
        <v>4355.8100000000004</v>
      </c>
      <c r="U15" s="2"/>
      <c r="V15" s="19"/>
      <c r="W15" s="2"/>
      <c r="X15" s="2">
        <f t="shared" si="2"/>
        <v>-4355.8100000000004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"4026", " - ", "TAXABLE SALES-WRITING INSTRUME")</f>
        <v xml:space="preserve">          4026 - TAXABLE SALES-WRITING INSTRUME</v>
      </c>
      <c r="C16" s="11"/>
      <c r="D16" s="2">
        <f t="shared" si="4"/>
        <v>0</v>
      </c>
      <c r="E16" s="2"/>
      <c r="F16" s="19"/>
      <c r="G16" s="2"/>
      <c r="H16" s="2">
        <f>--10164.41</f>
        <v>10164.41</v>
      </c>
      <c r="I16" s="2"/>
      <c r="J16" s="19"/>
      <c r="K16" s="2"/>
      <c r="L16" s="2">
        <f t="shared" si="0"/>
        <v>-10164.41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--12038.56</f>
        <v>12038.56</v>
      </c>
      <c r="U16" s="2"/>
      <c r="V16" s="19"/>
      <c r="W16" s="2"/>
      <c r="X16" s="2">
        <f t="shared" si="2"/>
        <v>-12038.56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"4027", " - ", "TAXABLE SALES-SCHOOL SUPPLIES")</f>
        <v xml:space="preserve">          4027 - TAXABLE SALES-SCHOOL SUPPLIES</v>
      </c>
      <c r="C17" s="11"/>
      <c r="D17" s="2">
        <f t="shared" si="4"/>
        <v>0</v>
      </c>
      <c r="E17" s="2"/>
      <c r="F17" s="19"/>
      <c r="G17" s="2"/>
      <c r="H17" s="2">
        <f>--62645.85</f>
        <v>62645.85</v>
      </c>
      <c r="I17" s="2"/>
      <c r="J17" s="19"/>
      <c r="K17" s="2"/>
      <c r="L17" s="2">
        <f t="shared" si="0"/>
        <v>-62645.85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--75723.74</f>
        <v>75723.740000000005</v>
      </c>
      <c r="U17" s="2"/>
      <c r="V17" s="19"/>
      <c r="W17" s="2"/>
      <c r="X17" s="2">
        <f t="shared" si="2"/>
        <v>-75723.740000000005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"4028", " - ", "TAXABLE SALES-ART/TECH")</f>
        <v xml:space="preserve">          4028 - TAXABLE SALES-ART/TECH</v>
      </c>
      <c r="C18" s="11"/>
      <c r="D18" s="2">
        <f t="shared" si="4"/>
        <v>0</v>
      </c>
      <c r="E18" s="2"/>
      <c r="F18" s="19"/>
      <c r="G18" s="2"/>
      <c r="H18" s="2">
        <f>--1736.67</f>
        <v>1736.67</v>
      </c>
      <c r="I18" s="2"/>
      <c r="J18" s="19"/>
      <c r="K18" s="2"/>
      <c r="L18" s="2">
        <f t="shared" si="0"/>
        <v>-1736.67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--2164.46</f>
        <v>2164.46</v>
      </c>
      <c r="U18" s="2"/>
      <c r="V18" s="19"/>
      <c r="W18" s="2"/>
      <c r="X18" s="2">
        <f t="shared" si="2"/>
        <v>-2164.46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"4035", " - ", "TAXABLE SALES-HEALTH &amp; BEAUTY")</f>
        <v xml:space="preserve">          4035 - TAXABLE SALES-HEALTH &amp; BEAUTY</v>
      </c>
      <c r="C19" s="11"/>
      <c r="D19" s="2">
        <f t="shared" si="4"/>
        <v>0</v>
      </c>
      <c r="E19" s="2"/>
      <c r="F19" s="19"/>
      <c r="G19" s="2"/>
      <c r="H19" s="2">
        <f>--3.95</f>
        <v>3.95</v>
      </c>
      <c r="I19" s="2"/>
      <c r="J19" s="19"/>
      <c r="K19" s="2"/>
      <c r="L19" s="2">
        <f t="shared" si="0"/>
        <v>-3.95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--6.93</f>
        <v>6.93</v>
      </c>
      <c r="U19" s="2"/>
      <c r="V19" s="19"/>
      <c r="W19" s="2"/>
      <c r="X19" s="2">
        <f t="shared" si="2"/>
        <v>-6.93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"4125", " - ", "NON-TAXABLE SALES-TEST FORMS")</f>
        <v xml:space="preserve">          4125 - NON-TAXABLE SALES-TEST FORMS</v>
      </c>
      <c r="C20" s="11"/>
      <c r="D20" s="2">
        <f t="shared" si="4"/>
        <v>0</v>
      </c>
      <c r="E20" s="2"/>
      <c r="F20" s="19"/>
      <c r="G20" s="2"/>
      <c r="H20" s="2">
        <f>--77.17</f>
        <v>77.17</v>
      </c>
      <c r="I20" s="2"/>
      <c r="J20" s="19"/>
      <c r="K20" s="2"/>
      <c r="L20" s="2">
        <f t="shared" si="0"/>
        <v>-77.17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--82.15</f>
        <v>82.15</v>
      </c>
      <c r="U20" s="2"/>
      <c r="V20" s="19"/>
      <c r="W20" s="2"/>
      <c r="X20" s="2">
        <f t="shared" si="2"/>
        <v>-82.15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si="4"/>
        <v>0</v>
      </c>
      <c r="E21" s="2"/>
      <c r="F21" s="19"/>
      <c r="G21" s="2"/>
      <c r="H21" s="2">
        <f>--844.09</f>
        <v>844.09</v>
      </c>
      <c r="I21" s="2"/>
      <c r="J21" s="19"/>
      <c r="K21" s="2"/>
      <c r="L21" s="2">
        <f t="shared" si="0"/>
        <v>-844.09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--1011.12</f>
        <v>1011.12</v>
      </c>
      <c r="U21" s="2"/>
      <c r="V21" s="19"/>
      <c r="W21" s="2"/>
      <c r="X21" s="2">
        <f t="shared" si="2"/>
        <v>-1011.12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"4127", " - ", "NON-TAXABLE SALES-SCHOOL SUPPL")</f>
        <v xml:space="preserve">          4127 - NON-TAXABLE SALES-SCHOOL SUPPL</v>
      </c>
      <c r="C22" s="11"/>
      <c r="D22" s="2">
        <f t="shared" si="4"/>
        <v>0</v>
      </c>
      <c r="E22" s="2"/>
      <c r="F22" s="19"/>
      <c r="G22" s="2"/>
      <c r="H22" s="2">
        <f>--1692.39</f>
        <v>1692.39</v>
      </c>
      <c r="I22" s="2"/>
      <c r="J22" s="19"/>
      <c r="K22" s="2"/>
      <c r="L22" s="2">
        <f t="shared" si="0"/>
        <v>-1692.39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--1870.28</f>
        <v>1870.28</v>
      </c>
      <c r="U22" s="2"/>
      <c r="V22" s="19"/>
      <c r="W22" s="2"/>
      <c r="X22" s="2">
        <f t="shared" si="2"/>
        <v>-1870.28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"4128", " - ", "NON-TAXABLE SALES-ART/TECH")</f>
        <v xml:space="preserve">          4128 - NON-TAXABLE SALES-ART/TECH</v>
      </c>
      <c r="C23" s="11"/>
      <c r="D23" s="2">
        <f t="shared" si="4"/>
        <v>0</v>
      </c>
      <c r="E23" s="2"/>
      <c r="F23" s="19"/>
      <c r="G23" s="2"/>
      <c r="H23" s="2">
        <f>--128.61</f>
        <v>128.61000000000001</v>
      </c>
      <c r="I23" s="2"/>
      <c r="J23" s="19"/>
      <c r="K23" s="2"/>
      <c r="L23" s="2">
        <f t="shared" si="0"/>
        <v>-128.61000000000001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--130.1</f>
        <v>130.1</v>
      </c>
      <c r="U23" s="2"/>
      <c r="V23" s="19"/>
      <c r="W23" s="2"/>
      <c r="X23" s="2">
        <f t="shared" si="2"/>
        <v>-130.1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 t="shared" si="4"/>
        <v>0</v>
      </c>
      <c r="E24" s="2"/>
      <c r="F24" s="19"/>
      <c r="G24" s="2"/>
      <c r="H24" s="2">
        <f>--136.51</f>
        <v>136.51</v>
      </c>
      <c r="I24" s="2"/>
      <c r="J24" s="19"/>
      <c r="K24" s="2"/>
      <c r="L24" s="2">
        <f t="shared" si="0"/>
        <v>-136.51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--263.93</f>
        <v>263.93</v>
      </c>
      <c r="U24" s="2"/>
      <c r="V24" s="19"/>
      <c r="W24" s="2"/>
      <c r="X24" s="2">
        <f t="shared" si="2"/>
        <v>-263.93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"4133", " - ", "NON-TAXABLE SALES-CANDY")</f>
        <v xml:space="preserve">          4133 - NON-TAXABLE SALES-CANDY</v>
      </c>
      <c r="C25" s="11"/>
      <c r="D25" s="2">
        <f t="shared" si="4"/>
        <v>0</v>
      </c>
      <c r="E25" s="2"/>
      <c r="F25" s="19"/>
      <c r="G25" s="2"/>
      <c r="H25" s="2">
        <f>--184.35</f>
        <v>184.35</v>
      </c>
      <c r="I25" s="2"/>
      <c r="J25" s="19"/>
      <c r="K25" s="2"/>
      <c r="L25" s="2">
        <f t="shared" si="0"/>
        <v>-184.35</v>
      </c>
      <c r="M25" s="2"/>
      <c r="N25" s="19">
        <f t="shared" si="1"/>
        <v>-1</v>
      </c>
      <c r="O25" s="11"/>
      <c r="P25" s="2">
        <f t="shared" si="5"/>
        <v>0</v>
      </c>
      <c r="Q25" s="2"/>
      <c r="R25" s="19"/>
      <c r="S25" s="2"/>
      <c r="T25" s="2">
        <f>--473.2</f>
        <v>473.2</v>
      </c>
      <c r="U25" s="2"/>
      <c r="V25" s="19"/>
      <c r="W25" s="2"/>
      <c r="X25" s="2">
        <f t="shared" si="2"/>
        <v>-473.2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"4135", " - ", "NON-TAXABLE SALES")</f>
        <v xml:space="preserve">          4135 - NON-TAXABLE SALES</v>
      </c>
      <c r="C26" s="11"/>
      <c r="D26" s="2">
        <f t="shared" si="4"/>
        <v>0</v>
      </c>
      <c r="E26" s="2"/>
      <c r="F26" s="19"/>
      <c r="G26" s="2"/>
      <c r="H26" s="2">
        <f>--25.03</f>
        <v>25.03</v>
      </c>
      <c r="I26" s="2"/>
      <c r="J26" s="19"/>
      <c r="K26" s="2"/>
      <c r="L26" s="2">
        <f t="shared" si="0"/>
        <v>-25.03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--46.57</f>
        <v>46.57</v>
      </c>
      <c r="U26" s="2"/>
      <c r="V26" s="19"/>
      <c r="W26" s="2"/>
      <c r="X26" s="2">
        <f t="shared" si="2"/>
        <v>-46.57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"4225", " - ", "SALES RETURN TAXABLE-TEST FORM")</f>
        <v xml:space="preserve">          4225 - SALES RETURN TAXABLE-TEST FORM</v>
      </c>
      <c r="C27" s="11"/>
      <c r="D27" s="2">
        <f t="shared" si="4"/>
        <v>0</v>
      </c>
      <c r="E27" s="2"/>
      <c r="F27" s="19"/>
      <c r="G27" s="2"/>
      <c r="H27" s="2">
        <f>-8.61</f>
        <v>-8.61</v>
      </c>
      <c r="I27" s="2"/>
      <c r="J27" s="19"/>
      <c r="K27" s="2"/>
      <c r="L27" s="2">
        <f t="shared" si="0"/>
        <v>8.61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-12.69</f>
        <v>-12.69</v>
      </c>
      <c r="U27" s="2"/>
      <c r="V27" s="19"/>
      <c r="W27" s="2"/>
      <c r="X27" s="2">
        <f t="shared" si="2"/>
        <v>12.69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"4226", " - ", "SALES RETURN TAXABLE-WRITING I")</f>
        <v xml:space="preserve">          4226 - SALES RETURN TAXABLE-WRITING I</v>
      </c>
      <c r="C28" s="11"/>
      <c r="D28" s="2">
        <f t="shared" si="4"/>
        <v>0</v>
      </c>
      <c r="E28" s="2"/>
      <c r="F28" s="19"/>
      <c r="G28" s="2"/>
      <c r="H28" s="2">
        <f>-60.28</f>
        <v>-60.28</v>
      </c>
      <c r="I28" s="2"/>
      <c r="J28" s="19"/>
      <c r="K28" s="2"/>
      <c r="L28" s="2">
        <f t="shared" si="0"/>
        <v>60.28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-124.21</f>
        <v>-124.21</v>
      </c>
      <c r="U28" s="2"/>
      <c r="V28" s="19"/>
      <c r="W28" s="2"/>
      <c r="X28" s="2">
        <f t="shared" si="2"/>
        <v>124.21</v>
      </c>
      <c r="Y28" s="2"/>
      <c r="Z28" s="19">
        <f t="shared" si="3"/>
        <v>-1</v>
      </c>
    </row>
    <row r="29" spans="1:26" s="24" customFormat="1" hidden="1" outlineLevel="1" x14ac:dyDescent="0.25">
      <c r="A29" s="44"/>
      <c r="B29" s="11" t="str">
        <f>CONCATENATE("          ", "4227", " - ", "SALES RETURN TAXABLE-SCHOOL SU")</f>
        <v xml:space="preserve">          4227 - SALES RETURN TAXABLE-SCHOOL SU</v>
      </c>
      <c r="C29" s="11"/>
      <c r="D29" s="2">
        <f t="shared" si="4"/>
        <v>0</v>
      </c>
      <c r="E29" s="2"/>
      <c r="F29" s="19"/>
      <c r="G29" s="2"/>
      <c r="H29" s="2">
        <f>-1529.66</f>
        <v>-1529.66</v>
      </c>
      <c r="I29" s="2"/>
      <c r="J29" s="19"/>
      <c r="K29" s="2"/>
      <c r="L29" s="2">
        <f t="shared" si="0"/>
        <v>1529.66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-1686.13</f>
        <v>-1686.13</v>
      </c>
      <c r="U29" s="2"/>
      <c r="V29" s="19"/>
      <c r="W29" s="2"/>
      <c r="X29" s="2">
        <f t="shared" si="2"/>
        <v>1686.13</v>
      </c>
      <c r="Y29" s="2"/>
      <c r="Z29" s="19">
        <f t="shared" si="3"/>
        <v>-1</v>
      </c>
    </row>
    <row r="30" spans="1:26" s="24" customFormat="1" hidden="1" outlineLevel="1" x14ac:dyDescent="0.25">
      <c r="A30" s="44"/>
      <c r="B30" s="11" t="str">
        <f>CONCATENATE("          ", "4228", " - ", "SALES RETURN TAXABLE-ART/TECH")</f>
        <v xml:space="preserve">          4228 - SALES RETURN TAXABLE-ART/TECH</v>
      </c>
      <c r="C30" s="11"/>
      <c r="D30" s="2">
        <f t="shared" si="4"/>
        <v>0</v>
      </c>
      <c r="E30" s="2"/>
      <c r="F30" s="19"/>
      <c r="G30" s="2"/>
      <c r="H30" s="2">
        <f>-86.86</f>
        <v>-86.86</v>
      </c>
      <c r="I30" s="2"/>
      <c r="J30" s="19"/>
      <c r="K30" s="2"/>
      <c r="L30" s="2">
        <f t="shared" si="0"/>
        <v>86.86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-86.86</f>
        <v>-86.86</v>
      </c>
      <c r="U30" s="2"/>
      <c r="V30" s="19"/>
      <c r="W30" s="2"/>
      <c r="X30" s="2">
        <f t="shared" si="2"/>
        <v>86.86</v>
      </c>
      <c r="Y30" s="2"/>
      <c r="Z30" s="19">
        <f t="shared" si="3"/>
        <v>-1</v>
      </c>
    </row>
    <row r="31" spans="1:26" s="24" customFormat="1" hidden="1" outlineLevel="1" x14ac:dyDescent="0.25">
      <c r="A31" s="44"/>
      <c r="B31" s="11" t="str">
        <f>CONCATENATE("          ", "4327", " - ", "SALES RETURN NON TAXABLE-SCHOO")</f>
        <v xml:space="preserve">          4327 - SALES RETURN NON TAXABLE-SCHOO</v>
      </c>
      <c r="C31" s="11"/>
      <c r="D31" s="2">
        <f t="shared" si="4"/>
        <v>0</v>
      </c>
      <c r="E31" s="2"/>
      <c r="F31" s="19"/>
      <c r="G31" s="2"/>
      <c r="H31" s="2">
        <f>-13.58</f>
        <v>-13.58</v>
      </c>
      <c r="I31" s="2"/>
      <c r="J31" s="19"/>
      <c r="K31" s="2"/>
      <c r="L31" s="2">
        <f t="shared" si="0"/>
        <v>13.58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-13.58</f>
        <v>-13.58</v>
      </c>
      <c r="U31" s="2"/>
      <c r="V31" s="19"/>
      <c r="W31" s="2"/>
      <c r="X31" s="2">
        <f t="shared" si="2"/>
        <v>13.58</v>
      </c>
      <c r="Y31" s="2"/>
      <c r="Z31" s="19">
        <f t="shared" si="3"/>
        <v>-1</v>
      </c>
    </row>
    <row r="32" spans="1:26" x14ac:dyDescent="0.25">
      <c r="A32" s="9"/>
      <c r="B32" s="10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collapsed="1" x14ac:dyDescent="0.25">
      <c r="A33" s="10"/>
      <c r="B33" s="25" t="s">
        <v>8</v>
      </c>
      <c r="C33" s="10"/>
      <c r="D33" s="4">
        <f>SUM(OSRRefD16x_0)</f>
        <v>0</v>
      </c>
      <c r="E33" s="4"/>
      <c r="F33" s="12">
        <f t="shared" ref="F33:F47" si="6">IF(D$12=0,0,D33/D$12)</f>
        <v>0</v>
      </c>
      <c r="G33" s="4"/>
      <c r="H33" s="4">
        <f>SUM(OSRRefH16x_0)</f>
        <v>34508.939999999995</v>
      </c>
      <c r="I33" s="4"/>
      <c r="J33" s="12">
        <f t="shared" ref="J33:J47" si="7">IF(H$12=0,0,H33/H$12)</f>
        <v>0.43096951387118804</v>
      </c>
      <c r="K33" s="4"/>
      <c r="L33" s="4">
        <f t="shared" ref="L33:L47" si="8">+D33-H33</f>
        <v>-34508.939999999995</v>
      </c>
      <c r="M33" s="4"/>
      <c r="N33" s="12">
        <f t="shared" ref="N33:N47" si="9">IF(H33=0,0,L33/H33)</f>
        <v>-1</v>
      </c>
      <c r="O33" s="10"/>
      <c r="P33" s="4">
        <f>SUM(OSRRefP16x_0)</f>
        <v>0</v>
      </c>
      <c r="Q33" s="4"/>
      <c r="R33" s="12">
        <f t="shared" ref="R33:R47" si="10">IF(P$12=0,0,P33/P$12)</f>
        <v>0</v>
      </c>
      <c r="S33" s="4"/>
      <c r="T33" s="4">
        <f>SUM(OSRRefT16x_0)</f>
        <v>42657.640000000014</v>
      </c>
      <c r="U33" s="4"/>
      <c r="V33" s="12">
        <f t="shared" ref="V33:V47" si="11">IF(T$12=0,0,T33/T$12)</f>
        <v>0.4424349039673342</v>
      </c>
      <c r="W33" s="4"/>
      <c r="X33" s="4">
        <f t="shared" ref="X33:X47" si="12">+P33-T33</f>
        <v>-42657.640000000014</v>
      </c>
      <c r="Y33" s="4"/>
      <c r="Z33" s="12">
        <f t="shared" ref="Z33:Z47" si="13">IF(T33=0,0,X33/T33)</f>
        <v>-1</v>
      </c>
    </row>
    <row r="34" spans="1:26" s="24" customFormat="1" hidden="1" outlineLevel="1" x14ac:dyDescent="0.25">
      <c r="A34" s="44"/>
      <c r="B34" s="11" t="str">
        <f>CONCATENATE("          ", "5017", " - ", "PURCHASES @ COST-DORM/HOUSEWAR")</f>
        <v xml:space="preserve">          5017 - PURCHASES @ COST-DORM/HOUSEWAR</v>
      </c>
      <c r="C34" s="11"/>
      <c r="D34" s="2"/>
      <c r="E34" s="2"/>
      <c r="F34" s="19">
        <f t="shared" si="6"/>
        <v>0</v>
      </c>
      <c r="G34" s="2"/>
      <c r="H34" s="2">
        <v>139.86000000000001</v>
      </c>
      <c r="I34" s="2"/>
      <c r="J34" s="19">
        <f t="shared" si="7"/>
        <v>1.7466603207755547E-3</v>
      </c>
      <c r="K34" s="2"/>
      <c r="L34" s="2">
        <f t="shared" si="8"/>
        <v>-139.86000000000001</v>
      </c>
      <c r="M34" s="2"/>
      <c r="N34" s="19">
        <f t="shared" si="9"/>
        <v>-1</v>
      </c>
      <c r="O34" s="11"/>
      <c r="P34" s="2"/>
      <c r="Q34" s="2"/>
      <c r="R34" s="19">
        <f t="shared" si="10"/>
        <v>0</v>
      </c>
      <c r="S34" s="2"/>
      <c r="T34" s="2">
        <v>139.86000000000001</v>
      </c>
      <c r="U34" s="2"/>
      <c r="V34" s="19">
        <f t="shared" si="11"/>
        <v>1.4505946805512763E-3</v>
      </c>
      <c r="W34" s="2"/>
      <c r="X34" s="2">
        <f t="shared" si="12"/>
        <v>-139.86000000000001</v>
      </c>
      <c r="Y34" s="2"/>
      <c r="Z34" s="19">
        <f t="shared" si="13"/>
        <v>-1</v>
      </c>
    </row>
    <row r="35" spans="1:26" s="24" customFormat="1" hidden="1" outlineLevel="1" x14ac:dyDescent="0.25">
      <c r="A35" s="44"/>
      <c r="B35" s="11" t="str">
        <f>CONCATENATE("          ", "5025", " - ", "PURCHASES @ COST-TEST FORMS")</f>
        <v xml:space="preserve">          5025 - PURCHASES @ COST-TEST FORMS</v>
      </c>
      <c r="C35" s="11"/>
      <c r="D35" s="2"/>
      <c r="E35" s="2"/>
      <c r="F35" s="19">
        <f t="shared" si="6"/>
        <v>0</v>
      </c>
      <c r="G35" s="2"/>
      <c r="H35" s="2">
        <v>878.02</v>
      </c>
      <c r="I35" s="2"/>
      <c r="J35" s="19">
        <f t="shared" si="7"/>
        <v>1.0965270233428803E-2</v>
      </c>
      <c r="K35" s="2"/>
      <c r="L35" s="2">
        <f t="shared" si="8"/>
        <v>-878.02</v>
      </c>
      <c r="M35" s="2"/>
      <c r="N35" s="19">
        <f t="shared" si="9"/>
        <v>-1</v>
      </c>
      <c r="O35" s="11"/>
      <c r="P35" s="2"/>
      <c r="Q35" s="2"/>
      <c r="R35" s="19">
        <f t="shared" si="10"/>
        <v>0</v>
      </c>
      <c r="S35" s="2"/>
      <c r="T35" s="2">
        <v>1757.14</v>
      </c>
      <c r="U35" s="2"/>
      <c r="V35" s="19">
        <f t="shared" si="11"/>
        <v>1.822463847407314E-2</v>
      </c>
      <c r="W35" s="2"/>
      <c r="X35" s="2">
        <f t="shared" si="12"/>
        <v>-1757.14</v>
      </c>
      <c r="Y35" s="2"/>
      <c r="Z35" s="19">
        <f t="shared" si="13"/>
        <v>-1</v>
      </c>
    </row>
    <row r="36" spans="1:26" s="24" customFormat="1" hidden="1" outlineLevel="1" x14ac:dyDescent="0.25">
      <c r="A36" s="44"/>
      <c r="B36" s="11" t="str">
        <f>CONCATENATE("          ", "5026", " - ", "PURCHASES @ COST-WRITING INSTR")</f>
        <v xml:space="preserve">          5026 - PURCHASES @ COST-WRITING INSTR</v>
      </c>
      <c r="C36" s="11"/>
      <c r="D36" s="2"/>
      <c r="E36" s="2"/>
      <c r="F36" s="19">
        <f t="shared" si="6"/>
        <v>0</v>
      </c>
      <c r="G36" s="2"/>
      <c r="H36" s="2">
        <v>2669.1</v>
      </c>
      <c r="I36" s="2"/>
      <c r="J36" s="19">
        <f t="shared" si="7"/>
        <v>3.3333412428013957E-2</v>
      </c>
      <c r="K36" s="2"/>
      <c r="L36" s="2">
        <f t="shared" si="8"/>
        <v>-2669.1</v>
      </c>
      <c r="M36" s="2"/>
      <c r="N36" s="19">
        <f t="shared" si="9"/>
        <v>-1</v>
      </c>
      <c r="O36" s="11"/>
      <c r="P36" s="2"/>
      <c r="Q36" s="2"/>
      <c r="R36" s="19">
        <f t="shared" si="10"/>
        <v>0</v>
      </c>
      <c r="S36" s="2"/>
      <c r="T36" s="2">
        <v>12199.33</v>
      </c>
      <c r="U36" s="2"/>
      <c r="V36" s="19">
        <f t="shared" si="11"/>
        <v>0.12652855143922206</v>
      </c>
      <c r="W36" s="2"/>
      <c r="X36" s="2">
        <f t="shared" si="12"/>
        <v>-12199.33</v>
      </c>
      <c r="Y36" s="2"/>
      <c r="Z36" s="19">
        <f t="shared" si="13"/>
        <v>-1</v>
      </c>
    </row>
    <row r="37" spans="1:26" s="24" customFormat="1" hidden="1" outlineLevel="1" x14ac:dyDescent="0.25">
      <c r="A37" s="44"/>
      <c r="B37" s="11" t="str">
        <f>CONCATENATE("          ", "5027", " - ", "PURCHASES @ COST-SCHOOL SUPPLI")</f>
        <v xml:space="preserve">          5027 - PURCHASES @ COST-SCHOOL SUPPLI</v>
      </c>
      <c r="C37" s="11"/>
      <c r="D37" s="2"/>
      <c r="E37" s="2"/>
      <c r="F37" s="19">
        <f t="shared" si="6"/>
        <v>0</v>
      </c>
      <c r="G37" s="2"/>
      <c r="H37" s="2">
        <v>-190.18</v>
      </c>
      <c r="I37" s="2"/>
      <c r="J37" s="19">
        <f t="shared" si="7"/>
        <v>-2.3750883726948017E-3</v>
      </c>
      <c r="K37" s="2"/>
      <c r="L37" s="2">
        <f t="shared" si="8"/>
        <v>190.18</v>
      </c>
      <c r="M37" s="2"/>
      <c r="N37" s="19">
        <f t="shared" si="9"/>
        <v>-1</v>
      </c>
      <c r="O37" s="11"/>
      <c r="P37" s="2"/>
      <c r="Q37" s="2"/>
      <c r="R37" s="19">
        <f t="shared" si="10"/>
        <v>0</v>
      </c>
      <c r="S37" s="2"/>
      <c r="T37" s="2">
        <v>49066.48</v>
      </c>
      <c r="U37" s="2"/>
      <c r="V37" s="19">
        <f t="shared" si="11"/>
        <v>0.50890586930770476</v>
      </c>
      <c r="W37" s="2"/>
      <c r="X37" s="2">
        <f t="shared" si="12"/>
        <v>-49066.48</v>
      </c>
      <c r="Y37" s="2"/>
      <c r="Z37" s="19">
        <f t="shared" si="13"/>
        <v>-1</v>
      </c>
    </row>
    <row r="38" spans="1:26" s="24" customFormat="1" hidden="1" outlineLevel="1" x14ac:dyDescent="0.25">
      <c r="A38" s="44"/>
      <c r="B38" s="11" t="str">
        <f>CONCATENATE("          ", "5028", " - ", "PURCHASES @ COST-ART/TECH")</f>
        <v xml:space="preserve">          5028 - PURCHASES @ COST-ART/TECH</v>
      </c>
      <c r="C38" s="11"/>
      <c r="D38" s="2"/>
      <c r="E38" s="2"/>
      <c r="F38" s="19">
        <f t="shared" si="6"/>
        <v>0</v>
      </c>
      <c r="G38" s="2"/>
      <c r="H38" s="2">
        <v>471.64</v>
      </c>
      <c r="I38" s="2"/>
      <c r="J38" s="19">
        <f t="shared" si="7"/>
        <v>5.8901392370269015E-3</v>
      </c>
      <c r="K38" s="2"/>
      <c r="L38" s="2">
        <f t="shared" si="8"/>
        <v>-471.64</v>
      </c>
      <c r="M38" s="2"/>
      <c r="N38" s="19">
        <f t="shared" si="9"/>
        <v>-1</v>
      </c>
      <c r="O38" s="11"/>
      <c r="P38" s="2"/>
      <c r="Q38" s="2"/>
      <c r="R38" s="19">
        <f t="shared" si="10"/>
        <v>0</v>
      </c>
      <c r="S38" s="2"/>
      <c r="T38" s="2">
        <v>2616.1999999999998</v>
      </c>
      <c r="U38" s="2"/>
      <c r="V38" s="19">
        <f t="shared" si="11"/>
        <v>2.7134604627901102E-2</v>
      </c>
      <c r="W38" s="2"/>
      <c r="X38" s="2">
        <f t="shared" si="12"/>
        <v>-2616.1999999999998</v>
      </c>
      <c r="Y38" s="2"/>
      <c r="Z38" s="19">
        <f t="shared" si="13"/>
        <v>-1</v>
      </c>
    </row>
    <row r="39" spans="1:26" s="24" customFormat="1" hidden="1" outlineLevel="1" x14ac:dyDescent="0.25">
      <c r="A39" s="44"/>
      <c r="B39" s="11" t="str">
        <f>CONCATENATE("          ", "5031", " - ", "PURCHASES @ COST-FOOD")</f>
        <v xml:space="preserve">          5031 - PURCHASES @ COST-FOOD</v>
      </c>
      <c r="C39" s="11"/>
      <c r="D39" s="2"/>
      <c r="E39" s="2"/>
      <c r="F39" s="19">
        <f t="shared" si="6"/>
        <v>0</v>
      </c>
      <c r="G39" s="2"/>
      <c r="H39" s="2">
        <v>149.11000000000001</v>
      </c>
      <c r="I39" s="2"/>
      <c r="J39" s="19">
        <f t="shared" si="7"/>
        <v>1.8621801832607104E-3</v>
      </c>
      <c r="K39" s="2"/>
      <c r="L39" s="2">
        <f t="shared" si="8"/>
        <v>-149.11000000000001</v>
      </c>
      <c r="M39" s="2"/>
      <c r="N39" s="19">
        <f t="shared" si="9"/>
        <v>-1</v>
      </c>
      <c r="O39" s="11"/>
      <c r="P39" s="2"/>
      <c r="Q39" s="2"/>
      <c r="R39" s="19">
        <f t="shared" si="10"/>
        <v>0</v>
      </c>
      <c r="S39" s="2"/>
      <c r="T39" s="2">
        <v>149.11000000000001</v>
      </c>
      <c r="U39" s="2"/>
      <c r="V39" s="19">
        <f t="shared" si="11"/>
        <v>1.5465334821750379E-3</v>
      </c>
      <c r="W39" s="2"/>
      <c r="X39" s="2">
        <f t="shared" si="12"/>
        <v>-149.11000000000001</v>
      </c>
      <c r="Y39" s="2"/>
      <c r="Z39" s="19">
        <f t="shared" si="13"/>
        <v>-1</v>
      </c>
    </row>
    <row r="40" spans="1:26" s="24" customFormat="1" hidden="1" outlineLevel="1" x14ac:dyDescent="0.25">
      <c r="A40" s="44"/>
      <c r="B40" s="11" t="str">
        <f>CONCATENATE("          ", "5033", " - ", "PURCHASES @ COST-CANDY")</f>
        <v xml:space="preserve">          5033 - PURCHASES @ COST-CANDY</v>
      </c>
      <c r="C40" s="11"/>
      <c r="D40" s="2"/>
      <c r="E40" s="2"/>
      <c r="F40" s="19">
        <f t="shared" si="6"/>
        <v>0</v>
      </c>
      <c r="G40" s="2"/>
      <c r="H40" s="2">
        <v>80.95</v>
      </c>
      <c r="I40" s="2"/>
      <c r="J40" s="19">
        <f t="shared" si="7"/>
        <v>1.0109549046673899E-3</v>
      </c>
      <c r="K40" s="2"/>
      <c r="L40" s="2">
        <f t="shared" si="8"/>
        <v>-80.95</v>
      </c>
      <c r="M40" s="2"/>
      <c r="N40" s="19">
        <f t="shared" si="9"/>
        <v>-1</v>
      </c>
      <c r="O40" s="11"/>
      <c r="P40" s="2"/>
      <c r="Q40" s="2"/>
      <c r="R40" s="19">
        <f t="shared" si="10"/>
        <v>0</v>
      </c>
      <c r="S40" s="2"/>
      <c r="T40" s="2">
        <v>80.95</v>
      </c>
      <c r="U40" s="2"/>
      <c r="V40" s="19">
        <f t="shared" si="11"/>
        <v>8.3959416123713577E-4</v>
      </c>
      <c r="W40" s="2"/>
      <c r="X40" s="2">
        <f t="shared" si="12"/>
        <v>-80.95</v>
      </c>
      <c r="Y40" s="2"/>
      <c r="Z40" s="19">
        <f t="shared" si="13"/>
        <v>-1</v>
      </c>
    </row>
    <row r="41" spans="1:26" s="24" customFormat="1" hidden="1" outlineLevel="1" x14ac:dyDescent="0.25">
      <c r="A41" s="44"/>
      <c r="B41" s="11" t="str">
        <f>CONCATENATE("          ", "5035", " - ", "PURCHASES @ COST-HEALTH &amp; BEAU")</f>
        <v xml:space="preserve">          5035 - PURCHASES @ COST-HEALTH &amp; BEAU</v>
      </c>
      <c r="C41" s="11"/>
      <c r="D41" s="2"/>
      <c r="E41" s="2"/>
      <c r="F41" s="19">
        <f t="shared" si="6"/>
        <v>0</v>
      </c>
      <c r="G41" s="2"/>
      <c r="H41" s="2">
        <v>34.49</v>
      </c>
      <c r="I41" s="2"/>
      <c r="J41" s="19">
        <f t="shared" si="7"/>
        <v>4.3073297914735361E-4</v>
      </c>
      <c r="K41" s="2"/>
      <c r="L41" s="2">
        <f t="shared" si="8"/>
        <v>-34.49</v>
      </c>
      <c r="M41" s="2"/>
      <c r="N41" s="19">
        <f t="shared" si="9"/>
        <v>-1</v>
      </c>
      <c r="O41" s="11"/>
      <c r="P41" s="2"/>
      <c r="Q41" s="2"/>
      <c r="R41" s="19">
        <f t="shared" si="10"/>
        <v>0</v>
      </c>
      <c r="S41" s="2"/>
      <c r="T41" s="2">
        <v>34.49</v>
      </c>
      <c r="U41" s="2"/>
      <c r="V41" s="19">
        <f t="shared" si="11"/>
        <v>3.577220830274097E-4</v>
      </c>
      <c r="W41" s="2"/>
      <c r="X41" s="2">
        <f t="shared" si="12"/>
        <v>-34.49</v>
      </c>
      <c r="Y41" s="2"/>
      <c r="Z41" s="19">
        <f t="shared" si="13"/>
        <v>-1</v>
      </c>
    </row>
    <row r="42" spans="1:26" s="24" customFormat="1" hidden="1" outlineLevel="1" x14ac:dyDescent="0.25">
      <c r="A42" s="44"/>
      <c r="B42" s="11" t="str">
        <f>CONCATENATE("          ", "5200", " - ", "PURCHASES OFFSET")</f>
        <v xml:space="preserve">          5200 - PURCHASES OFFSET</v>
      </c>
      <c r="C42" s="11"/>
      <c r="D42" s="2"/>
      <c r="E42" s="2"/>
      <c r="F42" s="19">
        <f t="shared" si="6"/>
        <v>0</v>
      </c>
      <c r="G42" s="2"/>
      <c r="H42" s="2">
        <v>-4261</v>
      </c>
      <c r="I42" s="2"/>
      <c r="J42" s="19">
        <f t="shared" si="7"/>
        <v>-5.3214068545864704E-2</v>
      </c>
      <c r="K42" s="2"/>
      <c r="L42" s="2">
        <f t="shared" si="8"/>
        <v>4261</v>
      </c>
      <c r="M42" s="2"/>
      <c r="N42" s="19">
        <f t="shared" si="9"/>
        <v>-1</v>
      </c>
      <c r="O42" s="11"/>
      <c r="P42" s="2"/>
      <c r="Q42" s="2"/>
      <c r="R42" s="19">
        <f t="shared" si="10"/>
        <v>0</v>
      </c>
      <c r="S42" s="2"/>
      <c r="T42" s="2">
        <v>-66405</v>
      </c>
      <c r="U42" s="2"/>
      <c r="V42" s="19">
        <f t="shared" si="11"/>
        <v>-0.68873687803523165</v>
      </c>
      <c r="W42" s="2"/>
      <c r="X42" s="2">
        <f t="shared" si="12"/>
        <v>66405</v>
      </c>
      <c r="Y42" s="2"/>
      <c r="Z42" s="19">
        <f t="shared" si="13"/>
        <v>-1</v>
      </c>
    </row>
    <row r="43" spans="1:26" s="24" customFormat="1" hidden="1" outlineLevel="1" x14ac:dyDescent="0.25">
      <c r="A43" s="44"/>
      <c r="B43" s="11" t="str">
        <f>CONCATENATE("          ", "5300", " - ", "COG$ OFFSET")</f>
        <v xml:space="preserve">          5300 - COG$ OFFSET</v>
      </c>
      <c r="C43" s="11"/>
      <c r="D43" s="2"/>
      <c r="E43" s="2"/>
      <c r="F43" s="19">
        <f t="shared" si="6"/>
        <v>0</v>
      </c>
      <c r="G43" s="2"/>
      <c r="H43" s="2">
        <v>34509</v>
      </c>
      <c r="I43" s="2"/>
      <c r="J43" s="19">
        <f t="shared" si="7"/>
        <v>0.430970263189215</v>
      </c>
      <c r="K43" s="2"/>
      <c r="L43" s="2">
        <f t="shared" si="8"/>
        <v>-34509</v>
      </c>
      <c r="M43" s="2"/>
      <c r="N43" s="19">
        <f t="shared" si="9"/>
        <v>-1</v>
      </c>
      <c r="O43" s="11"/>
      <c r="P43" s="2"/>
      <c r="Q43" s="2"/>
      <c r="R43" s="19">
        <f t="shared" si="10"/>
        <v>0</v>
      </c>
      <c r="S43" s="2"/>
      <c r="T43" s="2">
        <v>42609</v>
      </c>
      <c r="U43" s="2"/>
      <c r="V43" s="19">
        <f t="shared" si="11"/>
        <v>0.44193042144722811</v>
      </c>
      <c r="W43" s="2"/>
      <c r="X43" s="2">
        <f t="shared" si="12"/>
        <v>-42609</v>
      </c>
      <c r="Y43" s="2"/>
      <c r="Z43" s="19">
        <f t="shared" si="13"/>
        <v>-1</v>
      </c>
    </row>
    <row r="44" spans="1:26" s="24" customFormat="1" hidden="1" outlineLevel="1" x14ac:dyDescent="0.25">
      <c r="A44" s="44"/>
      <c r="B44" s="11" t="str">
        <f>CONCATENATE("          ", "5500", " - ", "FREIGHT-IN")</f>
        <v xml:space="preserve">          5500 - FREIGHT-IN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/>
      <c r="Q44" s="2"/>
      <c r="R44" s="19">
        <f t="shared" si="10"/>
        <v>0</v>
      </c>
      <c r="S44" s="2"/>
      <c r="T44" s="2">
        <v>49</v>
      </c>
      <c r="U44" s="2"/>
      <c r="V44" s="19">
        <f t="shared" si="11"/>
        <v>5.0821635454749415E-4</v>
      </c>
      <c r="W44" s="2"/>
      <c r="X44" s="2">
        <f t="shared" si="12"/>
        <v>-49</v>
      </c>
      <c r="Y44" s="2"/>
      <c r="Z44" s="19">
        <f t="shared" si="13"/>
        <v>-1</v>
      </c>
    </row>
    <row r="45" spans="1:26" s="24" customFormat="1" hidden="1" outlineLevel="1" x14ac:dyDescent="0.25">
      <c r="A45" s="44"/>
      <c r="B45" s="11" t="str">
        <f>CONCATENATE("          ", "5526", " - ", "FREIGHT-IN-WRITING INSTRUMENTS")</f>
        <v xml:space="preserve">          5526 - FREIGHT-IN-WRITING INSTRUMENTS</v>
      </c>
      <c r="C45" s="11"/>
      <c r="D45" s="2"/>
      <c r="E45" s="2"/>
      <c r="F45" s="19">
        <f t="shared" si="6"/>
        <v>0</v>
      </c>
      <c r="G45" s="2"/>
      <c r="H45" s="2">
        <v>17.46</v>
      </c>
      <c r="I45" s="2"/>
      <c r="J45" s="19">
        <f t="shared" si="7"/>
        <v>2.1805154583684529E-4</v>
      </c>
      <c r="K45" s="2"/>
      <c r="L45" s="2">
        <f t="shared" si="8"/>
        <v>-17.46</v>
      </c>
      <c r="M45" s="2"/>
      <c r="N45" s="19">
        <f t="shared" si="9"/>
        <v>-1</v>
      </c>
      <c r="O45" s="11"/>
      <c r="P45" s="2"/>
      <c r="Q45" s="2"/>
      <c r="R45" s="19">
        <f t="shared" si="10"/>
        <v>0</v>
      </c>
      <c r="S45" s="2"/>
      <c r="T45" s="2">
        <v>56.57</v>
      </c>
      <c r="U45" s="2"/>
      <c r="V45" s="19">
        <f t="shared" si="11"/>
        <v>5.8673059544391319E-4</v>
      </c>
      <c r="W45" s="2"/>
      <c r="X45" s="2">
        <f t="shared" si="12"/>
        <v>-56.57</v>
      </c>
      <c r="Y45" s="2"/>
      <c r="Z45" s="19">
        <f t="shared" si="13"/>
        <v>-1</v>
      </c>
    </row>
    <row r="46" spans="1:26" s="24" customFormat="1" hidden="1" outlineLevel="1" x14ac:dyDescent="0.25">
      <c r="A46" s="44"/>
      <c r="B46" s="11" t="str">
        <f>CONCATENATE("          ", "5527", " - ", "FREIGHT-IN-SCHOOL SUPPLIES")</f>
        <v xml:space="preserve">          5527 - FREIGHT-IN-SCHOOL SUPPLIES</v>
      </c>
      <c r="C46" s="11"/>
      <c r="D46" s="2"/>
      <c r="E46" s="2"/>
      <c r="F46" s="19">
        <f t="shared" si="6"/>
        <v>0</v>
      </c>
      <c r="G46" s="2"/>
      <c r="H46" s="2">
        <v>10.49</v>
      </c>
      <c r="I46" s="2"/>
      <c r="J46" s="19">
        <f t="shared" si="7"/>
        <v>1.3100576837505768E-4</v>
      </c>
      <c r="K46" s="2"/>
      <c r="L46" s="2">
        <f t="shared" si="8"/>
        <v>-10.49</v>
      </c>
      <c r="M46" s="2"/>
      <c r="N46" s="19">
        <f t="shared" si="9"/>
        <v>-1</v>
      </c>
      <c r="O46" s="11"/>
      <c r="P46" s="2"/>
      <c r="Q46" s="2"/>
      <c r="R46" s="19">
        <f t="shared" si="10"/>
        <v>0</v>
      </c>
      <c r="S46" s="2"/>
      <c r="T46" s="2">
        <v>260.51</v>
      </c>
      <c r="U46" s="2"/>
      <c r="V46" s="19">
        <f t="shared" si="11"/>
        <v>2.701947806595259E-3</v>
      </c>
      <c r="W46" s="2"/>
      <c r="X46" s="2">
        <f t="shared" si="12"/>
        <v>-260.51</v>
      </c>
      <c r="Y46" s="2"/>
      <c r="Z46" s="19">
        <f t="shared" si="13"/>
        <v>-1</v>
      </c>
    </row>
    <row r="47" spans="1:26" s="24" customFormat="1" hidden="1" outlineLevel="1" x14ac:dyDescent="0.25">
      <c r="A47" s="44"/>
      <c r="B47" s="11" t="str">
        <f>CONCATENATE("          ", "5528", " - ", "FREIGHT-IN-ART/TECH")</f>
        <v xml:space="preserve">          5528 - FREIGHT-IN-ART/TECH</v>
      </c>
      <c r="C47" s="11"/>
      <c r="D47" s="2"/>
      <c r="E47" s="2"/>
      <c r="F47" s="19">
        <f t="shared" si="6"/>
        <v>0</v>
      </c>
      <c r="G47" s="2"/>
      <c r="H47" s="2"/>
      <c r="I47" s="2"/>
      <c r="J47" s="19">
        <f t="shared" si="7"/>
        <v>0</v>
      </c>
      <c r="K47" s="2"/>
      <c r="L47" s="2">
        <f t="shared" si="8"/>
        <v>0</v>
      </c>
      <c r="M47" s="2"/>
      <c r="N47" s="19">
        <f t="shared" si="9"/>
        <v>0</v>
      </c>
      <c r="O47" s="11"/>
      <c r="P47" s="2"/>
      <c r="Q47" s="2"/>
      <c r="R47" s="19">
        <f t="shared" si="10"/>
        <v>0</v>
      </c>
      <c r="S47" s="2"/>
      <c r="T47" s="2">
        <v>44</v>
      </c>
      <c r="U47" s="2"/>
      <c r="V47" s="19">
        <f t="shared" si="11"/>
        <v>4.5635754285897431E-4</v>
      </c>
      <c r="W47" s="2"/>
      <c r="X47" s="2">
        <f t="shared" si="12"/>
        <v>-44</v>
      </c>
      <c r="Y47" s="2"/>
      <c r="Z47" s="19">
        <f t="shared" si="13"/>
        <v>-1</v>
      </c>
    </row>
    <row r="48" spans="1:26" x14ac:dyDescent="0.25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25">
      <c r="A49" s="10"/>
      <c r="B49" s="26" t="s">
        <v>6</v>
      </c>
      <c r="C49" s="26"/>
      <c r="D49" s="22">
        <f>D12-D33</f>
        <v>0</v>
      </c>
      <c r="E49" s="13"/>
      <c r="F49" s="21">
        <f>IF(D$12=0,0,D49/D$12)</f>
        <v>0</v>
      </c>
      <c r="G49" s="13"/>
      <c r="H49" s="22">
        <f>H12-H33</f>
        <v>45563.869999999988</v>
      </c>
      <c r="I49" s="13"/>
      <c r="J49" s="21">
        <f>IF(H$12=0,0,H49/H$12)</f>
        <v>0.56903048612881202</v>
      </c>
      <c r="K49" s="16"/>
      <c r="L49" s="22">
        <f>+D49-H49</f>
        <v>-45563.869999999988</v>
      </c>
      <c r="M49" s="16"/>
      <c r="N49" s="21">
        <f>IF(H49=0,0,L49/H49)</f>
        <v>-1</v>
      </c>
      <c r="O49" s="25"/>
      <c r="P49" s="22">
        <f>P12-P33</f>
        <v>0</v>
      </c>
      <c r="Q49" s="13"/>
      <c r="R49" s="21">
        <f>IF(P$12=0,0,P49/P$12)</f>
        <v>0</v>
      </c>
      <c r="S49" s="13"/>
      <c r="T49" s="22">
        <f>T12-T33</f>
        <v>53757.989999999962</v>
      </c>
      <c r="U49" s="13"/>
      <c r="V49" s="21">
        <f>IF(T$12=0,0,T49/T$12)</f>
        <v>0.5575650960326658</v>
      </c>
      <c r="W49" s="16"/>
      <c r="X49" s="22">
        <f>+P49-T49</f>
        <v>-53757.989999999962</v>
      </c>
      <c r="Y49" s="16"/>
      <c r="Z49" s="21">
        <f>IF(T49=0,0,X49/T49)</f>
        <v>-1</v>
      </c>
    </row>
    <row r="50" spans="1:26" x14ac:dyDescent="0.25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25">
      <c r="A51" s="10"/>
      <c r="B51" s="25" t="s">
        <v>9</v>
      </c>
      <c r="C51" s="10"/>
      <c r="D51" s="20">
        <f>SUM(OSRRefD22x_0)</f>
        <v>0</v>
      </c>
      <c r="E51" s="20"/>
      <c r="F51" s="35">
        <f t="shared" ref="F51:F59" si="14">IF(D$12=0,0,D51/D$12)</f>
        <v>0</v>
      </c>
      <c r="G51" s="20"/>
      <c r="H51" s="20">
        <f>SUM(OSRRefH22x_0)</f>
        <v>10263.69</v>
      </c>
      <c r="I51" s="20"/>
      <c r="J51" s="35">
        <f t="shared" ref="J51:J59" si="15">IF(H$12=0,0,H51/H$12)</f>
        <v>0.12817946566381275</v>
      </c>
      <c r="K51" s="4"/>
      <c r="L51" s="20">
        <f t="shared" ref="L51:L59" si="16">+D51-H51</f>
        <v>-10263.69</v>
      </c>
      <c r="M51" s="4"/>
      <c r="N51" s="35">
        <f t="shared" ref="N51:N59" si="17">IF(H51=0,0,L51/H51)</f>
        <v>-1</v>
      </c>
      <c r="O51" s="10"/>
      <c r="P51" s="20">
        <f>SUM(OSRRefP22x_0)</f>
        <v>0</v>
      </c>
      <c r="Q51" s="20"/>
      <c r="R51" s="35">
        <f t="shared" ref="R51:R59" si="18">IF(P$12=0,0,P51/P$12)</f>
        <v>0</v>
      </c>
      <c r="S51" s="20"/>
      <c r="T51" s="20">
        <f>SUM(OSRRefT22x_0)</f>
        <v>22439.33</v>
      </c>
      <c r="U51" s="20"/>
      <c r="V51" s="35">
        <f t="shared" ref="V51:V59" si="19">IF(T$12=0,0,T51/T$12)</f>
        <v>0.23273539777731067</v>
      </c>
      <c r="W51" s="4"/>
      <c r="X51" s="20">
        <f t="shared" ref="X51:X59" si="20">+P51-T51</f>
        <v>-22439.33</v>
      </c>
      <c r="Y51" s="4"/>
      <c r="Z51" s="35">
        <f t="shared" ref="Z51:Z59" si="21">IF(T51=0,0,X51/T51)</f>
        <v>-1</v>
      </c>
    </row>
    <row r="52" spans="1:26" s="28" customFormat="1" outlineLevel="1" collapsed="1" x14ac:dyDescent="0.25">
      <c r="A52" s="27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0</v>
      </c>
      <c r="E52" s="1"/>
      <c r="F52" s="5">
        <f t="shared" si="14"/>
        <v>0</v>
      </c>
      <c r="G52" s="1"/>
      <c r="H52" s="1">
        <f>SUM(OSRRefH22_0x_0)</f>
        <v>2009.5700000000002</v>
      </c>
      <c r="I52" s="1"/>
      <c r="J52" s="5">
        <f t="shared" si="15"/>
        <v>2.5096783789653448E-2</v>
      </c>
      <c r="K52" s="1"/>
      <c r="L52" s="1">
        <f t="shared" si="16"/>
        <v>-2009.5700000000002</v>
      </c>
      <c r="M52" s="1"/>
      <c r="N52" s="5">
        <f t="shared" si="17"/>
        <v>-1</v>
      </c>
      <c r="O52" s="14"/>
      <c r="P52" s="1">
        <f>SUM(OSRRefP22_0x_0)</f>
        <v>0</v>
      </c>
      <c r="Q52" s="1"/>
      <c r="R52" s="5">
        <f t="shared" si="18"/>
        <v>0</v>
      </c>
      <c r="S52" s="1"/>
      <c r="T52" s="1">
        <f>SUM(OSRRefT22_0x_0)</f>
        <v>4367.8500000000004</v>
      </c>
      <c r="U52" s="1"/>
      <c r="V52" s="5">
        <f t="shared" si="19"/>
        <v>4.5302302126740253E-2</v>
      </c>
      <c r="W52" s="1"/>
      <c r="X52" s="1">
        <f t="shared" si="20"/>
        <v>-4367.8500000000004</v>
      </c>
      <c r="Y52" s="1"/>
      <c r="Z52" s="5">
        <f t="shared" si="21"/>
        <v>-1</v>
      </c>
    </row>
    <row r="53" spans="1:26" s="24" customFormat="1" hidden="1" outlineLevel="2" x14ac:dyDescent="0.25">
      <c r="A53" s="29"/>
      <c r="B53" s="11" t="str">
        <f>CONCATENATE("          ", "6111", " - ", "F.I.C.A.")</f>
        <v xml:space="preserve">          6111 - F.I.C.A.</v>
      </c>
      <c r="C53" s="11"/>
      <c r="D53" s="7"/>
      <c r="E53" s="2"/>
      <c r="F53" s="6">
        <f t="shared" si="14"/>
        <v>0</v>
      </c>
      <c r="G53" s="2"/>
      <c r="H53" s="7">
        <v>490.93</v>
      </c>
      <c r="I53" s="2"/>
      <c r="J53" s="6">
        <f t="shared" si="15"/>
        <v>6.1310449826851351E-3</v>
      </c>
      <c r="K53" s="2"/>
      <c r="L53" s="7">
        <f t="shared" si="16"/>
        <v>-490.93</v>
      </c>
      <c r="M53" s="2"/>
      <c r="N53" s="6">
        <f t="shared" si="17"/>
        <v>-1</v>
      </c>
      <c r="O53" s="11"/>
      <c r="P53" s="7"/>
      <c r="Q53" s="2"/>
      <c r="R53" s="6">
        <f t="shared" si="18"/>
        <v>0</v>
      </c>
      <c r="S53" s="2"/>
      <c r="T53" s="7">
        <v>965.62</v>
      </c>
      <c r="U53" s="2"/>
      <c r="V53" s="6">
        <f t="shared" si="19"/>
        <v>1.0015181148533701E-2</v>
      </c>
      <c r="W53" s="2"/>
      <c r="X53" s="7">
        <f t="shared" si="20"/>
        <v>-965.62</v>
      </c>
      <c r="Y53" s="2"/>
      <c r="Z53" s="6">
        <f t="shared" si="21"/>
        <v>-1</v>
      </c>
    </row>
    <row r="54" spans="1:26" s="24" customFormat="1" hidden="1" outlineLevel="2" x14ac:dyDescent="0.25">
      <c r="A54" s="29"/>
      <c r="B54" s="11" t="str">
        <f>CONCATENATE("          ", "6112", " - ", "COMPENSATION INSURANCE")</f>
        <v xml:space="preserve">          6112 - COMPENSATION INSURANCE</v>
      </c>
      <c r="C54" s="11"/>
      <c r="D54" s="7"/>
      <c r="E54" s="2"/>
      <c r="F54" s="6">
        <f t="shared" si="14"/>
        <v>0</v>
      </c>
      <c r="G54" s="2"/>
      <c r="H54" s="7">
        <v>121.89</v>
      </c>
      <c r="I54" s="2"/>
      <c r="J54" s="6">
        <f t="shared" si="15"/>
        <v>1.5222395717097979E-3</v>
      </c>
      <c r="K54" s="2"/>
      <c r="L54" s="7">
        <f t="shared" si="16"/>
        <v>-121.89</v>
      </c>
      <c r="M54" s="2"/>
      <c r="N54" s="6">
        <f t="shared" si="17"/>
        <v>-1</v>
      </c>
      <c r="O54" s="11"/>
      <c r="P54" s="7"/>
      <c r="Q54" s="2"/>
      <c r="R54" s="6">
        <f t="shared" si="18"/>
        <v>0</v>
      </c>
      <c r="S54" s="2"/>
      <c r="T54" s="7">
        <v>239.76</v>
      </c>
      <c r="U54" s="2"/>
      <c r="V54" s="6">
        <f t="shared" si="19"/>
        <v>2.4867337380879016E-3</v>
      </c>
      <c r="W54" s="2"/>
      <c r="X54" s="7">
        <f t="shared" si="20"/>
        <v>-239.76</v>
      </c>
      <c r="Y54" s="2"/>
      <c r="Z54" s="6">
        <f t="shared" si="21"/>
        <v>-1</v>
      </c>
    </row>
    <row r="55" spans="1:26" s="24" customFormat="1" hidden="1" outlineLevel="2" x14ac:dyDescent="0.25">
      <c r="A55" s="29"/>
      <c r="B55" s="11" t="str">
        <f>CONCATENATE("          ", "6113", " - ", "GROUP INSURANCE")</f>
        <v xml:space="preserve">          6113 - GROUP INSURANCE</v>
      </c>
      <c r="C55" s="11"/>
      <c r="D55" s="7"/>
      <c r="E55" s="2"/>
      <c r="F55" s="6">
        <f t="shared" si="14"/>
        <v>0</v>
      </c>
      <c r="G55" s="2"/>
      <c r="H55" s="7">
        <v>924.25</v>
      </c>
      <c r="I55" s="2"/>
      <c r="J55" s="6">
        <f t="shared" si="15"/>
        <v>1.1542619773178938E-2</v>
      </c>
      <c r="K55" s="2"/>
      <c r="L55" s="7">
        <f t="shared" si="16"/>
        <v>-924.25</v>
      </c>
      <c r="M55" s="2"/>
      <c r="N55" s="6">
        <f t="shared" si="17"/>
        <v>-1</v>
      </c>
      <c r="O55" s="11"/>
      <c r="P55" s="7"/>
      <c r="Q55" s="2"/>
      <c r="R55" s="6">
        <f t="shared" si="18"/>
        <v>0</v>
      </c>
      <c r="S55" s="2"/>
      <c r="T55" s="7">
        <v>1848.5</v>
      </c>
      <c r="U55" s="2"/>
      <c r="V55" s="6">
        <f t="shared" si="19"/>
        <v>1.9172202681245774E-2</v>
      </c>
      <c r="W55" s="2"/>
      <c r="X55" s="7">
        <f t="shared" si="20"/>
        <v>-1848.5</v>
      </c>
      <c r="Y55" s="2"/>
      <c r="Z55" s="6">
        <f t="shared" si="21"/>
        <v>-1</v>
      </c>
    </row>
    <row r="56" spans="1:26" s="24" customFormat="1" hidden="1" outlineLevel="2" x14ac:dyDescent="0.25">
      <c r="A56" s="29"/>
      <c r="B56" s="11" t="str">
        <f>CONCATENATE("          ", "6114", " - ", "STATE UNEMPLOYMENT INSURANCE")</f>
        <v xml:space="preserve">          6114 - STATE UNEMPLOYMENT INSURANCE</v>
      </c>
      <c r="C56" s="11"/>
      <c r="D56" s="7"/>
      <c r="E56" s="2"/>
      <c r="F56" s="6">
        <f t="shared" si="14"/>
        <v>0</v>
      </c>
      <c r="G56" s="2"/>
      <c r="H56" s="7">
        <v>16.68</v>
      </c>
      <c r="I56" s="2"/>
      <c r="J56" s="6">
        <f t="shared" si="15"/>
        <v>2.0831041148674565E-4</v>
      </c>
      <c r="K56" s="2"/>
      <c r="L56" s="7">
        <f t="shared" si="16"/>
        <v>-16.68</v>
      </c>
      <c r="M56" s="2"/>
      <c r="N56" s="6">
        <f t="shared" si="17"/>
        <v>-1</v>
      </c>
      <c r="O56" s="11"/>
      <c r="P56" s="7"/>
      <c r="Q56" s="2"/>
      <c r="R56" s="6">
        <f t="shared" si="18"/>
        <v>0</v>
      </c>
      <c r="S56" s="2"/>
      <c r="T56" s="7">
        <v>32.81</v>
      </c>
      <c r="U56" s="2"/>
      <c r="V56" s="6">
        <f t="shared" si="19"/>
        <v>3.40297522300067E-4</v>
      </c>
      <c r="W56" s="2"/>
      <c r="X56" s="7">
        <f t="shared" si="20"/>
        <v>-32.81</v>
      </c>
      <c r="Y56" s="2"/>
      <c r="Z56" s="6">
        <f t="shared" si="21"/>
        <v>-1</v>
      </c>
    </row>
    <row r="57" spans="1:26" s="24" customFormat="1" hidden="1" outlineLevel="2" x14ac:dyDescent="0.25">
      <c r="A57" s="29"/>
      <c r="B57" s="11" t="str">
        <f>CONCATENATE("          ", "6115", " - ", "P.E.R.S.")</f>
        <v xml:space="preserve">          6115 - P.E.R.S.</v>
      </c>
      <c r="C57" s="11"/>
      <c r="D57" s="7"/>
      <c r="E57" s="2"/>
      <c r="F57" s="6">
        <f t="shared" si="14"/>
        <v>0</v>
      </c>
      <c r="G57" s="2"/>
      <c r="H57" s="7">
        <v>183.4</v>
      </c>
      <c r="I57" s="2"/>
      <c r="J57" s="6">
        <f t="shared" si="15"/>
        <v>2.2904154356516281E-3</v>
      </c>
      <c r="K57" s="2"/>
      <c r="L57" s="7">
        <f t="shared" si="16"/>
        <v>-183.4</v>
      </c>
      <c r="M57" s="2"/>
      <c r="N57" s="6">
        <f t="shared" si="17"/>
        <v>-1</v>
      </c>
      <c r="O57" s="11"/>
      <c r="P57" s="7"/>
      <c r="Q57" s="2"/>
      <c r="R57" s="6">
        <f t="shared" si="18"/>
        <v>0</v>
      </c>
      <c r="S57" s="2"/>
      <c r="T57" s="7">
        <v>366.8</v>
      </c>
      <c r="U57" s="2"/>
      <c r="V57" s="6">
        <f t="shared" si="19"/>
        <v>3.8043624254698134E-3</v>
      </c>
      <c r="W57" s="2"/>
      <c r="X57" s="7">
        <f t="shared" si="20"/>
        <v>-366.8</v>
      </c>
      <c r="Y57" s="2"/>
      <c r="Z57" s="6">
        <f t="shared" si="21"/>
        <v>-1</v>
      </c>
    </row>
    <row r="58" spans="1:26" s="24" customFormat="1" hidden="1" outlineLevel="2" x14ac:dyDescent="0.25">
      <c r="A58" s="29"/>
      <c r="B58" s="11" t="str">
        <f>CONCATENATE("          ", "6118", " - ", "VACATION")</f>
        <v xml:space="preserve">          6118 - VACATION</v>
      </c>
      <c r="C58" s="11"/>
      <c r="D58" s="7"/>
      <c r="E58" s="2"/>
      <c r="F58" s="6">
        <f t="shared" si="14"/>
        <v>0</v>
      </c>
      <c r="G58" s="2"/>
      <c r="H58" s="7">
        <v>151.31</v>
      </c>
      <c r="I58" s="2"/>
      <c r="J58" s="6">
        <f t="shared" si="15"/>
        <v>1.889655177581504E-3</v>
      </c>
      <c r="K58" s="2"/>
      <c r="L58" s="7">
        <f t="shared" si="16"/>
        <v>-151.31</v>
      </c>
      <c r="M58" s="2"/>
      <c r="N58" s="6">
        <f t="shared" si="17"/>
        <v>-1</v>
      </c>
      <c r="O58" s="11"/>
      <c r="P58" s="7"/>
      <c r="Q58" s="2"/>
      <c r="R58" s="6">
        <f t="shared" si="18"/>
        <v>0</v>
      </c>
      <c r="S58" s="2"/>
      <c r="T58" s="7">
        <v>464.63</v>
      </c>
      <c r="U58" s="2"/>
      <c r="V58" s="6">
        <f t="shared" si="19"/>
        <v>4.8190319349673922E-3</v>
      </c>
      <c r="W58" s="2"/>
      <c r="X58" s="7">
        <f t="shared" si="20"/>
        <v>-464.63</v>
      </c>
      <c r="Y58" s="2"/>
      <c r="Z58" s="6">
        <f t="shared" si="21"/>
        <v>-1</v>
      </c>
    </row>
    <row r="59" spans="1:26" s="24" customFormat="1" hidden="1" outlineLevel="2" x14ac:dyDescent="0.25">
      <c r="A59" s="29"/>
      <c r="B59" s="11" t="str">
        <f>CONCATENATE("          ", "6119", " - ", "SICK LEAVE")</f>
        <v xml:space="preserve">          6119 - SICK LEAVE</v>
      </c>
      <c r="C59" s="11"/>
      <c r="D59" s="7"/>
      <c r="E59" s="2"/>
      <c r="F59" s="6">
        <f t="shared" si="14"/>
        <v>0</v>
      </c>
      <c r="G59" s="2"/>
      <c r="H59" s="7">
        <v>121.11</v>
      </c>
      <c r="I59" s="2"/>
      <c r="J59" s="6">
        <f t="shared" si="15"/>
        <v>1.5124984373596983E-3</v>
      </c>
      <c r="K59" s="2"/>
      <c r="L59" s="7">
        <f t="shared" si="16"/>
        <v>-121.11</v>
      </c>
      <c r="M59" s="2"/>
      <c r="N59" s="6">
        <f t="shared" si="17"/>
        <v>-1</v>
      </c>
      <c r="O59" s="11"/>
      <c r="P59" s="7"/>
      <c r="Q59" s="2"/>
      <c r="R59" s="6">
        <f t="shared" si="18"/>
        <v>0</v>
      </c>
      <c r="S59" s="2"/>
      <c r="T59" s="7">
        <v>449.73</v>
      </c>
      <c r="U59" s="2"/>
      <c r="V59" s="6">
        <f t="shared" si="19"/>
        <v>4.6644926761356034E-3</v>
      </c>
      <c r="W59" s="2"/>
      <c r="X59" s="7">
        <f t="shared" si="20"/>
        <v>-449.73</v>
      </c>
      <c r="Y59" s="2"/>
      <c r="Z59" s="6">
        <f t="shared" si="21"/>
        <v>-1</v>
      </c>
    </row>
    <row r="60" spans="1:26" s="28" customFormat="1" outlineLevel="1" collapsed="1" x14ac:dyDescent="0.25">
      <c r="A60" s="27"/>
      <c r="B60" s="14" t="str">
        <f>CONCATENATE("     ","*Payroll                                          ")</f>
        <v xml:space="preserve">     *Payroll                                          </v>
      </c>
      <c r="C60" s="14"/>
      <c r="D60" s="1">
        <f>SUM(OSRRefD22_1x_0)</f>
        <v>0</v>
      </c>
      <c r="E60" s="1"/>
      <c r="F60" s="5">
        <f t="shared" ref="F60:F62" si="22">IF(D$12=0,0,D60/D$12)</f>
        <v>0</v>
      </c>
      <c r="G60" s="1"/>
      <c r="H60" s="1">
        <f>SUM(OSRRefH22_1x_0)</f>
        <v>7186.8899999999994</v>
      </c>
      <c r="I60" s="1"/>
      <c r="J60" s="5">
        <f t="shared" ref="J60:J62" si="23">IF(H$12=0,0,H60/H$12)</f>
        <v>8.9754437242804408E-2</v>
      </c>
      <c r="K60" s="1"/>
      <c r="L60" s="1">
        <f t="shared" ref="L60:L62" si="24">+D60-H60</f>
        <v>-7186.8899999999994</v>
      </c>
      <c r="M60" s="1"/>
      <c r="N60" s="5">
        <f t="shared" ref="N60:N62" si="25">IF(H60=0,0,L60/H60)</f>
        <v>-1</v>
      </c>
      <c r="O60" s="14"/>
      <c r="P60" s="1">
        <f>SUM(OSRRefP22_1x_0)</f>
        <v>0</v>
      </c>
      <c r="Q60" s="1"/>
      <c r="R60" s="5">
        <f t="shared" ref="R60:R62" si="26">IF(P$12=0,0,P60/P$12)</f>
        <v>0</v>
      </c>
      <c r="S60" s="1"/>
      <c r="T60" s="1">
        <f>SUM(OSRRefT22_1x_0)</f>
        <v>14692.68</v>
      </c>
      <c r="U60" s="1"/>
      <c r="V60" s="5">
        <f t="shared" ref="V60:V62" si="27">IF(T$12=0,0,T60/T$12)</f>
        <v>0.15238898506393625</v>
      </c>
      <c r="W60" s="1"/>
      <c r="X60" s="1">
        <f t="shared" ref="X60:X62" si="28">+P60-T60</f>
        <v>-14692.68</v>
      </c>
      <c r="Y60" s="1"/>
      <c r="Z60" s="5">
        <f t="shared" ref="Z60:Z62" si="29">IF(T60=0,0,X60/T60)</f>
        <v>-1</v>
      </c>
    </row>
    <row r="61" spans="1:26" s="24" customFormat="1" hidden="1" outlineLevel="2" x14ac:dyDescent="0.25">
      <c r="A61" s="29"/>
      <c r="B61" s="11" t="str">
        <f>CONCATENATE("          ", "6002", " - ", "STAFF SALARIES")</f>
        <v xml:space="preserve">          6002 - STAFF SALARIES</v>
      </c>
      <c r="C61" s="11"/>
      <c r="D61" s="7"/>
      <c r="E61" s="2"/>
      <c r="F61" s="6">
        <f t="shared" si="22"/>
        <v>0</v>
      </c>
      <c r="G61" s="2"/>
      <c r="H61" s="7">
        <v>2626.7</v>
      </c>
      <c r="I61" s="2"/>
      <c r="J61" s="6">
        <f t="shared" si="23"/>
        <v>3.2803894355649572E-2</v>
      </c>
      <c r="K61" s="2"/>
      <c r="L61" s="7">
        <f t="shared" si="24"/>
        <v>-2626.7</v>
      </c>
      <c r="M61" s="2"/>
      <c r="N61" s="6">
        <f t="shared" si="25"/>
        <v>-1</v>
      </c>
      <c r="O61" s="11"/>
      <c r="P61" s="7"/>
      <c r="Q61" s="2"/>
      <c r="R61" s="6">
        <f t="shared" si="26"/>
        <v>0</v>
      </c>
      <c r="S61" s="2"/>
      <c r="T61" s="7">
        <v>5777.11</v>
      </c>
      <c r="U61" s="2"/>
      <c r="V61" s="6">
        <f t="shared" si="27"/>
        <v>5.9918811918772935E-2</v>
      </c>
      <c r="W61" s="2"/>
      <c r="X61" s="7">
        <f t="shared" si="28"/>
        <v>-5777.11</v>
      </c>
      <c r="Y61" s="2"/>
      <c r="Z61" s="6">
        <f t="shared" si="29"/>
        <v>-1</v>
      </c>
    </row>
    <row r="62" spans="1:26" s="24" customFormat="1" hidden="1" outlineLevel="2" x14ac:dyDescent="0.25">
      <c r="A62" s="29"/>
      <c r="B62" s="11" t="str">
        <f>CONCATENATE("          ", "6007", " - ", "STUDENT HOURLY")</f>
        <v xml:space="preserve">          6007 - STUDENT HOURLY</v>
      </c>
      <c r="C62" s="11"/>
      <c r="D62" s="7"/>
      <c r="E62" s="2"/>
      <c r="F62" s="6">
        <f t="shared" si="22"/>
        <v>0</v>
      </c>
      <c r="G62" s="2"/>
      <c r="H62" s="7">
        <v>4560.1899999999996</v>
      </c>
      <c r="I62" s="2"/>
      <c r="J62" s="6">
        <f t="shared" si="23"/>
        <v>5.6950542887154836E-2</v>
      </c>
      <c r="K62" s="2"/>
      <c r="L62" s="7">
        <f t="shared" si="24"/>
        <v>-4560.1899999999996</v>
      </c>
      <c r="M62" s="2"/>
      <c r="N62" s="6">
        <f t="shared" si="25"/>
        <v>-1</v>
      </c>
      <c r="O62" s="11"/>
      <c r="P62" s="7"/>
      <c r="Q62" s="2"/>
      <c r="R62" s="6">
        <f t="shared" si="26"/>
        <v>0</v>
      </c>
      <c r="S62" s="2"/>
      <c r="T62" s="7">
        <v>8915.57</v>
      </c>
      <c r="U62" s="2"/>
      <c r="V62" s="6">
        <f t="shared" si="27"/>
        <v>9.2470173145163315E-2</v>
      </c>
      <c r="W62" s="2"/>
      <c r="X62" s="7">
        <f t="shared" si="28"/>
        <v>-8915.57</v>
      </c>
      <c r="Y62" s="2"/>
      <c r="Z62" s="6">
        <f t="shared" si="29"/>
        <v>-1</v>
      </c>
    </row>
    <row r="63" spans="1:26" s="28" customFormat="1" outlineLevel="1" collapsed="1" x14ac:dyDescent="0.25">
      <c r="A63" s="27"/>
      <c r="B63" s="14" t="str">
        <f>CONCATENATE("     ","Discounts and Markdowns                           ")</f>
        <v xml:space="preserve">     Discounts and Markdowns                           </v>
      </c>
      <c r="C63" s="14"/>
      <c r="D63" s="1">
        <f>SUM(OSRRefD22_2x_0)</f>
        <v>0</v>
      </c>
      <c r="E63" s="1"/>
      <c r="F63" s="5">
        <f t="shared" ref="F63:F65" si="30">IF(D$12=0,0,D63/D$12)</f>
        <v>0</v>
      </c>
      <c r="G63" s="1"/>
      <c r="H63" s="1">
        <f>SUM(OSRRefH22_2x_0)</f>
        <v>905.36</v>
      </c>
      <c r="I63" s="1"/>
      <c r="J63" s="5">
        <f t="shared" ref="J63:J65" si="31">IF(H$12=0,0,H63/H$12)</f>
        <v>1.1306709481033577E-2</v>
      </c>
      <c r="K63" s="1"/>
      <c r="L63" s="1">
        <f t="shared" ref="L63:L65" si="32">+D63-H63</f>
        <v>-905.36</v>
      </c>
      <c r="M63" s="1"/>
      <c r="N63" s="5">
        <f t="shared" ref="N63:N65" si="33">IF(H63=0,0,L63/H63)</f>
        <v>-1</v>
      </c>
      <c r="O63" s="14"/>
      <c r="P63" s="1">
        <f>SUM(OSRRefP22_2x_0)</f>
        <v>0</v>
      </c>
      <c r="Q63" s="1"/>
      <c r="R63" s="5">
        <f t="shared" ref="R63:R65" si="34">IF(P$12=0,0,P63/P$12)</f>
        <v>0</v>
      </c>
      <c r="S63" s="1"/>
      <c r="T63" s="1">
        <f>SUM(OSRRefT22_2x_0)</f>
        <v>3060.47</v>
      </c>
      <c r="U63" s="1"/>
      <c r="V63" s="5">
        <f t="shared" ref="V63:V65" si="35">IF(T$12=0,0,T63/T$12)</f>
        <v>3.1742467481672844E-2</v>
      </c>
      <c r="W63" s="1"/>
      <c r="X63" s="1">
        <f t="shared" ref="X63:X65" si="36">+P63-T63</f>
        <v>-3060.47</v>
      </c>
      <c r="Y63" s="1"/>
      <c r="Z63" s="5">
        <f t="shared" ref="Z63:Z65" si="37">IF(T63=0,0,X63/T63)</f>
        <v>-1</v>
      </c>
    </row>
    <row r="64" spans="1:26" s="24" customFormat="1" hidden="1" outlineLevel="2" x14ac:dyDescent="0.25">
      <c r="A64" s="29"/>
      <c r="B64" s="11" t="str">
        <f>CONCATENATE("          ", "6382", " - ", "DISCOUNTS/MARK DOWNS")</f>
        <v xml:space="preserve">          6382 - DISCOUNTS/MARK DOWNS</v>
      </c>
      <c r="C64" s="11"/>
      <c r="D64" s="7"/>
      <c r="E64" s="2"/>
      <c r="F64" s="6">
        <f t="shared" si="30"/>
        <v>0</v>
      </c>
      <c r="G64" s="2"/>
      <c r="H64" s="7">
        <v>960.16</v>
      </c>
      <c r="I64" s="2"/>
      <c r="J64" s="6">
        <f t="shared" si="31"/>
        <v>1.1991086612296985E-2</v>
      </c>
      <c r="K64" s="2"/>
      <c r="L64" s="7">
        <f t="shared" si="32"/>
        <v>-960.16</v>
      </c>
      <c r="M64" s="2"/>
      <c r="N64" s="6">
        <f t="shared" si="33"/>
        <v>-1</v>
      </c>
      <c r="O64" s="11"/>
      <c r="P64" s="7"/>
      <c r="Q64" s="2"/>
      <c r="R64" s="6">
        <f t="shared" si="34"/>
        <v>0</v>
      </c>
      <c r="S64" s="2"/>
      <c r="T64" s="7">
        <v>3115.27</v>
      </c>
      <c r="U64" s="2"/>
      <c r="V64" s="6">
        <f t="shared" si="35"/>
        <v>3.2310840057779025E-2</v>
      </c>
      <c r="W64" s="2"/>
      <c r="X64" s="7">
        <f t="shared" si="36"/>
        <v>-3115.27</v>
      </c>
      <c r="Y64" s="2"/>
      <c r="Z64" s="6">
        <f t="shared" si="37"/>
        <v>-1</v>
      </c>
    </row>
    <row r="65" spans="1:26" s="24" customFormat="1" hidden="1" outlineLevel="2" x14ac:dyDescent="0.25">
      <c r="A65" s="29"/>
      <c r="B65" s="11" t="str">
        <f>CONCATENATE("          ", "9175", " - ", "EARNED DISCOUNTS")</f>
        <v xml:space="preserve">          9175 - EARNED DISCOUNTS</v>
      </c>
      <c r="C65" s="11"/>
      <c r="D65" s="7"/>
      <c r="E65" s="2"/>
      <c r="F65" s="6">
        <f t="shared" si="30"/>
        <v>0</v>
      </c>
      <c r="G65" s="2"/>
      <c r="H65" s="7">
        <v>-54.8</v>
      </c>
      <c r="I65" s="2"/>
      <c r="J65" s="6">
        <f t="shared" si="31"/>
        <v>-6.8437713126340901E-4</v>
      </c>
      <c r="K65" s="2"/>
      <c r="L65" s="7">
        <f t="shared" si="32"/>
        <v>54.8</v>
      </c>
      <c r="M65" s="2"/>
      <c r="N65" s="6">
        <f t="shared" si="33"/>
        <v>-1</v>
      </c>
      <c r="O65" s="11"/>
      <c r="P65" s="7"/>
      <c r="Q65" s="2"/>
      <c r="R65" s="6">
        <f t="shared" si="34"/>
        <v>0</v>
      </c>
      <c r="S65" s="2"/>
      <c r="T65" s="7">
        <v>-54.8</v>
      </c>
      <c r="U65" s="2"/>
      <c r="V65" s="6">
        <f t="shared" si="35"/>
        <v>-5.6837257610617713E-4</v>
      </c>
      <c r="W65" s="2"/>
      <c r="X65" s="7">
        <f t="shared" si="36"/>
        <v>54.8</v>
      </c>
      <c r="Y65" s="2"/>
      <c r="Z65" s="6">
        <f t="shared" si="37"/>
        <v>-1</v>
      </c>
    </row>
    <row r="66" spans="1:26" s="28" customFormat="1" outlineLevel="1" collapsed="1" x14ac:dyDescent="0.25">
      <c r="A66" s="27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1">
        <f>SUM(OSRRefD22_3x_0)</f>
        <v>0</v>
      </c>
      <c r="E66" s="1"/>
      <c r="F66" s="5">
        <f t="shared" ref="F66:F69" si="38">IF(D$12=0,0,D66/D$12)</f>
        <v>0</v>
      </c>
      <c r="G66" s="1"/>
      <c r="H66" s="1">
        <f>SUM(OSRRefH22_3x_0)</f>
        <v>120</v>
      </c>
      <c r="I66" s="1"/>
      <c r="J66" s="5">
        <f t="shared" ref="J66:J69" si="39">IF(H$12=0,0,H66/H$12)</f>
        <v>1.4986360538614795E-3</v>
      </c>
      <c r="K66" s="1"/>
      <c r="L66" s="1">
        <f t="shared" ref="L66:L69" si="40">+D66-H66</f>
        <v>-120</v>
      </c>
      <c r="M66" s="1"/>
      <c r="N66" s="5">
        <f t="shared" ref="N66:N69" si="41">IF(H66=0,0,L66/H66)</f>
        <v>-1</v>
      </c>
      <c r="O66" s="14"/>
      <c r="P66" s="1">
        <f>SUM(OSRRefP22_3x_0)</f>
        <v>0</v>
      </c>
      <c r="Q66" s="1"/>
      <c r="R66" s="5">
        <f t="shared" ref="R66:R69" si="42">IF(P$12=0,0,P66/P$12)</f>
        <v>0</v>
      </c>
      <c r="S66" s="1"/>
      <c r="T66" s="1">
        <f>SUM(OSRRefT22_3x_0)</f>
        <v>120</v>
      </c>
      <c r="U66" s="1"/>
      <c r="V66" s="5">
        <f t="shared" ref="V66:V69" si="43">IF(T$12=0,0,T66/T$12)</f>
        <v>1.2446114805244755E-3</v>
      </c>
      <c r="W66" s="1"/>
      <c r="X66" s="1">
        <f t="shared" ref="X66:X69" si="44">+P66-T66</f>
        <v>-120</v>
      </c>
      <c r="Y66" s="1"/>
      <c r="Z66" s="5">
        <f t="shared" ref="Z66:Z69" si="45">IF(T66=0,0,X66/T66)</f>
        <v>-1</v>
      </c>
    </row>
    <row r="67" spans="1:26" s="24" customFormat="1" hidden="1" outlineLevel="2" x14ac:dyDescent="0.25">
      <c r="A67" s="29"/>
      <c r="B67" s="11" t="str">
        <f>CONCATENATE("          ", "6258", " - ", "MEMBERSHIP DUES")</f>
        <v xml:space="preserve">          6258 - MEMBERSHIP DUES</v>
      </c>
      <c r="C67" s="11"/>
      <c r="D67" s="7"/>
      <c r="E67" s="2"/>
      <c r="F67" s="6">
        <f t="shared" si="38"/>
        <v>0</v>
      </c>
      <c r="G67" s="2"/>
      <c r="H67" s="7">
        <v>120</v>
      </c>
      <c r="I67" s="2"/>
      <c r="J67" s="6">
        <f t="shared" si="39"/>
        <v>1.4986360538614795E-3</v>
      </c>
      <c r="K67" s="2"/>
      <c r="L67" s="7">
        <f t="shared" si="40"/>
        <v>-120</v>
      </c>
      <c r="M67" s="2"/>
      <c r="N67" s="6">
        <f t="shared" si="41"/>
        <v>-1</v>
      </c>
      <c r="O67" s="11"/>
      <c r="P67" s="7"/>
      <c r="Q67" s="2"/>
      <c r="R67" s="6">
        <f t="shared" si="42"/>
        <v>0</v>
      </c>
      <c r="S67" s="2"/>
      <c r="T67" s="7">
        <v>120</v>
      </c>
      <c r="U67" s="2"/>
      <c r="V67" s="6">
        <f t="shared" si="43"/>
        <v>1.2446114805244755E-3</v>
      </c>
      <c r="W67" s="2"/>
      <c r="X67" s="7">
        <f t="shared" si="44"/>
        <v>-120</v>
      </c>
      <c r="Y67" s="2"/>
      <c r="Z67" s="6">
        <f t="shared" si="45"/>
        <v>-1</v>
      </c>
    </row>
    <row r="68" spans="1:26" s="28" customFormat="1" outlineLevel="1" collapsed="1" x14ac:dyDescent="0.25">
      <c r="A68" s="27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SUM(OSRRefD22_4x_0)</f>
        <v>0</v>
      </c>
      <c r="E68" s="1"/>
      <c r="F68" s="5">
        <f t="shared" si="38"/>
        <v>0</v>
      </c>
      <c r="G68" s="1"/>
      <c r="H68" s="1">
        <f>SUM(OSRRefH22_4x_0)</f>
        <v>41.87</v>
      </c>
      <c r="I68" s="1"/>
      <c r="J68" s="5">
        <f t="shared" si="39"/>
        <v>5.2289909645983454E-4</v>
      </c>
      <c r="K68" s="1"/>
      <c r="L68" s="1">
        <f t="shared" si="40"/>
        <v>-41.87</v>
      </c>
      <c r="M68" s="1"/>
      <c r="N68" s="5">
        <f t="shared" si="41"/>
        <v>-1</v>
      </c>
      <c r="O68" s="14"/>
      <c r="P68" s="1">
        <f>SUM(OSRRefP22_4x_0)</f>
        <v>0</v>
      </c>
      <c r="Q68" s="1"/>
      <c r="R68" s="5">
        <f t="shared" si="42"/>
        <v>0</v>
      </c>
      <c r="S68" s="1"/>
      <c r="T68" s="1">
        <f>SUM(OSRRefT22_4x_0)</f>
        <v>198.33</v>
      </c>
      <c r="U68" s="1"/>
      <c r="V68" s="5">
        <f t="shared" si="43"/>
        <v>2.0570316244368269E-3</v>
      </c>
      <c r="W68" s="1"/>
      <c r="X68" s="1">
        <f t="shared" si="44"/>
        <v>-198.33</v>
      </c>
      <c r="Y68" s="1"/>
      <c r="Z68" s="5">
        <f t="shared" si="45"/>
        <v>-1</v>
      </c>
    </row>
    <row r="69" spans="1:26" s="24" customFormat="1" hidden="1" outlineLevel="2" x14ac:dyDescent="0.25">
      <c r="A69" s="29"/>
      <c r="B69" s="11" t="str">
        <f>CONCATENATE("          ", "6241", " - ", "OFFICE EXPENSE")</f>
        <v xml:space="preserve">          6241 - OFFICE EXPENSE</v>
      </c>
      <c r="C69" s="11"/>
      <c r="D69" s="7"/>
      <c r="E69" s="2"/>
      <c r="F69" s="6">
        <f t="shared" si="38"/>
        <v>0</v>
      </c>
      <c r="G69" s="2"/>
      <c r="H69" s="7">
        <v>41.87</v>
      </c>
      <c r="I69" s="2"/>
      <c r="J69" s="6">
        <f t="shared" si="39"/>
        <v>5.2289909645983454E-4</v>
      </c>
      <c r="K69" s="2"/>
      <c r="L69" s="7">
        <f t="shared" si="40"/>
        <v>-41.87</v>
      </c>
      <c r="M69" s="2"/>
      <c r="N69" s="6">
        <f t="shared" si="41"/>
        <v>-1</v>
      </c>
      <c r="O69" s="11"/>
      <c r="P69" s="7"/>
      <c r="Q69" s="2"/>
      <c r="R69" s="6">
        <f t="shared" si="42"/>
        <v>0</v>
      </c>
      <c r="S69" s="2"/>
      <c r="T69" s="7">
        <v>198.33</v>
      </c>
      <c r="U69" s="2"/>
      <c r="V69" s="6">
        <f t="shared" si="43"/>
        <v>2.0570316244368269E-3</v>
      </c>
      <c r="W69" s="2"/>
      <c r="X69" s="7">
        <f t="shared" si="44"/>
        <v>-198.33</v>
      </c>
      <c r="Y69" s="2"/>
      <c r="Z69" s="6">
        <f t="shared" si="45"/>
        <v>-1</v>
      </c>
    </row>
    <row r="70" spans="1:26" s="52" customFormat="1" x14ac:dyDescent="0.25">
      <c r="A70" s="37"/>
      <c r="B70" s="37"/>
      <c r="C70" s="37"/>
      <c r="D70" s="1"/>
      <c r="E70" s="1"/>
      <c r="F70" s="5"/>
      <c r="G70" s="1"/>
      <c r="H70" s="1"/>
      <c r="I70" s="1"/>
      <c r="J70" s="5"/>
      <c r="K70" s="1"/>
      <c r="L70" s="1"/>
      <c r="M70" s="1"/>
      <c r="N70" s="5"/>
      <c r="O70" s="37"/>
      <c r="P70" s="1"/>
      <c r="Q70" s="1"/>
      <c r="R70" s="5"/>
      <c r="S70" s="1"/>
      <c r="T70" s="1"/>
      <c r="U70" s="1"/>
      <c r="V70" s="5"/>
      <c r="W70" s="1"/>
      <c r="X70" s="1"/>
      <c r="Y70" s="1"/>
      <c r="Z70" s="5"/>
    </row>
    <row r="71" spans="1:26" s="23" customFormat="1" x14ac:dyDescent="0.25">
      <c r="A71" s="10"/>
      <c r="B71" s="25" t="s">
        <v>0</v>
      </c>
      <c r="C71" s="10"/>
      <c r="D71" s="4">
        <f>SUM(0)</f>
        <v>0</v>
      </c>
      <c r="E71" s="4"/>
      <c r="F71" s="12">
        <f>IF(D$12=0,0,D71/D$12)</f>
        <v>0</v>
      </c>
      <c r="G71" s="4"/>
      <c r="H71" s="4">
        <f>SUM(0)</f>
        <v>0</v>
      </c>
      <c r="I71" s="4"/>
      <c r="J71" s="12">
        <f>IF(H$12=0,0,H71/H$12)</f>
        <v>0</v>
      </c>
      <c r="K71" s="4"/>
      <c r="L71" s="4">
        <f>+D71-H71</f>
        <v>0</v>
      </c>
      <c r="M71" s="4"/>
      <c r="N71" s="12">
        <f>IF(H71=0,0,L71/H71)</f>
        <v>0</v>
      </c>
      <c r="O71" s="10"/>
      <c r="P71" s="4">
        <f>SUM(0)</f>
        <v>0</v>
      </c>
      <c r="Q71" s="4"/>
      <c r="R71" s="12">
        <f>IF(P$12=0,0,P71/P$12)</f>
        <v>0</v>
      </c>
      <c r="S71" s="4"/>
      <c r="T71" s="4">
        <f>SUM(0)</f>
        <v>0</v>
      </c>
      <c r="U71" s="4"/>
      <c r="V71" s="12">
        <f>IF(T$12=0,0,T71/T$12)</f>
        <v>0</v>
      </c>
      <c r="W71" s="4"/>
      <c r="X71" s="4">
        <f>+P71-T71</f>
        <v>0</v>
      </c>
      <c r="Y71" s="4"/>
      <c r="Z71" s="12">
        <f>IF(T71=0,0,X71/T71)</f>
        <v>0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10"/>
      <c r="B73" s="26" t="s">
        <v>3</v>
      </c>
      <c r="C73" s="26"/>
      <c r="D73" s="22">
        <f>+D49-D51+D71</f>
        <v>0</v>
      </c>
      <c r="E73" s="13"/>
      <c r="F73" s="21">
        <f>IF(D$12=0,0,D73/D$12)</f>
        <v>0</v>
      </c>
      <c r="G73" s="13"/>
      <c r="H73" s="22">
        <f>+H49-H51+H71</f>
        <v>35300.179999999986</v>
      </c>
      <c r="I73" s="13"/>
      <c r="J73" s="21">
        <f>IF(H$12=0,0,H73/H$12)</f>
        <v>0.44085102046499919</v>
      </c>
      <c r="K73" s="16"/>
      <c r="L73" s="22">
        <f>+D73-H73</f>
        <v>-35300.179999999986</v>
      </c>
      <c r="M73" s="16"/>
      <c r="N73" s="21">
        <f>IF(H73=0,0,L73/H73)</f>
        <v>-1</v>
      </c>
      <c r="O73" s="25"/>
      <c r="P73" s="22">
        <f>+P49-P51+P71</f>
        <v>0</v>
      </c>
      <c r="Q73" s="13"/>
      <c r="R73" s="21">
        <f>IF(P$12=0,0,P73/P$12)</f>
        <v>0</v>
      </c>
      <c r="S73" s="13"/>
      <c r="T73" s="22">
        <f>+T49-T51+T71</f>
        <v>31318.65999999996</v>
      </c>
      <c r="U73" s="13"/>
      <c r="V73" s="21">
        <f>IF(T$12=0,0,T73/T$12)</f>
        <v>0.32482969825535513</v>
      </c>
      <c r="W73" s="16"/>
      <c r="X73" s="22">
        <f>+P73-T73</f>
        <v>-31318.65999999996</v>
      </c>
      <c r="Y73" s="16"/>
      <c r="Z73" s="21">
        <f>IF(T73=0,0,X73/T73)</f>
        <v>-1</v>
      </c>
    </row>
    <row r="74" spans="1:26" x14ac:dyDescent="0.25">
      <c r="A74" s="9"/>
      <c r="B74" s="10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x14ac:dyDescent="0.25">
      <c r="A75" s="51"/>
      <c r="B75" s="10" t="s">
        <v>13</v>
      </c>
      <c r="C75" s="10"/>
      <c r="D75" s="4"/>
      <c r="E75" s="4"/>
      <c r="F75" s="12">
        <f>IF(D$12=0,0,D75/D$12)</f>
        <v>0</v>
      </c>
      <c r="G75" s="4"/>
      <c r="H75" s="4">
        <v>8623.1200000000008</v>
      </c>
      <c r="I75" s="4"/>
      <c r="J75" s="12">
        <f>IF(H$12=0,0,H75/H$12)</f>
        <v>0.10769098773978336</v>
      </c>
      <c r="K75" s="4"/>
      <c r="L75" s="4">
        <f>+D75-H75</f>
        <v>-8623.1200000000008</v>
      </c>
      <c r="M75" s="4"/>
      <c r="N75" s="12">
        <f>IF(H75=0,0,L75/H75)</f>
        <v>-1</v>
      </c>
      <c r="O75" s="10"/>
      <c r="P75" s="4"/>
      <c r="Q75" s="4"/>
      <c r="R75" s="12">
        <f>IF(P$12=0,0,P75/P$12)</f>
        <v>0</v>
      </c>
      <c r="S75" s="4"/>
      <c r="T75" s="4">
        <v>12021.27</v>
      </c>
      <c r="U75" s="4"/>
      <c r="V75" s="12">
        <f>IF(T$12=0,0,T75/T$12)</f>
        <v>0.12468175543737051</v>
      </c>
      <c r="W75" s="4"/>
      <c r="X75" s="4">
        <f>+P75-T75</f>
        <v>-12021.27</v>
      </c>
      <c r="Y75" s="4"/>
      <c r="Z75" s="12">
        <f>IF(T75=0,0,X75/T75)</f>
        <v>-1</v>
      </c>
    </row>
    <row r="76" spans="1:26" x14ac:dyDescent="0.25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4</v>
      </c>
      <c r="C77" s="26"/>
      <c r="D77" s="36">
        <f>+D73-D75</f>
        <v>0</v>
      </c>
      <c r="E77" s="13"/>
      <c r="F77" s="34">
        <f>IF(D$12=0,0,D77/D$12)</f>
        <v>0</v>
      </c>
      <c r="G77" s="13"/>
      <c r="H77" s="36">
        <f>+H73-H75</f>
        <v>26677.059999999983</v>
      </c>
      <c r="I77" s="13"/>
      <c r="J77" s="34">
        <f>IF(H$12=0,0,H77/H$12)</f>
        <v>0.33316003272521583</v>
      </c>
      <c r="K77" s="16"/>
      <c r="L77" s="36">
        <f>D77-H77</f>
        <v>-26677.059999999983</v>
      </c>
      <c r="M77" s="16"/>
      <c r="N77" s="34">
        <f>IF(H77=0,0,L77/H77)</f>
        <v>-1</v>
      </c>
      <c r="O77" s="25"/>
      <c r="P77" s="36">
        <f>+P73-P75</f>
        <v>0</v>
      </c>
      <c r="Q77" s="13"/>
      <c r="R77" s="34">
        <f>IF(P$12=0,0,P77/P$12)</f>
        <v>0</v>
      </c>
      <c r="S77" s="13"/>
      <c r="T77" s="36">
        <f>+T73-T75</f>
        <v>19297.389999999959</v>
      </c>
      <c r="U77" s="13"/>
      <c r="V77" s="34">
        <f>IF(T$12=0,0,T77/T$12)</f>
        <v>0.20014794281798465</v>
      </c>
      <c r="W77" s="16"/>
      <c r="X77" s="36">
        <f>P77-T77</f>
        <v>-19297.389999999959</v>
      </c>
      <c r="Y77" s="16"/>
      <c r="Z77" s="34">
        <f>IF(T77=0,0,X77/T77)</f>
        <v>-1</v>
      </c>
    </row>
    <row r="78" spans="1:26" ht="15.75" thickTop="1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x14ac:dyDescent="0.25">
      <c r="A79" s="9"/>
      <c r="B79" s="9"/>
      <c r="C79" s="9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5</v>
      </c>
      <c r="C80" s="26"/>
      <c r="D80" s="30">
        <f>SUM(D77:D79)</f>
        <v>0</v>
      </c>
      <c r="E80" s="13"/>
      <c r="F80" s="31">
        <f>IF(D$12=0,0,D80/D$12)</f>
        <v>0</v>
      </c>
      <c r="G80" s="13"/>
      <c r="H80" s="30">
        <f>SUM(H77:H79)</f>
        <v>26677.059999999983</v>
      </c>
      <c r="I80" s="13"/>
      <c r="J80" s="31">
        <f>IF(H$12=0,0,H80/H$12)</f>
        <v>0.33316003272521583</v>
      </c>
      <c r="K80" s="16"/>
      <c r="L80" s="30">
        <f>+D80-H80</f>
        <v>-26677.059999999983</v>
      </c>
      <c r="M80" s="16"/>
      <c r="N80" s="31">
        <f>IF(H80=0,0,L80/H80)</f>
        <v>-1</v>
      </c>
      <c r="O80" s="25"/>
      <c r="P80" s="30">
        <f>SUM(P77:P79)</f>
        <v>0</v>
      </c>
      <c r="Q80" s="13"/>
      <c r="R80" s="31">
        <f>IF(P$12=0,0,P80/P$12)</f>
        <v>0</v>
      </c>
      <c r="S80" s="13"/>
      <c r="T80" s="30">
        <f>SUM(T77:T79)</f>
        <v>19297.389999999959</v>
      </c>
      <c r="U80" s="13"/>
      <c r="V80" s="31">
        <f>IF(T$12=0,0,T80/T$12)</f>
        <v>0.20014794281798465</v>
      </c>
      <c r="W80" s="16"/>
      <c r="X80" s="30">
        <f>+P80-T80</f>
        <v>-19297.389999999959</v>
      </c>
      <c r="Y80" s="16"/>
      <c r="Z80" s="31">
        <f>IF(T80=0,0,X80/T80)</f>
        <v>-1</v>
      </c>
    </row>
    <row r="81" spans="1:24" ht="15.75" thickTop="1" x14ac:dyDescent="0.25">
      <c r="A81" s="9"/>
      <c r="C81" s="9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61">
        <v>44113.696270601853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6" t="s">
        <v>313</v>
      </c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A84" s="9"/>
      <c r="B84" s="58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4" x14ac:dyDescent="0.25"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301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1226108.5600000003</v>
      </c>
      <c r="E12" s="4"/>
      <c r="F12" s="12"/>
      <c r="G12" s="4"/>
      <c r="H12" s="4">
        <f>SUM(OSRRefH13x_0)</f>
        <v>2149682.370000001</v>
      </c>
      <c r="I12" s="4"/>
      <c r="J12" s="12"/>
      <c r="K12" s="4"/>
      <c r="L12" s="4">
        <f t="shared" ref="L12:L36" si="0">+D12-H12</f>
        <v>-923573.81000000075</v>
      </c>
      <c r="M12" s="4"/>
      <c r="N12" s="12">
        <f t="shared" ref="N12:N36" si="1">IF(H12=0,0,L12/H12)</f>
        <v>-0.42963268568835139</v>
      </c>
      <c r="O12" s="10"/>
      <c r="P12" s="4">
        <f>SUM(OSRRefP13x_0)</f>
        <v>1274147.1199999999</v>
      </c>
      <c r="Q12" s="4"/>
      <c r="R12" s="12"/>
      <c r="S12" s="4"/>
      <c r="T12" s="4">
        <f>SUM(OSRRefT13x_0)</f>
        <v>2241815.5700000003</v>
      </c>
      <c r="U12" s="4"/>
      <c r="V12" s="12"/>
      <c r="W12" s="4"/>
      <c r="X12" s="4">
        <f t="shared" ref="X12:X36" si="2">+P12-T12</f>
        <v>-967668.45000000042</v>
      </c>
      <c r="Y12" s="4"/>
      <c r="Z12" s="12">
        <f t="shared" ref="Z12:Z36" si="3">IF(T12=0,0,X12/T12)</f>
        <v>-0.43164498585403271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-3258.19</f>
        <v>-3258.19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-3258.19</v>
      </c>
      <c r="M13" s="2"/>
      <c r="N13" s="19">
        <f t="shared" si="1"/>
        <v>0</v>
      </c>
      <c r="O13" s="11"/>
      <c r="P13" s="2">
        <f>-4028.26</f>
        <v>-4028.26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-4028.26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--572249.47</f>
        <v>572249.47</v>
      </c>
      <c r="E14" s="2"/>
      <c r="F14" s="19"/>
      <c r="G14" s="2"/>
      <c r="H14" s="2">
        <f>--1090909.72</f>
        <v>1090909.72</v>
      </c>
      <c r="I14" s="2"/>
      <c r="J14" s="19"/>
      <c r="K14" s="2"/>
      <c r="L14" s="2">
        <f t="shared" si="0"/>
        <v>-518660.25</v>
      </c>
      <c r="M14" s="2"/>
      <c r="N14" s="19">
        <f t="shared" si="1"/>
        <v>-0.4754382883305871</v>
      </c>
      <c r="O14" s="11"/>
      <c r="P14" s="2">
        <f>--584197.32</f>
        <v>584197.31999999995</v>
      </c>
      <c r="Q14" s="2"/>
      <c r="R14" s="19"/>
      <c r="S14" s="2"/>
      <c r="T14" s="2">
        <f>--1127221.97</f>
        <v>1127221.97</v>
      </c>
      <c r="U14" s="2"/>
      <c r="V14" s="19"/>
      <c r="W14" s="2"/>
      <c r="X14" s="2">
        <f t="shared" si="2"/>
        <v>-543024.65</v>
      </c>
      <c r="Y14" s="2"/>
      <c r="Z14" s="19">
        <f t="shared" si="3"/>
        <v>-0.48173710631278777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--265582.82</f>
        <v>265582.82</v>
      </c>
      <c r="E15" s="2"/>
      <c r="F15" s="19"/>
      <c r="G15" s="2"/>
      <c r="H15" s="2">
        <f>--533666.11</f>
        <v>533666.11</v>
      </c>
      <c r="I15" s="2"/>
      <c r="J15" s="19"/>
      <c r="K15" s="2"/>
      <c r="L15" s="2">
        <f t="shared" si="0"/>
        <v>-268083.28999999998</v>
      </c>
      <c r="M15" s="2"/>
      <c r="N15" s="19">
        <f t="shared" si="1"/>
        <v>-0.50234272886468279</v>
      </c>
      <c r="O15" s="11"/>
      <c r="P15" s="2">
        <f>--278612.16</f>
        <v>278612.15999999997</v>
      </c>
      <c r="Q15" s="2"/>
      <c r="R15" s="19"/>
      <c r="S15" s="2"/>
      <c r="T15" s="2">
        <f>--555460.92</f>
        <v>555460.92000000004</v>
      </c>
      <c r="U15" s="2"/>
      <c r="V15" s="19"/>
      <c r="W15" s="2"/>
      <c r="X15" s="2">
        <f t="shared" si="2"/>
        <v>-276848.76000000007</v>
      </c>
      <c r="Y15" s="2"/>
      <c r="Z15" s="19">
        <f t="shared" si="3"/>
        <v>-0.49841266960779174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19"/>
      <c r="G16" s="2"/>
      <c r="H16" s="2">
        <f>--12302.07</f>
        <v>12302.07</v>
      </c>
      <c r="I16" s="2"/>
      <c r="J16" s="19"/>
      <c r="K16" s="2"/>
      <c r="L16" s="2">
        <f t="shared" si="0"/>
        <v>-3246.2299999999996</v>
      </c>
      <c r="M16" s="2"/>
      <c r="N16" s="19">
        <f t="shared" si="1"/>
        <v>-0.26387672968858084</v>
      </c>
      <c r="O16" s="11"/>
      <c r="P16" s="2">
        <f>--9055.84</f>
        <v>9055.84</v>
      </c>
      <c r="Q16" s="2"/>
      <c r="R16" s="19"/>
      <c r="S16" s="2"/>
      <c r="T16" s="2">
        <f>--12736.05</f>
        <v>12736.05</v>
      </c>
      <c r="U16" s="2"/>
      <c r="V16" s="19"/>
      <c r="W16" s="2"/>
      <c r="X16" s="2">
        <f t="shared" si="2"/>
        <v>-3680.2099999999991</v>
      </c>
      <c r="Y16" s="2"/>
      <c r="Z16" s="19">
        <f t="shared" si="3"/>
        <v>-0.28896007788914141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19"/>
      <c r="G17" s="2"/>
      <c r="H17" s="2">
        <f>--22276.72</f>
        <v>22276.720000000001</v>
      </c>
      <c r="I17" s="2"/>
      <c r="J17" s="19"/>
      <c r="K17" s="2"/>
      <c r="L17" s="2">
        <f t="shared" si="0"/>
        <v>-20455.830000000002</v>
      </c>
      <c r="M17" s="2"/>
      <c r="N17" s="19">
        <f t="shared" si="1"/>
        <v>-0.91826040817499166</v>
      </c>
      <c r="O17" s="11"/>
      <c r="P17" s="2">
        <f>--1820.89</f>
        <v>1820.89</v>
      </c>
      <c r="Q17" s="2"/>
      <c r="R17" s="19"/>
      <c r="S17" s="2"/>
      <c r="T17" s="2">
        <f>--22410.07</f>
        <v>22410.07</v>
      </c>
      <c r="U17" s="2"/>
      <c r="V17" s="19"/>
      <c r="W17" s="2"/>
      <c r="X17" s="2">
        <f t="shared" si="2"/>
        <v>-20589.18</v>
      </c>
      <c r="Y17" s="2"/>
      <c r="Z17" s="19">
        <f t="shared" si="3"/>
        <v>-0.9187467955254045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19"/>
      <c r="G18" s="2"/>
      <c r="H18" s="2">
        <f>--70.86</f>
        <v>70.86</v>
      </c>
      <c r="I18" s="2"/>
      <c r="J18" s="19"/>
      <c r="K18" s="2"/>
      <c r="L18" s="2">
        <f t="shared" si="0"/>
        <v>-30.96</v>
      </c>
      <c r="M18" s="2"/>
      <c r="N18" s="19">
        <f t="shared" si="1"/>
        <v>-0.436917866215072</v>
      </c>
      <c r="O18" s="11"/>
      <c r="P18" s="2">
        <f>--39.9</f>
        <v>39.9</v>
      </c>
      <c r="Q18" s="2"/>
      <c r="R18" s="19"/>
      <c r="S18" s="2"/>
      <c r="T18" s="2">
        <f>--110.81</f>
        <v>110.81</v>
      </c>
      <c r="U18" s="2"/>
      <c r="V18" s="19"/>
      <c r="W18" s="2"/>
      <c r="X18" s="2">
        <f t="shared" si="2"/>
        <v>-70.91</v>
      </c>
      <c r="Y18" s="2"/>
      <c r="Z18" s="19">
        <f t="shared" si="3"/>
        <v>-0.63992419456727723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19"/>
      <c r="G19" s="2"/>
      <c r="H19" s="2">
        <f>--175</f>
        <v>175</v>
      </c>
      <c r="I19" s="2"/>
      <c r="J19" s="19"/>
      <c r="K19" s="2"/>
      <c r="L19" s="2">
        <f t="shared" si="0"/>
        <v>9.0000000000003411E-2</v>
      </c>
      <c r="M19" s="2"/>
      <c r="N19" s="19">
        <f t="shared" si="1"/>
        <v>5.1428571428573382E-4</v>
      </c>
      <c r="O19" s="11"/>
      <c r="P19" s="2">
        <f>--206.93</f>
        <v>206.93</v>
      </c>
      <c r="Q19" s="2"/>
      <c r="R19" s="19"/>
      <c r="S19" s="2"/>
      <c r="T19" s="2">
        <f>--425.65</f>
        <v>425.65</v>
      </c>
      <c r="U19" s="2"/>
      <c r="V19" s="19"/>
      <c r="W19" s="2"/>
      <c r="X19" s="2">
        <f t="shared" si="2"/>
        <v>-218.71999999999997</v>
      </c>
      <c r="Y19" s="2"/>
      <c r="Z19" s="19">
        <f t="shared" si="3"/>
        <v>-0.51384940678961588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--118.03</f>
        <v>118.03</v>
      </c>
      <c r="E20" s="2"/>
      <c r="F20" s="19"/>
      <c r="G20" s="2"/>
      <c r="H20" s="2">
        <f>--1184.84</f>
        <v>1184.8399999999999</v>
      </c>
      <c r="I20" s="2"/>
      <c r="J20" s="19"/>
      <c r="K20" s="2"/>
      <c r="L20" s="2">
        <f t="shared" si="0"/>
        <v>-1066.81</v>
      </c>
      <c r="M20" s="2"/>
      <c r="N20" s="19">
        <f t="shared" si="1"/>
        <v>-0.90038317409945645</v>
      </c>
      <c r="O20" s="11"/>
      <c r="P20" s="2">
        <f>--135.02</f>
        <v>135.02000000000001</v>
      </c>
      <c r="Q20" s="2"/>
      <c r="R20" s="19"/>
      <c r="S20" s="2"/>
      <c r="T20" s="2">
        <f>--1364.13</f>
        <v>1364.13</v>
      </c>
      <c r="U20" s="2"/>
      <c r="V20" s="19"/>
      <c r="W20" s="2"/>
      <c r="X20" s="2">
        <f t="shared" si="2"/>
        <v>-1229.1100000000001</v>
      </c>
      <c r="Y20" s="2"/>
      <c r="Z20" s="19">
        <f t="shared" si="3"/>
        <v>-0.90102116367208407</v>
      </c>
    </row>
    <row r="21" spans="1:26" s="24" customFormat="1" hidden="1" outlineLevel="1" x14ac:dyDescent="0.25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--150360.03</f>
        <v>150360.03</v>
      </c>
      <c r="E21" s="2"/>
      <c r="F21" s="19"/>
      <c r="G21" s="2"/>
      <c r="H21" s="2">
        <f>--261252.23</f>
        <v>261252.23</v>
      </c>
      <c r="I21" s="2"/>
      <c r="J21" s="19"/>
      <c r="K21" s="2"/>
      <c r="L21" s="2">
        <f t="shared" si="0"/>
        <v>-110892.20000000001</v>
      </c>
      <c r="M21" s="2"/>
      <c r="N21" s="19">
        <f t="shared" si="1"/>
        <v>-0.42446412801911781</v>
      </c>
      <c r="O21" s="11"/>
      <c r="P21" s="2">
        <f>--153398.33</f>
        <v>153398.32999999999</v>
      </c>
      <c r="Q21" s="2"/>
      <c r="R21" s="19"/>
      <c r="S21" s="2"/>
      <c r="T21" s="2">
        <f>--265514.43</f>
        <v>265514.43</v>
      </c>
      <c r="U21" s="2"/>
      <c r="V21" s="19"/>
      <c r="W21" s="2"/>
      <c r="X21" s="2">
        <f t="shared" si="2"/>
        <v>-112116.1</v>
      </c>
      <c r="Y21" s="2"/>
      <c r="Z21" s="19">
        <f t="shared" si="3"/>
        <v>-0.42225991257800943</v>
      </c>
    </row>
    <row r="22" spans="1:26" s="24" customFormat="1" hidden="1" outlineLevel="1" x14ac:dyDescent="0.25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>--41238.82</f>
        <v>41238.82</v>
      </c>
      <c r="E22" s="2"/>
      <c r="F22" s="19"/>
      <c r="G22" s="2"/>
      <c r="H22" s="2">
        <f>--48156.44</f>
        <v>48156.44</v>
      </c>
      <c r="I22" s="2"/>
      <c r="J22" s="19"/>
      <c r="K22" s="2"/>
      <c r="L22" s="2">
        <f t="shared" si="0"/>
        <v>-6917.6200000000026</v>
      </c>
      <c r="M22" s="2"/>
      <c r="N22" s="19">
        <f t="shared" si="1"/>
        <v>-0.14364890760197394</v>
      </c>
      <c r="O22" s="11"/>
      <c r="P22" s="2">
        <f>--51580.68</f>
        <v>51580.68</v>
      </c>
      <c r="Q22" s="2"/>
      <c r="R22" s="19"/>
      <c r="S22" s="2"/>
      <c r="T22" s="2">
        <f>--55893.02</f>
        <v>55893.02</v>
      </c>
      <c r="U22" s="2"/>
      <c r="V22" s="19"/>
      <c r="W22" s="2"/>
      <c r="X22" s="2">
        <f t="shared" si="2"/>
        <v>-4312.3399999999965</v>
      </c>
      <c r="Y22" s="2"/>
      <c r="Z22" s="19">
        <f t="shared" si="3"/>
        <v>-7.7153462095982589E-2</v>
      </c>
    </row>
    <row r="23" spans="1:26" s="24" customFormat="1" hidden="1" outlineLevel="1" x14ac:dyDescent="0.25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>--17373.3</f>
        <v>17373.3</v>
      </c>
      <c r="E23" s="2"/>
      <c r="F23" s="19"/>
      <c r="G23" s="2"/>
      <c r="H23" s="2">
        <f>--27115.09</f>
        <v>27115.09</v>
      </c>
      <c r="I23" s="2"/>
      <c r="J23" s="19"/>
      <c r="K23" s="2"/>
      <c r="L23" s="2">
        <f t="shared" si="0"/>
        <v>-9741.7900000000009</v>
      </c>
      <c r="M23" s="2"/>
      <c r="N23" s="19">
        <f t="shared" si="1"/>
        <v>-0.35927559156174665</v>
      </c>
      <c r="O23" s="11"/>
      <c r="P23" s="2">
        <f>--21563.74</f>
        <v>21563.74</v>
      </c>
      <c r="Q23" s="2"/>
      <c r="R23" s="19"/>
      <c r="S23" s="2"/>
      <c r="T23" s="2">
        <f>--32474.33</f>
        <v>32474.33</v>
      </c>
      <c r="U23" s="2"/>
      <c r="V23" s="19"/>
      <c r="W23" s="2"/>
      <c r="X23" s="2">
        <f t="shared" si="2"/>
        <v>-10910.59</v>
      </c>
      <c r="Y23" s="2"/>
      <c r="Z23" s="19">
        <f t="shared" si="3"/>
        <v>-0.33597583075616955</v>
      </c>
    </row>
    <row r="24" spans="1:26" s="24" customFormat="1" hidden="1" outlineLevel="1" x14ac:dyDescent="0.25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>0</f>
        <v>0</v>
      </c>
      <c r="E24" s="2"/>
      <c r="F24" s="19"/>
      <c r="G24" s="2"/>
      <c r="H24" s="2">
        <f>--474.97</f>
        <v>474.97</v>
      </c>
      <c r="I24" s="2"/>
      <c r="J24" s="19"/>
      <c r="K24" s="2"/>
      <c r="L24" s="2">
        <f t="shared" si="0"/>
        <v>-474.97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--474.97</f>
        <v>474.97</v>
      </c>
      <c r="U24" s="2"/>
      <c r="V24" s="19"/>
      <c r="W24" s="2"/>
      <c r="X24" s="2">
        <f t="shared" si="2"/>
        <v>-474.97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>--205404.66</f>
        <v>205404.66</v>
      </c>
      <c r="E25" s="2"/>
      <c r="F25" s="19"/>
      <c r="G25" s="2"/>
      <c r="H25" s="2">
        <f>--246443.9</f>
        <v>246443.9</v>
      </c>
      <c r="I25" s="2"/>
      <c r="J25" s="19"/>
      <c r="K25" s="2"/>
      <c r="L25" s="2">
        <f t="shared" si="0"/>
        <v>-41039.239999999991</v>
      </c>
      <c r="M25" s="2"/>
      <c r="N25" s="19">
        <f t="shared" si="1"/>
        <v>-0.16652568799633505</v>
      </c>
      <c r="O25" s="11"/>
      <c r="P25" s="2">
        <f>--212890.18</f>
        <v>212890.18</v>
      </c>
      <c r="Q25" s="2"/>
      <c r="R25" s="19"/>
      <c r="S25" s="2"/>
      <c r="T25" s="2">
        <f>--259868.07</f>
        <v>259868.07</v>
      </c>
      <c r="U25" s="2"/>
      <c r="V25" s="19"/>
      <c r="W25" s="2"/>
      <c r="X25" s="2">
        <f t="shared" si="2"/>
        <v>-46977.890000000014</v>
      </c>
      <c r="Y25" s="2"/>
      <c r="Z25" s="19">
        <f t="shared" si="3"/>
        <v>-0.18077592218235974</v>
      </c>
    </row>
    <row r="26" spans="1:26" s="24" customFormat="1" hidden="1" outlineLevel="1" x14ac:dyDescent="0.25">
      <c r="A26" s="44"/>
      <c r="B26" s="11" t="str">
        <f>CONCATENATE("          ", "4111", " - ", "NON-TAXABLE SALES-NO VALUE TEX")</f>
        <v xml:space="preserve">          4111 - NON-TAXABLE SALES-NO VALUE TEX</v>
      </c>
      <c r="C26" s="11"/>
      <c r="D26" s="2">
        <f t="shared" ref="D26:D27" si="4">0</f>
        <v>0</v>
      </c>
      <c r="E26" s="2"/>
      <c r="F26" s="19"/>
      <c r="G26" s="2"/>
      <c r="H26" s="2">
        <f>--3067.16</f>
        <v>3067.16</v>
      </c>
      <c r="I26" s="2"/>
      <c r="J26" s="19"/>
      <c r="K26" s="2"/>
      <c r="L26" s="2">
        <f t="shared" si="0"/>
        <v>-3067.16</v>
      </c>
      <c r="M26" s="2"/>
      <c r="N26" s="19">
        <f t="shared" si="1"/>
        <v>-1</v>
      </c>
      <c r="O26" s="11"/>
      <c r="P26" s="2">
        <f t="shared" ref="P26:P27" si="5">0</f>
        <v>0</v>
      </c>
      <c r="Q26" s="2"/>
      <c r="R26" s="19"/>
      <c r="S26" s="2"/>
      <c r="T26" s="2">
        <f>--5748.11</f>
        <v>5748.11</v>
      </c>
      <c r="U26" s="2"/>
      <c r="V26" s="19"/>
      <c r="W26" s="2"/>
      <c r="X26" s="2">
        <f t="shared" si="2"/>
        <v>-5748.11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"4113", " - ", "NON-TAXABLE SALES-TRADE BOOKS")</f>
        <v xml:space="preserve">          4113 - NON-TAXABLE SALES-TRADE BOOKS</v>
      </c>
      <c r="C27" s="11"/>
      <c r="D27" s="2">
        <f t="shared" si="4"/>
        <v>0</v>
      </c>
      <c r="E27" s="2"/>
      <c r="F27" s="19"/>
      <c r="G27" s="2"/>
      <c r="H27" s="2">
        <f>--12.72</f>
        <v>12.72</v>
      </c>
      <c r="I27" s="2"/>
      <c r="J27" s="19"/>
      <c r="K27" s="2"/>
      <c r="L27" s="2">
        <f t="shared" si="0"/>
        <v>-12.72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--1146.72</f>
        <v>1146.72</v>
      </c>
      <c r="U27" s="2"/>
      <c r="V27" s="19"/>
      <c r="W27" s="2"/>
      <c r="X27" s="2">
        <f t="shared" si="2"/>
        <v>-1146.72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"4118", " - ", "NON-TAXABLE SALES-STUDY GUIDES")</f>
        <v xml:space="preserve">          4118 - NON-TAXABLE SALES-STUDY GUIDES</v>
      </c>
      <c r="C28" s="11"/>
      <c r="D28" s="2">
        <f>--47.87</f>
        <v>47.87</v>
      </c>
      <c r="E28" s="2"/>
      <c r="F28" s="19"/>
      <c r="G28" s="2"/>
      <c r="H28" s="2">
        <f>--7.02</f>
        <v>7.02</v>
      </c>
      <c r="I28" s="2"/>
      <c r="J28" s="19"/>
      <c r="K28" s="2"/>
      <c r="L28" s="2">
        <f t="shared" si="0"/>
        <v>40.849999999999994</v>
      </c>
      <c r="M28" s="2"/>
      <c r="N28" s="19">
        <f t="shared" si="1"/>
        <v>5.8190883190883183</v>
      </c>
      <c r="O28" s="11"/>
      <c r="P28" s="2">
        <f>--101.83</f>
        <v>101.83</v>
      </c>
      <c r="Q28" s="2"/>
      <c r="R28" s="19"/>
      <c r="S28" s="2"/>
      <c r="T28" s="2">
        <f>--13.97</f>
        <v>13.97</v>
      </c>
      <c r="U28" s="2"/>
      <c r="V28" s="19"/>
      <c r="W28" s="2"/>
      <c r="X28" s="2">
        <f t="shared" si="2"/>
        <v>87.86</v>
      </c>
      <c r="Y28" s="2"/>
      <c r="Z28" s="19">
        <f t="shared" si="3"/>
        <v>6.289191123836793</v>
      </c>
    </row>
    <row r="29" spans="1:26" s="24" customFormat="1" hidden="1" outlineLevel="1" x14ac:dyDescent="0.25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>-18222.39</f>
        <v>-18222.39</v>
      </c>
      <c r="E29" s="2"/>
      <c r="F29" s="19"/>
      <c r="G29" s="2"/>
      <c r="H29" s="2">
        <f>-58563.26</f>
        <v>-58563.26</v>
      </c>
      <c r="I29" s="2"/>
      <c r="J29" s="19"/>
      <c r="K29" s="2"/>
      <c r="L29" s="2">
        <f t="shared" si="0"/>
        <v>40340.870000000003</v>
      </c>
      <c r="M29" s="2"/>
      <c r="N29" s="19">
        <f t="shared" si="1"/>
        <v>-0.68884262932084039</v>
      </c>
      <c r="O29" s="11"/>
      <c r="P29" s="2">
        <f>-18855.79</f>
        <v>-18855.79</v>
      </c>
      <c r="Q29" s="2"/>
      <c r="R29" s="19"/>
      <c r="S29" s="2"/>
      <c r="T29" s="2">
        <f>-59170.41</f>
        <v>-59170.41</v>
      </c>
      <c r="U29" s="2"/>
      <c r="V29" s="19"/>
      <c r="W29" s="2"/>
      <c r="X29" s="2">
        <f t="shared" si="2"/>
        <v>40314.620000000003</v>
      </c>
      <c r="Y29" s="2"/>
      <c r="Z29" s="19">
        <f t="shared" si="3"/>
        <v>-0.68133075298954326</v>
      </c>
    </row>
    <row r="30" spans="1:26" s="24" customFormat="1" hidden="1" outlineLevel="1" x14ac:dyDescent="0.25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>-8869.4</f>
        <v>-8869.4</v>
      </c>
      <c r="E30" s="2"/>
      <c r="F30" s="19"/>
      <c r="G30" s="2"/>
      <c r="H30" s="2">
        <f>-20533</f>
        <v>-20533</v>
      </c>
      <c r="I30" s="2"/>
      <c r="J30" s="19"/>
      <c r="K30" s="2"/>
      <c r="L30" s="2">
        <f t="shared" si="0"/>
        <v>11663.6</v>
      </c>
      <c r="M30" s="2"/>
      <c r="N30" s="19">
        <f t="shared" si="1"/>
        <v>-0.56804168898845764</v>
      </c>
      <c r="O30" s="11"/>
      <c r="P30" s="2">
        <f>-9047.75</f>
        <v>-9047.75</v>
      </c>
      <c r="Q30" s="2"/>
      <c r="R30" s="19"/>
      <c r="S30" s="2"/>
      <c r="T30" s="2">
        <f>-21254.45</f>
        <v>-21254.45</v>
      </c>
      <c r="U30" s="2"/>
      <c r="V30" s="19"/>
      <c r="W30" s="2"/>
      <c r="X30" s="2">
        <f t="shared" si="2"/>
        <v>12206.7</v>
      </c>
      <c r="Y30" s="2"/>
      <c r="Z30" s="19">
        <f t="shared" si="3"/>
        <v>-0.57431267334605229</v>
      </c>
    </row>
    <row r="31" spans="1:26" s="24" customFormat="1" hidden="1" outlineLevel="1" x14ac:dyDescent="0.25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>-1141.08</f>
        <v>-1141.08</v>
      </c>
      <c r="E31" s="2"/>
      <c r="F31" s="19"/>
      <c r="G31" s="2"/>
      <c r="H31" s="2">
        <f>-6848.37</f>
        <v>-6848.37</v>
      </c>
      <c r="I31" s="2"/>
      <c r="J31" s="19"/>
      <c r="K31" s="2"/>
      <c r="L31" s="2">
        <f t="shared" si="0"/>
        <v>5707.29</v>
      </c>
      <c r="M31" s="2"/>
      <c r="N31" s="19">
        <f t="shared" si="1"/>
        <v>-0.83337932967990924</v>
      </c>
      <c r="O31" s="11"/>
      <c r="P31" s="2">
        <f>-1141.08</f>
        <v>-1141.08</v>
      </c>
      <c r="Q31" s="2"/>
      <c r="R31" s="19"/>
      <c r="S31" s="2"/>
      <c r="T31" s="2">
        <f>-6848.37</f>
        <v>-6848.37</v>
      </c>
      <c r="U31" s="2"/>
      <c r="V31" s="19"/>
      <c r="W31" s="2"/>
      <c r="X31" s="2">
        <f t="shared" si="2"/>
        <v>5707.29</v>
      </c>
      <c r="Y31" s="2"/>
      <c r="Z31" s="19">
        <f t="shared" si="3"/>
        <v>-0.83337932967990924</v>
      </c>
    </row>
    <row r="32" spans="1:26" s="24" customFormat="1" hidden="1" outlineLevel="1" x14ac:dyDescent="0.25">
      <c r="A32" s="44"/>
      <c r="B32" s="11" t="str">
        <f>CONCATENATE("          ", "4218", " - ", "SALES RETURN TAXABLE-STUDY GUI")</f>
        <v xml:space="preserve">          4218 - SALES RETURN TAXABLE-STUDY GUI</v>
      </c>
      <c r="C32" s="11"/>
      <c r="D32" s="2">
        <f>0</f>
        <v>0</v>
      </c>
      <c r="E32" s="2"/>
      <c r="F32" s="19"/>
      <c r="G32" s="2"/>
      <c r="H32" s="2">
        <f>-26.8</f>
        <v>-26.8</v>
      </c>
      <c r="I32" s="2"/>
      <c r="J32" s="19"/>
      <c r="K32" s="2"/>
      <c r="L32" s="2">
        <f t="shared" si="0"/>
        <v>26.8</v>
      </c>
      <c r="M32" s="2"/>
      <c r="N32" s="19">
        <f t="shared" si="1"/>
        <v>-1</v>
      </c>
      <c r="O32" s="11"/>
      <c r="P32" s="2">
        <f>0</f>
        <v>0</v>
      </c>
      <c r="Q32" s="2"/>
      <c r="R32" s="19"/>
      <c r="S32" s="2"/>
      <c r="T32" s="2">
        <f>-26.8</f>
        <v>-26.8</v>
      </c>
      <c r="U32" s="2"/>
      <c r="V32" s="19"/>
      <c r="W32" s="2"/>
      <c r="X32" s="2">
        <f t="shared" si="2"/>
        <v>26.8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>-20.25</f>
        <v>-20.25</v>
      </c>
      <c r="E33" s="2"/>
      <c r="F33" s="19"/>
      <c r="G33" s="2"/>
      <c r="H33" s="2">
        <f>-2665.19</f>
        <v>-2665.19</v>
      </c>
      <c r="I33" s="2"/>
      <c r="J33" s="19"/>
      <c r="K33" s="2"/>
      <c r="L33" s="2">
        <f t="shared" si="0"/>
        <v>2644.94</v>
      </c>
      <c r="M33" s="2"/>
      <c r="N33" s="19">
        <f t="shared" si="1"/>
        <v>-0.99240204263110698</v>
      </c>
      <c r="O33" s="11"/>
      <c r="P33" s="2">
        <f>-20.25</f>
        <v>-20.25</v>
      </c>
      <c r="Q33" s="2"/>
      <c r="R33" s="19"/>
      <c r="S33" s="2"/>
      <c r="T33" s="2">
        <f>-2919.78</f>
        <v>-2919.78</v>
      </c>
      <c r="U33" s="2"/>
      <c r="V33" s="19"/>
      <c r="W33" s="2"/>
      <c r="X33" s="2">
        <f t="shared" si="2"/>
        <v>2899.53</v>
      </c>
      <c r="Y33" s="2"/>
      <c r="Z33" s="19">
        <f t="shared" si="3"/>
        <v>-0.99306454595894211</v>
      </c>
    </row>
    <row r="34" spans="1:26" s="24" customFormat="1" hidden="1" outlineLevel="1" x14ac:dyDescent="0.25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>-346.17</f>
        <v>-346.17</v>
      </c>
      <c r="E34" s="2"/>
      <c r="F34" s="19"/>
      <c r="G34" s="2"/>
      <c r="H34" s="2">
        <f>-250.25</f>
        <v>-250.25</v>
      </c>
      <c r="I34" s="2"/>
      <c r="J34" s="19"/>
      <c r="K34" s="2"/>
      <c r="L34" s="2">
        <f t="shared" si="0"/>
        <v>-95.920000000000016</v>
      </c>
      <c r="M34" s="2"/>
      <c r="N34" s="19">
        <f t="shared" si="1"/>
        <v>0.38329670329670334</v>
      </c>
      <c r="O34" s="11"/>
      <c r="P34" s="2">
        <f>-409.84</f>
        <v>-409.84</v>
      </c>
      <c r="Q34" s="2"/>
      <c r="R34" s="19"/>
      <c r="S34" s="2"/>
      <c r="T34" s="2">
        <f>-250.25</f>
        <v>-250.25</v>
      </c>
      <c r="U34" s="2"/>
      <c r="V34" s="19"/>
      <c r="W34" s="2"/>
      <c r="X34" s="2">
        <f t="shared" si="2"/>
        <v>-159.58999999999997</v>
      </c>
      <c r="Y34" s="2"/>
      <c r="Z34" s="19">
        <f t="shared" si="3"/>
        <v>0.63772227772227763</v>
      </c>
    </row>
    <row r="35" spans="1:26" s="24" customFormat="1" hidden="1" outlineLevel="1" x14ac:dyDescent="0.25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>-5500.68</f>
        <v>-5500.68</v>
      </c>
      <c r="E35" s="2"/>
      <c r="F35" s="19"/>
      <c r="G35" s="2"/>
      <c r="H35" s="2">
        <f>-8466.55</f>
        <v>-8466.5499999999993</v>
      </c>
      <c r="I35" s="2"/>
      <c r="J35" s="19"/>
      <c r="K35" s="2"/>
      <c r="L35" s="2">
        <f t="shared" si="0"/>
        <v>2965.869999999999</v>
      </c>
      <c r="M35" s="2"/>
      <c r="N35" s="19">
        <f t="shared" si="1"/>
        <v>-0.35030443332880562</v>
      </c>
      <c r="O35" s="11"/>
      <c r="P35" s="2">
        <f>-5952.73</f>
        <v>-5952.73</v>
      </c>
      <c r="Q35" s="2"/>
      <c r="R35" s="19"/>
      <c r="S35" s="2"/>
      <c r="T35" s="2">
        <f>-8466.55</f>
        <v>-8466.5499999999993</v>
      </c>
      <c r="U35" s="2"/>
      <c r="V35" s="19"/>
      <c r="W35" s="2"/>
      <c r="X35" s="2">
        <f t="shared" si="2"/>
        <v>2513.8199999999997</v>
      </c>
      <c r="Y35" s="2"/>
      <c r="Z35" s="19">
        <f t="shared" si="3"/>
        <v>-0.29691196532235681</v>
      </c>
    </row>
    <row r="36" spans="1:26" s="24" customFormat="1" hidden="1" outlineLevel="1" x14ac:dyDescent="0.25">
      <c r="A36" s="44"/>
      <c r="B36" s="11" t="str">
        <f>CONCATENATE("          ", "4311", " - ", "SALES RETURN NON TAXABLE-NO VA")</f>
        <v xml:space="preserve">          4311 - SALES RETURN NON TAXABLE-NO VA</v>
      </c>
      <c r="C36" s="11"/>
      <c r="D36" s="2">
        <f>0</f>
        <v>0</v>
      </c>
      <c r="E36" s="2"/>
      <c r="F36" s="19"/>
      <c r="G36" s="2"/>
      <c r="H36" s="2">
        <f>-79.06</f>
        <v>-79.06</v>
      </c>
      <c r="I36" s="2"/>
      <c r="J36" s="19"/>
      <c r="K36" s="2"/>
      <c r="L36" s="2">
        <f t="shared" si="0"/>
        <v>79.06</v>
      </c>
      <c r="M36" s="2"/>
      <c r="N36" s="19">
        <f t="shared" si="1"/>
        <v>-1</v>
      </c>
      <c r="O36" s="11"/>
      <c r="P36" s="2">
        <f>0</f>
        <v>0</v>
      </c>
      <c r="Q36" s="2"/>
      <c r="R36" s="19"/>
      <c r="S36" s="2"/>
      <c r="T36" s="2">
        <f>-111.04</f>
        <v>-111.04</v>
      </c>
      <c r="U36" s="2"/>
      <c r="V36" s="19"/>
      <c r="W36" s="2"/>
      <c r="X36" s="2">
        <f t="shared" si="2"/>
        <v>111.04</v>
      </c>
      <c r="Y36" s="2"/>
      <c r="Z36" s="19">
        <f t="shared" si="3"/>
        <v>-1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5" t="s">
        <v>8</v>
      </c>
      <c r="C38" s="10"/>
      <c r="D38" s="4">
        <f>SUM(OSRRefD16x_0)</f>
        <v>892362.06000000017</v>
      </c>
      <c r="E38" s="4"/>
      <c r="F38" s="12">
        <f t="shared" ref="F38:F51" si="6">IF(D$12=0,0,D38/D$12)</f>
        <v>0.72780020392321543</v>
      </c>
      <c r="G38" s="4"/>
      <c r="H38" s="4">
        <f>SUM(OSRRefH16x_0)</f>
        <v>1561651.33</v>
      </c>
      <c r="I38" s="4"/>
      <c r="J38" s="12">
        <f t="shared" ref="J38:J51" si="7">IF(H$12=0,0,H38/H$12)</f>
        <v>0.72645677882170068</v>
      </c>
      <c r="K38" s="4"/>
      <c r="L38" s="4">
        <f t="shared" ref="L38:L51" si="8">+D38-H38</f>
        <v>-669289.2699999999</v>
      </c>
      <c r="M38" s="4"/>
      <c r="N38" s="12">
        <f t="shared" ref="N38:N51" si="9">IF(H38=0,0,L38/H38)</f>
        <v>-0.42857791437990184</v>
      </c>
      <c r="O38" s="10"/>
      <c r="P38" s="4">
        <f>SUM(OSRRefP16x_0)</f>
        <v>923179.34000000008</v>
      </c>
      <c r="Q38" s="4"/>
      <c r="R38" s="12">
        <f t="shared" ref="R38:R51" si="10">IF(P$12=0,0,P38/P$12)</f>
        <v>0.72454689533811467</v>
      </c>
      <c r="S38" s="4"/>
      <c r="T38" s="4">
        <f>SUM(OSRRefT16x_0)</f>
        <v>1637642.3900000004</v>
      </c>
      <c r="U38" s="4"/>
      <c r="V38" s="12">
        <f t="shared" ref="V38:V51" si="11">IF(T$12=0,0,T38/T$12)</f>
        <v>0.730498267526976</v>
      </c>
      <c r="W38" s="4"/>
      <c r="X38" s="4">
        <f t="shared" ref="X38:X51" si="12">+P38-T38</f>
        <v>-714463.05000000028</v>
      </c>
      <c r="Y38" s="4"/>
      <c r="Z38" s="12">
        <f t="shared" ref="Z38:Z51" si="13">IF(T38=0,0,X38/T38)</f>
        <v>-0.43627537633536717</v>
      </c>
    </row>
    <row r="39" spans="1:26" s="24" customFormat="1" hidden="1" outlineLevel="1" x14ac:dyDescent="0.25">
      <c r="A39" s="44"/>
      <c r="B39" s="11" t="str">
        <f>CONCATENATE("          ", "5001", " - ", "PURCHASES @ COST-NEW TEXT")</f>
        <v xml:space="preserve">          5001 - PURCHASES @ COST-NEW TEXT</v>
      </c>
      <c r="C39" s="11"/>
      <c r="D39" s="2">
        <v>538222.14</v>
      </c>
      <c r="E39" s="2"/>
      <c r="F39" s="19">
        <f t="shared" si="6"/>
        <v>0.43896776970548179</v>
      </c>
      <c r="G39" s="2"/>
      <c r="H39" s="2">
        <v>1483764.14</v>
      </c>
      <c r="I39" s="2"/>
      <c r="J39" s="19">
        <f t="shared" si="7"/>
        <v>0.6902248260983781</v>
      </c>
      <c r="K39" s="2"/>
      <c r="L39" s="2">
        <f t="shared" si="8"/>
        <v>-945541.99999999988</v>
      </c>
      <c r="M39" s="2"/>
      <c r="N39" s="19">
        <f t="shared" si="9"/>
        <v>-0.63725896489181899</v>
      </c>
      <c r="O39" s="11"/>
      <c r="P39" s="2">
        <v>691332.77</v>
      </c>
      <c r="Q39" s="2"/>
      <c r="R39" s="19">
        <f t="shared" si="10"/>
        <v>0.54258472914807521</v>
      </c>
      <c r="S39" s="2"/>
      <c r="T39" s="2">
        <v>1827758.7</v>
      </c>
      <c r="U39" s="2"/>
      <c r="V39" s="19">
        <f t="shared" si="11"/>
        <v>0.81530288417079722</v>
      </c>
      <c r="W39" s="2"/>
      <c r="X39" s="2">
        <f t="shared" si="12"/>
        <v>-1136425.93</v>
      </c>
      <c r="Y39" s="2"/>
      <c r="Z39" s="19">
        <f t="shared" si="13"/>
        <v>-0.62175927818042942</v>
      </c>
    </row>
    <row r="40" spans="1:26" s="24" customFormat="1" hidden="1" outlineLevel="1" x14ac:dyDescent="0.25">
      <c r="A40" s="44"/>
      <c r="B40" s="11" t="str">
        <f>CONCATENATE("          ", "5002", " - ", "PURCHASES @ COST-USED TEXT")</f>
        <v xml:space="preserve">          5002 - PURCHASES @ COST-USED TEXT</v>
      </c>
      <c r="C40" s="11"/>
      <c r="D40" s="2">
        <v>128042.67</v>
      </c>
      <c r="E40" s="2"/>
      <c r="F40" s="19">
        <f t="shared" si="6"/>
        <v>0.10443012484962994</v>
      </c>
      <c r="G40" s="2"/>
      <c r="H40" s="2">
        <v>224687.41999999998</v>
      </c>
      <c r="I40" s="2"/>
      <c r="J40" s="19">
        <f t="shared" si="7"/>
        <v>0.10452121817419932</v>
      </c>
      <c r="K40" s="2"/>
      <c r="L40" s="2">
        <f t="shared" si="8"/>
        <v>-96644.749999999985</v>
      </c>
      <c r="M40" s="2"/>
      <c r="N40" s="19">
        <f t="shared" si="9"/>
        <v>-0.43012977762617949</v>
      </c>
      <c r="O40" s="11"/>
      <c r="P40" s="2">
        <v>188367.52</v>
      </c>
      <c r="Q40" s="2"/>
      <c r="R40" s="19">
        <f t="shared" si="10"/>
        <v>0.14783812406215696</v>
      </c>
      <c r="S40" s="2"/>
      <c r="T40" s="2">
        <v>334980.67</v>
      </c>
      <c r="U40" s="2"/>
      <c r="V40" s="19">
        <f t="shared" si="11"/>
        <v>0.14942383061421949</v>
      </c>
      <c r="W40" s="2"/>
      <c r="X40" s="2">
        <f t="shared" si="12"/>
        <v>-146613.15</v>
      </c>
      <c r="Y40" s="2"/>
      <c r="Z40" s="19">
        <f t="shared" si="13"/>
        <v>-0.4376764486141842</v>
      </c>
    </row>
    <row r="41" spans="1:26" s="24" customFormat="1" hidden="1" outlineLevel="1" x14ac:dyDescent="0.25">
      <c r="A41" s="44"/>
      <c r="B41" s="11" t="str">
        <f>CONCATENATE("          ", "5003", " - ", "PURCHASES @ COST-RENTAL TEXT")</f>
        <v xml:space="preserve">          5003 - PURCHASES @ COST-RENTAL TEXT</v>
      </c>
      <c r="C41" s="11"/>
      <c r="D41" s="2">
        <v>58.8</v>
      </c>
      <c r="E41" s="2"/>
      <c r="F41" s="19">
        <f t="shared" si="6"/>
        <v>4.795660181998891E-5</v>
      </c>
      <c r="G41" s="2"/>
      <c r="H41" s="2">
        <v>-38374.199999999997</v>
      </c>
      <c r="I41" s="2"/>
      <c r="J41" s="19">
        <f t="shared" si="7"/>
        <v>-1.7851102346808555E-2</v>
      </c>
      <c r="K41" s="2"/>
      <c r="L41" s="2">
        <f t="shared" si="8"/>
        <v>38433</v>
      </c>
      <c r="M41" s="2"/>
      <c r="N41" s="19">
        <f t="shared" si="9"/>
        <v>-1.0015322795002892</v>
      </c>
      <c r="O41" s="11"/>
      <c r="P41" s="2">
        <v>-11867.84</v>
      </c>
      <c r="Q41" s="2"/>
      <c r="R41" s="19">
        <f t="shared" si="10"/>
        <v>-9.3143404036419297E-3</v>
      </c>
      <c r="S41" s="2"/>
      <c r="T41" s="2">
        <v>-78.400000000000006</v>
      </c>
      <c r="U41" s="2"/>
      <c r="V41" s="19">
        <f t="shared" si="11"/>
        <v>-3.4971654693253821E-5</v>
      </c>
      <c r="W41" s="2"/>
      <c r="X41" s="2">
        <f t="shared" si="12"/>
        <v>-11789.44</v>
      </c>
      <c r="Y41" s="2"/>
      <c r="Z41" s="19">
        <f t="shared" si="13"/>
        <v>150.37551020408162</v>
      </c>
    </row>
    <row r="42" spans="1:26" s="24" customFormat="1" hidden="1" outlineLevel="1" x14ac:dyDescent="0.25">
      <c r="A42" s="44"/>
      <c r="B42" s="11" t="str">
        <f>CONCATENATE("          ", "5004", " - ", "PURCHASES @ COST-DIGITAL TEXT")</f>
        <v xml:space="preserve">          5004 - PURCHASES @ COST-DIGITAL TEXT</v>
      </c>
      <c r="C42" s="11"/>
      <c r="D42" s="2">
        <v>117504.49</v>
      </c>
      <c r="E42" s="2"/>
      <c r="F42" s="19">
        <f t="shared" si="6"/>
        <v>9.5835306785559002E-2</v>
      </c>
      <c r="G42" s="2"/>
      <c r="H42" s="2">
        <v>169007.92</v>
      </c>
      <c r="I42" s="2"/>
      <c r="J42" s="19">
        <f t="shared" si="7"/>
        <v>7.8619949792861687E-2</v>
      </c>
      <c r="K42" s="2"/>
      <c r="L42" s="2">
        <f t="shared" si="8"/>
        <v>-51503.430000000008</v>
      </c>
      <c r="M42" s="2"/>
      <c r="N42" s="19">
        <f t="shared" si="9"/>
        <v>-0.30473974237420354</v>
      </c>
      <c r="O42" s="11"/>
      <c r="P42" s="2">
        <v>122429.97</v>
      </c>
      <c r="Q42" s="2"/>
      <c r="R42" s="19">
        <f t="shared" si="10"/>
        <v>9.6087781448660356E-2</v>
      </c>
      <c r="S42" s="2"/>
      <c r="T42" s="2">
        <v>302966.49000000005</v>
      </c>
      <c r="U42" s="2"/>
      <c r="V42" s="19">
        <f t="shared" si="11"/>
        <v>0.13514336061106044</v>
      </c>
      <c r="W42" s="2"/>
      <c r="X42" s="2">
        <f t="shared" si="12"/>
        <v>-180536.52000000005</v>
      </c>
      <c r="Y42" s="2"/>
      <c r="Z42" s="19">
        <f t="shared" si="13"/>
        <v>-0.59589600156769817</v>
      </c>
    </row>
    <row r="43" spans="1:26" s="24" customFormat="1" hidden="1" outlineLevel="1" x14ac:dyDescent="0.25">
      <c r="A43" s="44"/>
      <c r="B43" s="11" t="str">
        <f>CONCATENATE("          ", "5011", " - ", "PURCHASES @ COST-NO VALUE TEXT")</f>
        <v xml:space="preserve">          5011 - PURCHASES @ COST-NO VALUE TEXT</v>
      </c>
      <c r="C43" s="11"/>
      <c r="D43" s="2"/>
      <c r="E43" s="2"/>
      <c r="F43" s="19">
        <f t="shared" si="6"/>
        <v>0</v>
      </c>
      <c r="G43" s="2"/>
      <c r="H43" s="2">
        <v>369</v>
      </c>
      <c r="I43" s="2"/>
      <c r="J43" s="19">
        <f t="shared" si="7"/>
        <v>1.7165326615205939E-4</v>
      </c>
      <c r="K43" s="2"/>
      <c r="L43" s="2">
        <f t="shared" si="8"/>
        <v>-369</v>
      </c>
      <c r="M43" s="2"/>
      <c r="N43" s="19">
        <f t="shared" si="9"/>
        <v>-1</v>
      </c>
      <c r="O43" s="11"/>
      <c r="P43" s="2"/>
      <c r="Q43" s="2"/>
      <c r="R43" s="19">
        <f t="shared" si="10"/>
        <v>0</v>
      </c>
      <c r="S43" s="2"/>
      <c r="T43" s="2">
        <v>657</v>
      </c>
      <c r="U43" s="2"/>
      <c r="V43" s="19">
        <f t="shared" si="11"/>
        <v>2.9306603486566019E-4</v>
      </c>
      <c r="W43" s="2"/>
      <c r="X43" s="2">
        <f t="shared" si="12"/>
        <v>-657</v>
      </c>
      <c r="Y43" s="2"/>
      <c r="Z43" s="19">
        <f t="shared" si="13"/>
        <v>-1</v>
      </c>
    </row>
    <row r="44" spans="1:26" s="24" customFormat="1" hidden="1" outlineLevel="1" x14ac:dyDescent="0.25">
      <c r="A44" s="44"/>
      <c r="B44" s="11" t="str">
        <f>CONCATENATE("          ", "5013", " - ", "PURCHASES @ COST-TRADE BOOKS")</f>
        <v xml:space="preserve">          5013 - PURCHASES @ COST-TRADE BOOKS</v>
      </c>
      <c r="C44" s="11"/>
      <c r="D44" s="2"/>
      <c r="E44" s="2"/>
      <c r="F44" s="19">
        <f t="shared" si="6"/>
        <v>0</v>
      </c>
      <c r="G44" s="2"/>
      <c r="H44" s="2"/>
      <c r="I44" s="2"/>
      <c r="J44" s="19">
        <f t="shared" si="7"/>
        <v>0</v>
      </c>
      <c r="K44" s="2"/>
      <c r="L44" s="2">
        <f t="shared" si="8"/>
        <v>0</v>
      </c>
      <c r="M44" s="2"/>
      <c r="N44" s="19">
        <f t="shared" si="9"/>
        <v>0</v>
      </c>
      <c r="O44" s="11"/>
      <c r="P44" s="2">
        <v>108.54</v>
      </c>
      <c r="Q44" s="2"/>
      <c r="R44" s="19">
        <f t="shared" si="10"/>
        <v>8.5186395115816781E-5</v>
      </c>
      <c r="S44" s="2"/>
      <c r="T44" s="2">
        <v>204.9</v>
      </c>
      <c r="U44" s="2"/>
      <c r="V44" s="19">
        <f t="shared" si="11"/>
        <v>9.1399133248057496E-5</v>
      </c>
      <c r="W44" s="2"/>
      <c r="X44" s="2">
        <f t="shared" si="12"/>
        <v>-96.36</v>
      </c>
      <c r="Y44" s="2"/>
      <c r="Z44" s="19">
        <f t="shared" si="13"/>
        <v>-0.47027818448023423</v>
      </c>
    </row>
    <row r="45" spans="1:26" s="24" customFormat="1" hidden="1" outlineLevel="1" x14ac:dyDescent="0.25">
      <c r="A45" s="44"/>
      <c r="B45" s="11" t="str">
        <f>CONCATENATE("          ", "5014", " - ", "PURCHASES @ COST-REMAINDERS")</f>
        <v xml:space="preserve">          5014 - PURCHASES @ COST-REMAINDERS</v>
      </c>
      <c r="C45" s="11"/>
      <c r="D45" s="2"/>
      <c r="E45" s="2"/>
      <c r="F45" s="19">
        <f t="shared" si="6"/>
        <v>0</v>
      </c>
      <c r="G45" s="2"/>
      <c r="H45" s="2">
        <v>133.84</v>
      </c>
      <c r="I45" s="2"/>
      <c r="J45" s="19">
        <f t="shared" si="7"/>
        <v>6.2260360817863492E-5</v>
      </c>
      <c r="K45" s="2"/>
      <c r="L45" s="2">
        <f t="shared" si="8"/>
        <v>-133.84</v>
      </c>
      <c r="M45" s="2"/>
      <c r="N45" s="19">
        <f t="shared" si="9"/>
        <v>-1</v>
      </c>
      <c r="O45" s="11"/>
      <c r="P45" s="2">
        <v>-12.51</v>
      </c>
      <c r="Q45" s="2"/>
      <c r="R45" s="19">
        <f t="shared" si="10"/>
        <v>-9.8183324387218345E-6</v>
      </c>
      <c r="S45" s="2"/>
      <c r="T45" s="2">
        <v>234.32</v>
      </c>
      <c r="U45" s="2"/>
      <c r="V45" s="19">
        <f t="shared" si="11"/>
        <v>1.0452242509851065E-4</v>
      </c>
      <c r="W45" s="2"/>
      <c r="X45" s="2">
        <f t="shared" si="12"/>
        <v>-246.82999999999998</v>
      </c>
      <c r="Y45" s="2"/>
      <c r="Z45" s="19">
        <f t="shared" si="13"/>
        <v>-1.0533885285080231</v>
      </c>
    </row>
    <row r="46" spans="1:26" s="24" customFormat="1" hidden="1" outlineLevel="1" x14ac:dyDescent="0.25">
      <c r="A46" s="44"/>
      <c r="B46" s="11" t="str">
        <f>CONCATENATE("          ", "5018", " - ", "PURCHASES @ COST-STUDY GUIDES")</f>
        <v xml:space="preserve">          5018 - PURCHASES @ COST-STUDY GUIDES</v>
      </c>
      <c r="C46" s="11"/>
      <c r="D46" s="2"/>
      <c r="E46" s="2"/>
      <c r="F46" s="19">
        <f t="shared" si="6"/>
        <v>0</v>
      </c>
      <c r="G46" s="2"/>
      <c r="H46" s="2"/>
      <c r="I46" s="2"/>
      <c r="J46" s="19">
        <f t="shared" si="7"/>
        <v>0</v>
      </c>
      <c r="K46" s="2"/>
      <c r="L46" s="2">
        <f t="shared" si="8"/>
        <v>0</v>
      </c>
      <c r="M46" s="2"/>
      <c r="N46" s="19">
        <f t="shared" si="9"/>
        <v>0</v>
      </c>
      <c r="O46" s="11"/>
      <c r="P46" s="2"/>
      <c r="Q46" s="2"/>
      <c r="R46" s="19">
        <f t="shared" si="10"/>
        <v>0</v>
      </c>
      <c r="S46" s="2"/>
      <c r="T46" s="2">
        <v>503.93</v>
      </c>
      <c r="U46" s="2"/>
      <c r="V46" s="19">
        <f t="shared" si="11"/>
        <v>2.2478655547922703E-4</v>
      </c>
      <c r="W46" s="2"/>
      <c r="X46" s="2">
        <f t="shared" si="12"/>
        <v>-503.93</v>
      </c>
      <c r="Y46" s="2"/>
      <c r="Z46" s="19">
        <f t="shared" si="13"/>
        <v>-1</v>
      </c>
    </row>
    <row r="47" spans="1:26" s="24" customFormat="1" hidden="1" outlineLevel="1" x14ac:dyDescent="0.25">
      <c r="A47" s="44"/>
      <c r="B47" s="11" t="str">
        <f>CONCATENATE("          ", "5200", " - ", "PURCHASES OFFSET")</f>
        <v xml:space="preserve">          5200 - PURCHASES OFFSET</v>
      </c>
      <c r="C47" s="11"/>
      <c r="D47" s="2">
        <v>-478701.25999999995</v>
      </c>
      <c r="E47" s="2"/>
      <c r="F47" s="19">
        <f t="shared" si="6"/>
        <v>-0.39042322647188749</v>
      </c>
      <c r="G47" s="2"/>
      <c r="H47" s="2">
        <v>-1332572</v>
      </c>
      <c r="I47" s="2"/>
      <c r="J47" s="19">
        <f t="shared" si="7"/>
        <v>-0.61989250998043932</v>
      </c>
      <c r="K47" s="2"/>
      <c r="L47" s="2">
        <f t="shared" si="8"/>
        <v>853870.74</v>
      </c>
      <c r="M47" s="2"/>
      <c r="N47" s="19">
        <f t="shared" si="9"/>
        <v>-0.64076893406134905</v>
      </c>
      <c r="O47" s="11"/>
      <c r="P47" s="2">
        <v>-681352.94000000006</v>
      </c>
      <c r="Q47" s="2"/>
      <c r="R47" s="19">
        <f t="shared" si="10"/>
        <v>-0.5347521721039562</v>
      </c>
      <c r="S47" s="2"/>
      <c r="T47" s="2">
        <v>-1949502</v>
      </c>
      <c r="U47" s="2"/>
      <c r="V47" s="19">
        <f t="shared" si="11"/>
        <v>-0.86960855571183304</v>
      </c>
      <c r="W47" s="2"/>
      <c r="X47" s="2">
        <f t="shared" si="12"/>
        <v>1268149.06</v>
      </c>
      <c r="Y47" s="2"/>
      <c r="Z47" s="19">
        <f t="shared" si="13"/>
        <v>-0.65049897871353812</v>
      </c>
    </row>
    <row r="48" spans="1:26" s="24" customFormat="1" hidden="1" outlineLevel="1" x14ac:dyDescent="0.25">
      <c r="A48" s="44"/>
      <c r="B48" s="11" t="str">
        <f>CONCATENATE("          ", "5300", " - ", "COG$ OFFSET")</f>
        <v xml:space="preserve">          5300 - COG$ OFFSET</v>
      </c>
      <c r="C48" s="11"/>
      <c r="D48" s="2">
        <v>581368</v>
      </c>
      <c r="E48" s="2"/>
      <c r="F48" s="19">
        <f t="shared" si="6"/>
        <v>0.47415703549121285</v>
      </c>
      <c r="G48" s="2"/>
      <c r="H48" s="2">
        <v>1039635.0000000001</v>
      </c>
      <c r="I48" s="2"/>
      <c r="J48" s="19">
        <f t="shared" si="7"/>
        <v>0.48362261072085716</v>
      </c>
      <c r="K48" s="2"/>
      <c r="L48" s="2">
        <f t="shared" si="8"/>
        <v>-458267.00000000012</v>
      </c>
      <c r="M48" s="2"/>
      <c r="N48" s="19">
        <f t="shared" si="9"/>
        <v>-0.44079604861321525</v>
      </c>
      <c r="O48" s="11"/>
      <c r="P48" s="2">
        <v>607456</v>
      </c>
      <c r="Q48" s="2"/>
      <c r="R48" s="19">
        <f t="shared" si="10"/>
        <v>0.47675499199809834</v>
      </c>
      <c r="S48" s="2"/>
      <c r="T48" s="2">
        <v>1102923</v>
      </c>
      <c r="U48" s="2"/>
      <c r="V48" s="19">
        <f t="shared" si="11"/>
        <v>0.49197758047509671</v>
      </c>
      <c r="W48" s="2"/>
      <c r="X48" s="2">
        <f t="shared" si="12"/>
        <v>-495467</v>
      </c>
      <c r="Y48" s="2"/>
      <c r="Z48" s="19">
        <f t="shared" si="13"/>
        <v>-0.44923081665719183</v>
      </c>
    </row>
    <row r="49" spans="1:26" s="24" customFormat="1" hidden="1" outlineLevel="1" x14ac:dyDescent="0.25">
      <c r="A49" s="44"/>
      <c r="B49" s="11" t="str">
        <f>CONCATENATE("          ", "5501", " - ", "FREIGHT-IN-NEW TEXT")</f>
        <v xml:space="preserve">          5501 - FREIGHT-IN-NEW TEXT</v>
      </c>
      <c r="C49" s="11"/>
      <c r="D49" s="2">
        <v>4680.5600000000004</v>
      </c>
      <c r="E49" s="2"/>
      <c r="F49" s="19">
        <f t="shared" si="6"/>
        <v>3.8174107519484239E-3</v>
      </c>
      <c r="G49" s="2"/>
      <c r="H49" s="2">
        <v>11008.16</v>
      </c>
      <c r="I49" s="2"/>
      <c r="J49" s="19">
        <f t="shared" si="7"/>
        <v>5.1208309439687103E-3</v>
      </c>
      <c r="K49" s="2"/>
      <c r="L49" s="2">
        <f t="shared" si="8"/>
        <v>-6327.5999999999995</v>
      </c>
      <c r="M49" s="2"/>
      <c r="N49" s="19">
        <f t="shared" si="9"/>
        <v>-0.57480995915757038</v>
      </c>
      <c r="O49" s="11"/>
      <c r="P49" s="2">
        <v>5483.28</v>
      </c>
      <c r="Q49" s="2"/>
      <c r="R49" s="19">
        <f t="shared" si="10"/>
        <v>4.3034904791842254E-3</v>
      </c>
      <c r="S49" s="2"/>
      <c r="T49" s="2">
        <v>12724.24</v>
      </c>
      <c r="U49" s="2"/>
      <c r="V49" s="19">
        <f t="shared" si="11"/>
        <v>5.675863871353163E-3</v>
      </c>
      <c r="W49" s="2"/>
      <c r="X49" s="2">
        <f t="shared" si="12"/>
        <v>-7240.96</v>
      </c>
      <c r="Y49" s="2"/>
      <c r="Z49" s="19">
        <f t="shared" si="13"/>
        <v>-0.56906817224447193</v>
      </c>
    </row>
    <row r="50" spans="1:26" s="24" customFormat="1" hidden="1" outlineLevel="1" x14ac:dyDescent="0.25">
      <c r="A50" s="44"/>
      <c r="B50" s="11" t="str">
        <f>CONCATENATE("          ", "5502", " - ", "FREIGHT-IN-USED TEXT")</f>
        <v xml:space="preserve">          5502 - FREIGHT-IN-USED TEXT</v>
      </c>
      <c r="C50" s="11"/>
      <c r="D50" s="2">
        <v>1186.6600000000001</v>
      </c>
      <c r="E50" s="2"/>
      <c r="F50" s="19">
        <f t="shared" si="6"/>
        <v>9.6782620945081712E-4</v>
      </c>
      <c r="G50" s="2"/>
      <c r="H50" s="2">
        <v>3985.02</v>
      </c>
      <c r="I50" s="2"/>
      <c r="J50" s="19">
        <f t="shared" si="7"/>
        <v>1.8537715411416796E-3</v>
      </c>
      <c r="K50" s="2"/>
      <c r="L50" s="2">
        <f t="shared" si="8"/>
        <v>-2798.3599999999997</v>
      </c>
      <c r="M50" s="2"/>
      <c r="N50" s="19">
        <f t="shared" si="9"/>
        <v>-0.70221981320043558</v>
      </c>
      <c r="O50" s="11"/>
      <c r="P50" s="2">
        <v>1234.55</v>
      </c>
      <c r="Q50" s="2"/>
      <c r="R50" s="19">
        <f t="shared" si="10"/>
        <v>9.6892264686043478E-4</v>
      </c>
      <c r="S50" s="2"/>
      <c r="T50" s="2">
        <v>4262.51</v>
      </c>
      <c r="U50" s="2"/>
      <c r="V50" s="19">
        <f t="shared" si="11"/>
        <v>1.9013651511038438E-3</v>
      </c>
      <c r="W50" s="2"/>
      <c r="X50" s="2">
        <f t="shared" si="12"/>
        <v>-3027.96</v>
      </c>
      <c r="Y50" s="2"/>
      <c r="Z50" s="19">
        <f t="shared" si="13"/>
        <v>-0.71037018094972204</v>
      </c>
    </row>
    <row r="51" spans="1:26" s="24" customFormat="1" hidden="1" outlineLevel="1" x14ac:dyDescent="0.25">
      <c r="A51" s="44"/>
      <c r="B51" s="11" t="str">
        <f>CONCATENATE("          ", "5504", " - ", "FREIGHT-IN-DIGITAL TEXT")</f>
        <v xml:space="preserve">          5504 - FREIGHT-IN-DIGITAL TEXT</v>
      </c>
      <c r="C51" s="11"/>
      <c r="D51" s="2"/>
      <c r="E51" s="2"/>
      <c r="F51" s="19">
        <f t="shared" si="6"/>
        <v>0</v>
      </c>
      <c r="G51" s="2"/>
      <c r="H51" s="2">
        <v>7.03</v>
      </c>
      <c r="I51" s="2"/>
      <c r="J51" s="19">
        <f t="shared" si="7"/>
        <v>3.2702505719484488E-6</v>
      </c>
      <c r="K51" s="2"/>
      <c r="L51" s="2">
        <f t="shared" si="8"/>
        <v>-7.03</v>
      </c>
      <c r="M51" s="2"/>
      <c r="N51" s="19">
        <f t="shared" si="9"/>
        <v>-1</v>
      </c>
      <c r="O51" s="11"/>
      <c r="P51" s="2"/>
      <c r="Q51" s="2"/>
      <c r="R51" s="19">
        <f t="shared" si="10"/>
        <v>0</v>
      </c>
      <c r="S51" s="2"/>
      <c r="T51" s="2">
        <v>7.03</v>
      </c>
      <c r="U51" s="2"/>
      <c r="V51" s="19">
        <f t="shared" si="11"/>
        <v>3.1358511797649791E-6</v>
      </c>
      <c r="W51" s="2"/>
      <c r="X51" s="2">
        <f t="shared" si="12"/>
        <v>-7.03</v>
      </c>
      <c r="Y51" s="2"/>
      <c r="Z51" s="19">
        <f t="shared" si="13"/>
        <v>-1</v>
      </c>
    </row>
    <row r="52" spans="1:26" x14ac:dyDescent="0.25">
      <c r="A52" s="9"/>
      <c r="B52" s="10"/>
      <c r="C52" s="10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O52" s="10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x14ac:dyDescent="0.25">
      <c r="A53" s="10"/>
      <c r="B53" s="26" t="s">
        <v>6</v>
      </c>
      <c r="C53" s="26"/>
      <c r="D53" s="22">
        <f>D12-D38</f>
        <v>333746.50000000012</v>
      </c>
      <c r="E53" s="13"/>
      <c r="F53" s="21">
        <f>IF(D$12=0,0,D53/D$12)</f>
        <v>0.27219979607678463</v>
      </c>
      <c r="G53" s="13"/>
      <c r="H53" s="22">
        <f>H12-H38</f>
        <v>588031.04000000097</v>
      </c>
      <c r="I53" s="13"/>
      <c r="J53" s="21">
        <f>IF(H$12=0,0,H53/H$12)</f>
        <v>0.27354322117829932</v>
      </c>
      <c r="K53" s="16"/>
      <c r="L53" s="22">
        <f>+D53-H53</f>
        <v>-254284.54000000085</v>
      </c>
      <c r="M53" s="16"/>
      <c r="N53" s="21">
        <f>IF(H53=0,0,L53/H53)</f>
        <v>-0.43243387287854812</v>
      </c>
      <c r="O53" s="25"/>
      <c r="P53" s="22">
        <f>P12-P38</f>
        <v>350967.7799999998</v>
      </c>
      <c r="Q53" s="13"/>
      <c r="R53" s="21">
        <f>IF(P$12=0,0,P53/P$12)</f>
        <v>0.27545310466188538</v>
      </c>
      <c r="S53" s="13"/>
      <c r="T53" s="22">
        <f>T12-T38</f>
        <v>604173.17999999993</v>
      </c>
      <c r="U53" s="13"/>
      <c r="V53" s="21">
        <f>IF(T$12=0,0,T53/T$12)</f>
        <v>0.269501732473024</v>
      </c>
      <c r="W53" s="16"/>
      <c r="X53" s="22">
        <f>+P53-T53</f>
        <v>-253205.40000000014</v>
      </c>
      <c r="Y53" s="16"/>
      <c r="Z53" s="21">
        <f>IF(T53=0,0,X53/T53)</f>
        <v>-0.41909407498028989</v>
      </c>
    </row>
    <row r="54" spans="1:26" x14ac:dyDescent="0.25">
      <c r="A54" s="9"/>
      <c r="B54" s="10"/>
      <c r="C54" s="9"/>
      <c r="D54" s="1"/>
      <c r="E54" s="1"/>
      <c r="F54" s="5"/>
      <c r="G54" s="1"/>
      <c r="H54" s="1"/>
      <c r="I54" s="1"/>
      <c r="J54" s="5"/>
      <c r="K54" s="1"/>
      <c r="L54" s="1"/>
      <c r="M54" s="1"/>
      <c r="N54" s="5"/>
      <c r="O54" s="37"/>
      <c r="P54" s="1"/>
      <c r="Q54" s="1"/>
      <c r="R54" s="5"/>
      <c r="S54" s="1"/>
      <c r="T54" s="1"/>
      <c r="U54" s="1"/>
      <c r="V54" s="5"/>
      <c r="W54" s="1"/>
      <c r="X54" s="1"/>
      <c r="Y54" s="1"/>
      <c r="Z54" s="5"/>
    </row>
    <row r="55" spans="1:26" s="23" customFormat="1" x14ac:dyDescent="0.25">
      <c r="A55" s="10"/>
      <c r="B55" s="25" t="s">
        <v>9</v>
      </c>
      <c r="C55" s="10"/>
      <c r="D55" s="20">
        <f>SUM(OSRRefD22x_0)</f>
        <v>48390.540000000008</v>
      </c>
      <c r="E55" s="20"/>
      <c r="F55" s="35">
        <f t="shared" ref="F55:F65" si="14">IF(D$12=0,0,D55/D$12)</f>
        <v>3.9466766303303515E-2</v>
      </c>
      <c r="G55" s="20"/>
      <c r="H55" s="20">
        <f>SUM(OSRRefH22x_0)</f>
        <v>50645.710000000006</v>
      </c>
      <c r="I55" s="20"/>
      <c r="J55" s="35">
        <f t="shared" ref="J55:J65" si="15">IF(H$12=0,0,H55/H$12)</f>
        <v>2.3559624764471591E-2</v>
      </c>
      <c r="K55" s="4"/>
      <c r="L55" s="20">
        <f t="shared" ref="L55:L65" si="16">+D55-H55</f>
        <v>-2255.1699999999983</v>
      </c>
      <c r="M55" s="4"/>
      <c r="N55" s="35">
        <f t="shared" ref="N55:N65" si="17">IF(H55=0,0,L55/H55)</f>
        <v>-4.452835195715487E-2</v>
      </c>
      <c r="O55" s="10"/>
      <c r="P55" s="20">
        <f>SUM(OSRRefP22x_0)</f>
        <v>88534.650000000023</v>
      </c>
      <c r="Q55" s="20"/>
      <c r="R55" s="35">
        <f t="shared" ref="R55:R65" si="18">IF(P$12=0,0,P55/P$12)</f>
        <v>6.9485421746273715E-2</v>
      </c>
      <c r="S55" s="20"/>
      <c r="T55" s="20">
        <f>SUM(OSRRefT22x_0)</f>
        <v>93637.060000000027</v>
      </c>
      <c r="U55" s="20"/>
      <c r="V55" s="35">
        <f t="shared" ref="V55:V65" si="19">IF(T$12=0,0,T55/T$12)</f>
        <v>4.1768404704228199E-2</v>
      </c>
      <c r="W55" s="4"/>
      <c r="X55" s="20">
        <f t="shared" ref="X55:X65" si="20">+P55-T55</f>
        <v>-5102.4100000000035</v>
      </c>
      <c r="Y55" s="4"/>
      <c r="Z55" s="35">
        <f t="shared" ref="Z55:Z65" si="21">IF(T55=0,0,X55/T55)</f>
        <v>-5.4491352035187797E-2</v>
      </c>
    </row>
    <row r="56" spans="1:26" s="28" customFormat="1" outlineLevel="1" collapsed="1" x14ac:dyDescent="0.25">
      <c r="A56" s="27"/>
      <c r="B56" s="14" t="str">
        <f>CONCATENATE("     ","*Benefits                                         ")</f>
        <v xml:space="preserve">     *Benefits                                         </v>
      </c>
      <c r="C56" s="14"/>
      <c r="D56" s="1">
        <f>SUM(OSRRefD22_0x_0)</f>
        <v>10659.73</v>
      </c>
      <c r="E56" s="1"/>
      <c r="F56" s="5">
        <f t="shared" si="14"/>
        <v>8.6939528421528973E-3</v>
      </c>
      <c r="G56" s="1"/>
      <c r="H56" s="1">
        <f>SUM(OSRRefH22_0x_0)</f>
        <v>9693.15</v>
      </c>
      <c r="I56" s="1"/>
      <c r="J56" s="5">
        <f t="shared" si="15"/>
        <v>4.5091080130131014E-3</v>
      </c>
      <c r="K56" s="1"/>
      <c r="L56" s="1">
        <f t="shared" si="16"/>
        <v>966.57999999999993</v>
      </c>
      <c r="M56" s="1"/>
      <c r="N56" s="5">
        <f t="shared" si="17"/>
        <v>9.9717841981192906E-2</v>
      </c>
      <c r="O56" s="14"/>
      <c r="P56" s="1">
        <f>SUM(OSRRefP22_0x_0)</f>
        <v>21814.160000000003</v>
      </c>
      <c r="Q56" s="1"/>
      <c r="R56" s="5">
        <f t="shared" si="18"/>
        <v>1.7120597502115774E-2</v>
      </c>
      <c r="S56" s="1"/>
      <c r="T56" s="1">
        <f>SUM(OSRRefT22_0x_0)</f>
        <v>20919.760000000002</v>
      </c>
      <c r="U56" s="1"/>
      <c r="V56" s="5">
        <f t="shared" si="19"/>
        <v>9.3316150891038733E-3</v>
      </c>
      <c r="W56" s="1"/>
      <c r="X56" s="1">
        <f t="shared" si="20"/>
        <v>894.40000000000146</v>
      </c>
      <c r="Y56" s="1"/>
      <c r="Z56" s="5">
        <f t="shared" si="21"/>
        <v>4.2753836564090666E-2</v>
      </c>
    </row>
    <row r="57" spans="1:26" s="24" customFormat="1" hidden="1" outlineLevel="2" x14ac:dyDescent="0.25">
      <c r="A57" s="29"/>
      <c r="B57" s="11" t="str">
        <f>CONCATENATE("          ", "6111", " - ", "F.I.C.A.")</f>
        <v xml:space="preserve">          6111 - F.I.C.A.</v>
      </c>
      <c r="C57" s="11"/>
      <c r="D57" s="7">
        <v>2291.5500000000002</v>
      </c>
      <c r="E57" s="2"/>
      <c r="F57" s="6">
        <f t="shared" si="14"/>
        <v>1.8689617500101292E-3</v>
      </c>
      <c r="G57" s="2"/>
      <c r="H57" s="7">
        <v>1765.5</v>
      </c>
      <c r="I57" s="2"/>
      <c r="J57" s="6">
        <f t="shared" si="15"/>
        <v>8.2128412301208905E-4</v>
      </c>
      <c r="K57" s="2"/>
      <c r="L57" s="7">
        <f t="shared" si="16"/>
        <v>526.05000000000018</v>
      </c>
      <c r="M57" s="2"/>
      <c r="N57" s="6">
        <f t="shared" si="17"/>
        <v>0.29796091758708593</v>
      </c>
      <c r="O57" s="11"/>
      <c r="P57" s="7">
        <v>4094</v>
      </c>
      <c r="Q57" s="2"/>
      <c r="R57" s="6">
        <f t="shared" si="18"/>
        <v>3.2131297365409423E-3</v>
      </c>
      <c r="S57" s="2"/>
      <c r="T57" s="7">
        <v>3386.25</v>
      </c>
      <c r="U57" s="2"/>
      <c r="V57" s="6">
        <f t="shared" si="19"/>
        <v>1.5104944605233515E-3</v>
      </c>
      <c r="W57" s="2"/>
      <c r="X57" s="7">
        <f t="shared" si="20"/>
        <v>707.75</v>
      </c>
      <c r="Y57" s="2"/>
      <c r="Z57" s="6">
        <f t="shared" si="21"/>
        <v>0.20900701365817645</v>
      </c>
    </row>
    <row r="58" spans="1:26" s="24" customFormat="1" hidden="1" outlineLevel="2" x14ac:dyDescent="0.25">
      <c r="A58" s="29"/>
      <c r="B58" s="11" t="str">
        <f>CONCATENATE("          ", "6112", " - ", "COMPENSATION INSURANCE")</f>
        <v xml:space="preserve">          6112 - COMPENSATION INSURANCE</v>
      </c>
      <c r="C58" s="11"/>
      <c r="D58" s="7">
        <v>190.93</v>
      </c>
      <c r="E58" s="2"/>
      <c r="F58" s="6">
        <f t="shared" si="14"/>
        <v>1.557203058756885E-4</v>
      </c>
      <c r="G58" s="2"/>
      <c r="H58" s="7">
        <v>96.33</v>
      </c>
      <c r="I58" s="2"/>
      <c r="J58" s="6">
        <f t="shared" si="15"/>
        <v>4.4811271350753067E-5</v>
      </c>
      <c r="K58" s="2"/>
      <c r="L58" s="7">
        <f t="shared" si="16"/>
        <v>94.600000000000009</v>
      </c>
      <c r="M58" s="2"/>
      <c r="N58" s="6">
        <f t="shared" si="17"/>
        <v>0.98204090106924125</v>
      </c>
      <c r="O58" s="11"/>
      <c r="P58" s="7">
        <v>338.35</v>
      </c>
      <c r="Q58" s="2"/>
      <c r="R58" s="6">
        <f t="shared" si="18"/>
        <v>2.6555018230547825E-4</v>
      </c>
      <c r="S58" s="2"/>
      <c r="T58" s="7">
        <v>181.44</v>
      </c>
      <c r="U58" s="2"/>
      <c r="V58" s="6">
        <f t="shared" si="19"/>
        <v>8.0934400861530271E-5</v>
      </c>
      <c r="W58" s="2"/>
      <c r="X58" s="7">
        <f t="shared" si="20"/>
        <v>156.91000000000003</v>
      </c>
      <c r="Y58" s="2"/>
      <c r="Z58" s="6">
        <f t="shared" si="21"/>
        <v>0.86480379188712542</v>
      </c>
    </row>
    <row r="59" spans="1:26" s="24" customFormat="1" hidden="1" outlineLevel="2" x14ac:dyDescent="0.25">
      <c r="A59" s="29"/>
      <c r="B59" s="11" t="str">
        <f>CONCATENATE("          ", "6113", " - ", "GROUP INSURANCE")</f>
        <v xml:space="preserve">          6113 - GROUP INSURANCE</v>
      </c>
      <c r="C59" s="11"/>
      <c r="D59" s="7">
        <v>4114</v>
      </c>
      <c r="E59" s="2"/>
      <c r="F59" s="6">
        <f t="shared" si="14"/>
        <v>3.3553309504665715E-3</v>
      </c>
      <c r="G59" s="2"/>
      <c r="H59" s="7">
        <v>4168.57</v>
      </c>
      <c r="I59" s="2"/>
      <c r="J59" s="6">
        <f t="shared" si="15"/>
        <v>1.939156248464743E-3</v>
      </c>
      <c r="K59" s="2"/>
      <c r="L59" s="7">
        <f t="shared" si="16"/>
        <v>-54.569999999999709</v>
      </c>
      <c r="M59" s="2"/>
      <c r="N59" s="6">
        <f t="shared" si="17"/>
        <v>-1.3090820113372143E-2</v>
      </c>
      <c r="O59" s="11"/>
      <c r="P59" s="7">
        <v>8362.2099999999991</v>
      </c>
      <c r="Q59" s="2"/>
      <c r="R59" s="6">
        <f t="shared" si="18"/>
        <v>6.5629862272105592E-3</v>
      </c>
      <c r="S59" s="2"/>
      <c r="T59" s="7">
        <v>8337.14</v>
      </c>
      <c r="U59" s="2"/>
      <c r="V59" s="6">
        <f t="shared" si="19"/>
        <v>3.7189232297106397E-3</v>
      </c>
      <c r="W59" s="2"/>
      <c r="X59" s="7">
        <f t="shared" si="20"/>
        <v>25.069999999999709</v>
      </c>
      <c r="Y59" s="2"/>
      <c r="Z59" s="6">
        <f t="shared" si="21"/>
        <v>3.0070263903448557E-3</v>
      </c>
    </row>
    <row r="60" spans="1:26" s="24" customFormat="1" hidden="1" outlineLevel="2" x14ac:dyDescent="0.25">
      <c r="A60" s="29"/>
      <c r="B60" s="11" t="str">
        <f>CONCATENATE("          ", "6114", " - ", "STATE UNEMPLOYMENT INSURANCE")</f>
        <v xml:space="preserve">          6114 - STATE UNEMPLOYMENT INSURANCE</v>
      </c>
      <c r="C60" s="11"/>
      <c r="D60" s="7">
        <v>71.989999999999995</v>
      </c>
      <c r="E60" s="2"/>
      <c r="F60" s="6">
        <f t="shared" si="14"/>
        <v>5.871421369083336E-5</v>
      </c>
      <c r="G60" s="2"/>
      <c r="H60" s="7">
        <v>58.34</v>
      </c>
      <c r="I60" s="2"/>
      <c r="J60" s="6">
        <f t="shared" si="15"/>
        <v>2.7138893082144025E-5</v>
      </c>
      <c r="K60" s="2"/>
      <c r="L60" s="7">
        <f t="shared" si="16"/>
        <v>13.649999999999991</v>
      </c>
      <c r="M60" s="2"/>
      <c r="N60" s="6">
        <f t="shared" si="17"/>
        <v>0.23397326019883427</v>
      </c>
      <c r="O60" s="11"/>
      <c r="P60" s="7">
        <v>133.41999999999999</v>
      </c>
      <c r="Q60" s="2"/>
      <c r="R60" s="6">
        <f t="shared" si="18"/>
        <v>1.0471318257188385E-4</v>
      </c>
      <c r="S60" s="2"/>
      <c r="T60" s="7">
        <v>113.43</v>
      </c>
      <c r="U60" s="2"/>
      <c r="V60" s="6">
        <f t="shared" si="19"/>
        <v>5.0597382549180881E-5</v>
      </c>
      <c r="W60" s="2"/>
      <c r="X60" s="7">
        <f t="shared" si="20"/>
        <v>19.989999999999981</v>
      </c>
      <c r="Y60" s="2"/>
      <c r="Z60" s="6">
        <f t="shared" si="21"/>
        <v>0.17623203737988169</v>
      </c>
    </row>
    <row r="61" spans="1:26" s="24" customFormat="1" hidden="1" outlineLevel="2" x14ac:dyDescent="0.25">
      <c r="A61" s="29"/>
      <c r="B61" s="11" t="str">
        <f>CONCATENATE("          ", "6115", " - ", "P.E.R.S.")</f>
        <v xml:space="preserve">          6115 - P.E.R.S.</v>
      </c>
      <c r="C61" s="11"/>
      <c r="D61" s="7">
        <v>1480.2</v>
      </c>
      <c r="E61" s="2"/>
      <c r="F61" s="6">
        <f t="shared" si="14"/>
        <v>1.2072340478562515E-3</v>
      </c>
      <c r="G61" s="2"/>
      <c r="H61" s="7">
        <v>1325.86</v>
      </c>
      <c r="I61" s="2"/>
      <c r="J61" s="6">
        <f t="shared" si="15"/>
        <v>6.1677018823948356E-4</v>
      </c>
      <c r="K61" s="2"/>
      <c r="L61" s="7">
        <f t="shared" si="16"/>
        <v>154.34000000000015</v>
      </c>
      <c r="M61" s="2"/>
      <c r="N61" s="6">
        <f t="shared" si="17"/>
        <v>0.11640746383479414</v>
      </c>
      <c r="O61" s="11"/>
      <c r="P61" s="7">
        <v>3700.52</v>
      </c>
      <c r="Q61" s="2"/>
      <c r="R61" s="6">
        <f t="shared" si="18"/>
        <v>2.9043113953748137E-3</v>
      </c>
      <c r="S61" s="2"/>
      <c r="T61" s="7">
        <v>2651.72</v>
      </c>
      <c r="U61" s="2"/>
      <c r="V61" s="6">
        <f t="shared" si="19"/>
        <v>1.1828448492754466E-3</v>
      </c>
      <c r="W61" s="2"/>
      <c r="X61" s="7">
        <f t="shared" si="20"/>
        <v>1048.8000000000002</v>
      </c>
      <c r="Y61" s="2"/>
      <c r="Z61" s="6">
        <f t="shared" si="21"/>
        <v>0.39551687206794089</v>
      </c>
    </row>
    <row r="62" spans="1:26" s="24" customFormat="1" hidden="1" outlineLevel="2" x14ac:dyDescent="0.25">
      <c r="A62" s="29"/>
      <c r="B62" s="11" t="str">
        <f>CONCATENATE("          ", "6117", " - ", "RETIREMENT STAFF HOURLY")</f>
        <v xml:space="preserve">          6117 - RETIREMENT STAFF HOURLY</v>
      </c>
      <c r="C62" s="11"/>
      <c r="D62" s="7">
        <v>255.65</v>
      </c>
      <c r="E62" s="2"/>
      <c r="F62" s="6">
        <f t="shared" si="14"/>
        <v>2.0850519141632934E-4</v>
      </c>
      <c r="G62" s="2"/>
      <c r="H62" s="7">
        <v>94.68</v>
      </c>
      <c r="I62" s="2"/>
      <c r="J62" s="6">
        <f t="shared" si="15"/>
        <v>4.4043716095601583E-5</v>
      </c>
      <c r="K62" s="2"/>
      <c r="L62" s="7">
        <f t="shared" si="16"/>
        <v>160.97</v>
      </c>
      <c r="M62" s="2"/>
      <c r="N62" s="6">
        <f t="shared" si="17"/>
        <v>1.7001478664976764</v>
      </c>
      <c r="O62" s="11"/>
      <c r="P62" s="7">
        <v>588.79</v>
      </c>
      <c r="Q62" s="2"/>
      <c r="R62" s="6">
        <f t="shared" si="18"/>
        <v>4.6210519237370332E-4</v>
      </c>
      <c r="S62" s="2"/>
      <c r="T62" s="7">
        <v>315.37</v>
      </c>
      <c r="U62" s="2"/>
      <c r="V62" s="6">
        <f t="shared" si="19"/>
        <v>1.4067615740575838E-4</v>
      </c>
      <c r="W62" s="2"/>
      <c r="X62" s="7">
        <f t="shared" si="20"/>
        <v>273.41999999999996</v>
      </c>
      <c r="Y62" s="2"/>
      <c r="Z62" s="6">
        <f t="shared" si="21"/>
        <v>0.86698164061261362</v>
      </c>
    </row>
    <row r="63" spans="1:26" s="24" customFormat="1" hidden="1" outlineLevel="2" x14ac:dyDescent="0.25">
      <c r="A63" s="29"/>
      <c r="B63" s="11" t="str">
        <f>CONCATENATE("          ", "6118", " - ", "VACATION")</f>
        <v xml:space="preserve">          6118 - VACATION</v>
      </c>
      <c r="C63" s="11"/>
      <c r="D63" s="7">
        <v>942.5</v>
      </c>
      <c r="E63" s="2"/>
      <c r="F63" s="6">
        <f t="shared" si="14"/>
        <v>7.6869212951257739E-4</v>
      </c>
      <c r="G63" s="2"/>
      <c r="H63" s="7">
        <v>794.54</v>
      </c>
      <c r="I63" s="2"/>
      <c r="J63" s="6">
        <f t="shared" si="15"/>
        <v>3.6960809238064301E-4</v>
      </c>
      <c r="K63" s="2"/>
      <c r="L63" s="7">
        <f t="shared" si="16"/>
        <v>147.96000000000004</v>
      </c>
      <c r="M63" s="2"/>
      <c r="N63" s="6">
        <f t="shared" si="17"/>
        <v>0.1862209580386136</v>
      </c>
      <c r="O63" s="11"/>
      <c r="P63" s="7">
        <v>1910.31</v>
      </c>
      <c r="Q63" s="2"/>
      <c r="R63" s="6">
        <f t="shared" si="18"/>
        <v>1.4992852630707199E-3</v>
      </c>
      <c r="S63" s="2"/>
      <c r="T63" s="7">
        <v>2274.46</v>
      </c>
      <c r="U63" s="2"/>
      <c r="V63" s="6">
        <f t="shared" si="19"/>
        <v>1.0145616037451287E-3</v>
      </c>
      <c r="W63" s="2"/>
      <c r="X63" s="7">
        <f t="shared" si="20"/>
        <v>-364.15000000000009</v>
      </c>
      <c r="Y63" s="2"/>
      <c r="Z63" s="6">
        <f t="shared" si="21"/>
        <v>-0.16010393675861526</v>
      </c>
    </row>
    <row r="64" spans="1:26" s="24" customFormat="1" hidden="1" outlineLevel="2" x14ac:dyDescent="0.25">
      <c r="A64" s="29"/>
      <c r="B64" s="11" t="str">
        <f>CONCATENATE("          ", "6119", " - ", "SICK LEAVE")</f>
        <v xml:space="preserve">          6119 - SICK LEAVE</v>
      </c>
      <c r="C64" s="11"/>
      <c r="D64" s="7">
        <v>944.6</v>
      </c>
      <c r="E64" s="2"/>
      <c r="F64" s="6">
        <f t="shared" si="14"/>
        <v>7.7040486529186272E-4</v>
      </c>
      <c r="G64" s="2"/>
      <c r="H64" s="7">
        <v>801.74</v>
      </c>
      <c r="I64" s="2"/>
      <c r="J64" s="6">
        <f t="shared" si="15"/>
        <v>3.7295742440312222E-4</v>
      </c>
      <c r="K64" s="2"/>
      <c r="L64" s="7">
        <f t="shared" si="16"/>
        <v>142.86000000000001</v>
      </c>
      <c r="M64" s="2"/>
      <c r="N64" s="6">
        <f t="shared" si="17"/>
        <v>0.17818744231296932</v>
      </c>
      <c r="O64" s="11"/>
      <c r="P64" s="7">
        <v>1889.2</v>
      </c>
      <c r="Q64" s="2"/>
      <c r="R64" s="6">
        <f t="shared" si="18"/>
        <v>1.4827173176045795E-3</v>
      </c>
      <c r="S64" s="2"/>
      <c r="T64" s="7">
        <v>2512.2800000000002</v>
      </c>
      <c r="U64" s="2"/>
      <c r="V64" s="6">
        <f t="shared" si="19"/>
        <v>1.1206452634281597E-3</v>
      </c>
      <c r="W64" s="2"/>
      <c r="X64" s="7">
        <f t="shared" si="20"/>
        <v>-623.08000000000015</v>
      </c>
      <c r="Y64" s="2"/>
      <c r="Z64" s="6">
        <f t="shared" si="21"/>
        <v>-0.24801375642842363</v>
      </c>
    </row>
    <row r="65" spans="1:26" s="24" customFormat="1" hidden="1" outlineLevel="2" x14ac:dyDescent="0.25">
      <c r="A65" s="29"/>
      <c r="B65" s="11" t="str">
        <f>CONCATENATE("          ", "6156", " - ", "EMPLOYEE MEALS")</f>
        <v xml:space="preserve">          6156 - EMPLOYEE MEALS</v>
      </c>
      <c r="C65" s="11"/>
      <c r="D65" s="7">
        <v>368.31</v>
      </c>
      <c r="E65" s="2"/>
      <c r="F65" s="6">
        <f t="shared" si="14"/>
        <v>3.0038938803265503E-4</v>
      </c>
      <c r="G65" s="2"/>
      <c r="H65" s="7">
        <v>587.59</v>
      </c>
      <c r="I65" s="2"/>
      <c r="J65" s="6">
        <f t="shared" si="15"/>
        <v>2.733380559845219E-4</v>
      </c>
      <c r="K65" s="2"/>
      <c r="L65" s="7">
        <f t="shared" si="16"/>
        <v>-219.28000000000003</v>
      </c>
      <c r="M65" s="2"/>
      <c r="N65" s="6">
        <f t="shared" si="17"/>
        <v>-0.37318538436665022</v>
      </c>
      <c r="O65" s="11"/>
      <c r="P65" s="7">
        <v>797.36</v>
      </c>
      <c r="Q65" s="2"/>
      <c r="R65" s="6">
        <f t="shared" si="18"/>
        <v>6.2579900506308885E-4</v>
      </c>
      <c r="S65" s="2"/>
      <c r="T65" s="7">
        <v>1147.67</v>
      </c>
      <c r="U65" s="2"/>
      <c r="V65" s="6">
        <f t="shared" si="19"/>
        <v>5.1193774160467618E-4</v>
      </c>
      <c r="W65" s="2"/>
      <c r="X65" s="7">
        <f t="shared" si="20"/>
        <v>-350.31000000000006</v>
      </c>
      <c r="Y65" s="2"/>
      <c r="Z65" s="6">
        <f t="shared" si="21"/>
        <v>-0.30523582562931856</v>
      </c>
    </row>
    <row r="66" spans="1:26" s="28" customFormat="1" outlineLevel="1" collapsed="1" x14ac:dyDescent="0.25">
      <c r="A66" s="27"/>
      <c r="B66" s="14" t="str">
        <f>CONCATENATE("     ","*Payroll                                          ")</f>
        <v xml:space="preserve">     *Payroll                                          </v>
      </c>
      <c r="C66" s="14"/>
      <c r="D66" s="1">
        <f>SUM(OSRRefD22_1x_0)</f>
        <v>35256.06</v>
      </c>
      <c r="E66" s="1"/>
      <c r="F66" s="5">
        <f t="shared" ref="F66:F72" si="22">IF(D$12=0,0,D66/D$12)</f>
        <v>2.8754435904109494E-2</v>
      </c>
      <c r="G66" s="1"/>
      <c r="H66" s="1">
        <f>SUM(OSRRefH22_1x_0)</f>
        <v>24469.840000000004</v>
      </c>
      <c r="I66" s="1"/>
      <c r="J66" s="5">
        <f t="shared" ref="J66:J72" si="23">IF(H$12=0,0,H66/H$12)</f>
        <v>1.1383002596797587E-2</v>
      </c>
      <c r="K66" s="1"/>
      <c r="L66" s="1">
        <f t="shared" ref="L66:L72" si="24">+D66-H66</f>
        <v>10786.219999999994</v>
      </c>
      <c r="M66" s="1"/>
      <c r="N66" s="5">
        <f t="shared" ref="N66:N72" si="25">IF(H66=0,0,L66/H66)</f>
        <v>0.4407965070470421</v>
      </c>
      <c r="O66" s="14"/>
      <c r="P66" s="1">
        <f>SUM(OSRRefP22_1x_0)</f>
        <v>64557.290000000008</v>
      </c>
      <c r="Q66" s="1"/>
      <c r="R66" s="5">
        <f t="shared" ref="R66:R72" si="26">IF(P$12=0,0,P66/P$12)</f>
        <v>5.0667061116144906E-2</v>
      </c>
      <c r="S66" s="1"/>
      <c r="T66" s="1">
        <f>SUM(OSRRefT22_1x_0)</f>
        <v>50543.15</v>
      </c>
      <c r="U66" s="1"/>
      <c r="V66" s="5">
        <f t="shared" ref="V66:V72" si="27">IF(T$12=0,0,T66/T$12)</f>
        <v>2.2545632511598621E-2</v>
      </c>
      <c r="W66" s="1"/>
      <c r="X66" s="1">
        <f t="shared" ref="X66:X72" si="28">+P66-T66</f>
        <v>14014.140000000007</v>
      </c>
      <c r="Y66" s="1"/>
      <c r="Z66" s="5">
        <f t="shared" ref="Z66:Z72" si="29">IF(T66=0,0,X66/T66)</f>
        <v>0.27727080722115671</v>
      </c>
    </row>
    <row r="67" spans="1:26" s="24" customFormat="1" hidden="1" outlineLevel="2" x14ac:dyDescent="0.25">
      <c r="A67" s="29"/>
      <c r="B67" s="11" t="str">
        <f>CONCATENATE("          ", "6001", " - ", "ADMINISTRATIVE SALARIES")</f>
        <v xml:space="preserve">          6001 - ADMINISTRATIVE SALARIES</v>
      </c>
      <c r="C67" s="11"/>
      <c r="D67" s="7"/>
      <c r="E67" s="2"/>
      <c r="F67" s="6">
        <f t="shared" si="22"/>
        <v>0</v>
      </c>
      <c r="G67" s="2"/>
      <c r="H67" s="7"/>
      <c r="I67" s="2"/>
      <c r="J67" s="6">
        <f t="shared" si="23"/>
        <v>0</v>
      </c>
      <c r="K67" s="2"/>
      <c r="L67" s="7">
        <f t="shared" si="24"/>
        <v>0</v>
      </c>
      <c r="M67" s="2"/>
      <c r="N67" s="6">
        <f t="shared" si="25"/>
        <v>0</v>
      </c>
      <c r="O67" s="11"/>
      <c r="P67" s="7">
        <v>-311.32</v>
      </c>
      <c r="Q67" s="2"/>
      <c r="R67" s="6">
        <f t="shared" si="26"/>
        <v>-2.4433599159255648E-4</v>
      </c>
      <c r="S67" s="2"/>
      <c r="T67" s="7"/>
      <c r="U67" s="2"/>
      <c r="V67" s="6">
        <f t="shared" si="27"/>
        <v>0</v>
      </c>
      <c r="W67" s="2"/>
      <c r="X67" s="7">
        <f t="shared" si="28"/>
        <v>-311.32</v>
      </c>
      <c r="Y67" s="2"/>
      <c r="Z67" s="6">
        <f t="shared" si="29"/>
        <v>0</v>
      </c>
    </row>
    <row r="68" spans="1:26" s="24" customFormat="1" hidden="1" outlineLevel="2" x14ac:dyDescent="0.25">
      <c r="A68" s="29"/>
      <c r="B68" s="11" t="str">
        <f>CONCATENATE("          ", "6002", " - ", "STAFF SALARIES")</f>
        <v xml:space="preserve">          6002 - STAFF SALARIES</v>
      </c>
      <c r="C68" s="11"/>
      <c r="D68" s="7">
        <v>14705.64</v>
      </c>
      <c r="E68" s="2"/>
      <c r="F68" s="6">
        <f t="shared" si="22"/>
        <v>1.1993750373947308E-2</v>
      </c>
      <c r="G68" s="2"/>
      <c r="H68" s="7">
        <v>14272.87</v>
      </c>
      <c r="I68" s="2"/>
      <c r="J68" s="6">
        <f t="shared" si="23"/>
        <v>6.6395250755115019E-3</v>
      </c>
      <c r="K68" s="2"/>
      <c r="L68" s="7">
        <f t="shared" si="24"/>
        <v>432.76999999999862</v>
      </c>
      <c r="M68" s="2"/>
      <c r="N68" s="6">
        <f t="shared" si="25"/>
        <v>3.0321161756535202E-2</v>
      </c>
      <c r="O68" s="11"/>
      <c r="P68" s="7">
        <v>33135.4</v>
      </c>
      <c r="Q68" s="2"/>
      <c r="R68" s="6">
        <f t="shared" si="26"/>
        <v>2.6005945059154555E-2</v>
      </c>
      <c r="S68" s="2"/>
      <c r="T68" s="7">
        <v>31902.230000000003</v>
      </c>
      <c r="U68" s="2"/>
      <c r="V68" s="6">
        <f t="shared" si="27"/>
        <v>1.4230532799805649E-2</v>
      </c>
      <c r="W68" s="2"/>
      <c r="X68" s="7">
        <f t="shared" si="28"/>
        <v>1233.1699999999983</v>
      </c>
      <c r="Y68" s="2"/>
      <c r="Z68" s="6">
        <f t="shared" si="29"/>
        <v>3.865466457987414E-2</v>
      </c>
    </row>
    <row r="69" spans="1:26" s="24" customFormat="1" hidden="1" outlineLevel="2" x14ac:dyDescent="0.25">
      <c r="A69" s="29"/>
      <c r="B69" s="11" t="str">
        <f>CONCATENATE("          ", "6004", " - ", "STAFF HOURLY")</f>
        <v xml:space="preserve">          6004 - STAFF HOURLY</v>
      </c>
      <c r="C69" s="11"/>
      <c r="D69" s="7">
        <v>6665.13</v>
      </c>
      <c r="E69" s="2"/>
      <c r="F69" s="6">
        <f t="shared" si="22"/>
        <v>5.4360031545656927E-3</v>
      </c>
      <c r="G69" s="2"/>
      <c r="H69" s="7">
        <v>2830.32</v>
      </c>
      <c r="I69" s="2"/>
      <c r="J69" s="6">
        <f t="shared" si="23"/>
        <v>1.3166224180365766E-3</v>
      </c>
      <c r="K69" s="2"/>
      <c r="L69" s="7">
        <f t="shared" si="24"/>
        <v>3834.81</v>
      </c>
      <c r="M69" s="2"/>
      <c r="N69" s="6">
        <f t="shared" si="25"/>
        <v>1.3549033324853725</v>
      </c>
      <c r="O69" s="11"/>
      <c r="P69" s="7">
        <v>12173.1</v>
      </c>
      <c r="Q69" s="2"/>
      <c r="R69" s="6">
        <f t="shared" si="26"/>
        <v>9.5539202725663276E-3</v>
      </c>
      <c r="S69" s="2"/>
      <c r="T69" s="7">
        <v>4836.25</v>
      </c>
      <c r="U69" s="2"/>
      <c r="V69" s="6">
        <f t="shared" si="27"/>
        <v>2.1572916455388875E-3</v>
      </c>
      <c r="W69" s="2"/>
      <c r="X69" s="7">
        <f t="shared" si="28"/>
        <v>7336.85</v>
      </c>
      <c r="Y69" s="2"/>
      <c r="Z69" s="6">
        <f t="shared" si="29"/>
        <v>1.5170535021969502</v>
      </c>
    </row>
    <row r="70" spans="1:26" s="24" customFormat="1" hidden="1" outlineLevel="2" x14ac:dyDescent="0.25">
      <c r="A70" s="29"/>
      <c r="B70" s="11" t="str">
        <f>CONCATENATE("          ", "6005", " - ", "TEMPORARY WAGES-HOURLY")</f>
        <v xml:space="preserve">          6005 - TEMPORARY WAGES-HOURLY</v>
      </c>
      <c r="C70" s="11"/>
      <c r="D70" s="7">
        <v>3708.03</v>
      </c>
      <c r="E70" s="2"/>
      <c r="F70" s="6">
        <f t="shared" si="22"/>
        <v>3.0242265007920663E-3</v>
      </c>
      <c r="G70" s="2"/>
      <c r="H70" s="7">
        <v>1476.95</v>
      </c>
      <c r="I70" s="2"/>
      <c r="J70" s="6">
        <f t="shared" si="23"/>
        <v>6.8705499036120362E-4</v>
      </c>
      <c r="K70" s="2"/>
      <c r="L70" s="7">
        <f t="shared" si="24"/>
        <v>2231.08</v>
      </c>
      <c r="M70" s="2"/>
      <c r="N70" s="6">
        <f t="shared" si="25"/>
        <v>1.510599546362436</v>
      </c>
      <c r="O70" s="11"/>
      <c r="P70" s="7">
        <v>5694.05</v>
      </c>
      <c r="Q70" s="2"/>
      <c r="R70" s="6">
        <f t="shared" si="26"/>
        <v>4.4689109370666712E-3</v>
      </c>
      <c r="S70" s="2"/>
      <c r="T70" s="7">
        <v>2669.35</v>
      </c>
      <c r="U70" s="2"/>
      <c r="V70" s="6">
        <f t="shared" si="27"/>
        <v>1.1907090109111872E-3</v>
      </c>
      <c r="W70" s="2"/>
      <c r="X70" s="7">
        <f t="shared" si="28"/>
        <v>3024.7000000000003</v>
      </c>
      <c r="Y70" s="2"/>
      <c r="Z70" s="6">
        <f t="shared" si="29"/>
        <v>1.133122295689962</v>
      </c>
    </row>
    <row r="71" spans="1:26" s="24" customFormat="1" hidden="1" outlineLevel="2" x14ac:dyDescent="0.25">
      <c r="A71" s="29"/>
      <c r="B71" s="11" t="str">
        <f>CONCATENATE("          ", "6006", " - ", "TEMPORARY PART TIME")</f>
        <v xml:space="preserve">          6006 - TEMPORARY PART TIME</v>
      </c>
      <c r="C71" s="11"/>
      <c r="D71" s="7"/>
      <c r="E71" s="2"/>
      <c r="F71" s="6">
        <f t="shared" si="22"/>
        <v>0</v>
      </c>
      <c r="G71" s="2"/>
      <c r="H71" s="7"/>
      <c r="I71" s="2"/>
      <c r="J71" s="6">
        <f t="shared" si="23"/>
        <v>0</v>
      </c>
      <c r="K71" s="2"/>
      <c r="L71" s="7">
        <f t="shared" si="24"/>
        <v>0</v>
      </c>
      <c r="M71" s="2"/>
      <c r="N71" s="6">
        <f t="shared" si="25"/>
        <v>0</v>
      </c>
      <c r="O71" s="11"/>
      <c r="P71" s="7">
        <v>502.29</v>
      </c>
      <c r="Q71" s="2"/>
      <c r="R71" s="6">
        <f t="shared" si="26"/>
        <v>3.9421664273745725E-4</v>
      </c>
      <c r="S71" s="2"/>
      <c r="T71" s="7"/>
      <c r="U71" s="2"/>
      <c r="V71" s="6">
        <f t="shared" si="27"/>
        <v>0</v>
      </c>
      <c r="W71" s="2"/>
      <c r="X71" s="7">
        <f t="shared" si="28"/>
        <v>502.29</v>
      </c>
      <c r="Y71" s="2"/>
      <c r="Z71" s="6">
        <f t="shared" si="29"/>
        <v>0</v>
      </c>
    </row>
    <row r="72" spans="1:26" s="24" customFormat="1" hidden="1" outlineLevel="2" x14ac:dyDescent="0.25">
      <c r="A72" s="29"/>
      <c r="B72" s="11" t="str">
        <f>CONCATENATE("          ", "6007", " - ", "STUDENT HOURLY")</f>
        <v xml:space="preserve">          6007 - STUDENT HOURLY</v>
      </c>
      <c r="C72" s="11"/>
      <c r="D72" s="7">
        <v>10177.26</v>
      </c>
      <c r="E72" s="2"/>
      <c r="F72" s="6">
        <f t="shared" si="22"/>
        <v>8.3004558748044285E-3</v>
      </c>
      <c r="G72" s="2"/>
      <c r="H72" s="7">
        <v>5889.7</v>
      </c>
      <c r="I72" s="2"/>
      <c r="J72" s="6">
        <f t="shared" si="23"/>
        <v>2.7398001128883039E-3</v>
      </c>
      <c r="K72" s="2"/>
      <c r="L72" s="7">
        <f t="shared" si="24"/>
        <v>4287.5600000000004</v>
      </c>
      <c r="M72" s="2"/>
      <c r="N72" s="6">
        <f t="shared" si="25"/>
        <v>0.72797595802842263</v>
      </c>
      <c r="O72" s="11"/>
      <c r="P72" s="7">
        <v>13363.77</v>
      </c>
      <c r="Q72" s="2"/>
      <c r="R72" s="6">
        <f t="shared" si="26"/>
        <v>1.0488404196212445E-2</v>
      </c>
      <c r="S72" s="2"/>
      <c r="T72" s="7">
        <v>11135.32</v>
      </c>
      <c r="U72" s="2"/>
      <c r="V72" s="6">
        <f t="shared" si="27"/>
        <v>4.9670990553428969E-3</v>
      </c>
      <c r="W72" s="2"/>
      <c r="X72" s="7">
        <f t="shared" si="28"/>
        <v>2228.4500000000007</v>
      </c>
      <c r="Y72" s="2"/>
      <c r="Z72" s="6">
        <f t="shared" si="29"/>
        <v>0.20012446880736259</v>
      </c>
    </row>
    <row r="73" spans="1:26" s="28" customFormat="1" outlineLevel="1" collapsed="1" x14ac:dyDescent="0.25">
      <c r="A73" s="27"/>
      <c r="B73" s="14" t="str">
        <f>CONCATENATE("     ","Advertising/Promo                                 ")</f>
        <v xml:space="preserve">     Advertising/Promo                                 </v>
      </c>
      <c r="C73" s="14"/>
      <c r="D73" s="1">
        <f>SUM(OSRRefD22_2x_0)</f>
        <v>109.98</v>
      </c>
      <c r="E73" s="1"/>
      <c r="F73" s="5">
        <f t="shared" ref="F73:F77" si="30">IF(D$12=0,0,D73/D$12)</f>
        <v>8.969841952657111E-5</v>
      </c>
      <c r="G73" s="1"/>
      <c r="H73" s="1">
        <f>SUM(OSRRefH22_2x_0)</f>
        <v>2905.19</v>
      </c>
      <c r="I73" s="1"/>
      <c r="J73" s="5">
        <f t="shared" ref="J73:J77" si="31">IF(H$12=0,0,H73/H$12)</f>
        <v>1.3514508192203291E-3</v>
      </c>
      <c r="K73" s="1"/>
      <c r="L73" s="1">
        <f t="shared" ref="L73:L77" si="32">+D73-H73</f>
        <v>-2795.21</v>
      </c>
      <c r="M73" s="1"/>
      <c r="N73" s="5">
        <f t="shared" ref="N73:N77" si="33">IF(H73=0,0,L73/H73)</f>
        <v>-0.9621436119496487</v>
      </c>
      <c r="O73" s="14"/>
      <c r="P73" s="1">
        <f>SUM(OSRRefP22_2x_0)</f>
        <v>1359.88</v>
      </c>
      <c r="Q73" s="1"/>
      <c r="R73" s="5">
        <f t="shared" ref="R73:R77" si="34">IF(P$12=0,0,P73/P$12)</f>
        <v>1.0672864841542004E-3</v>
      </c>
      <c r="S73" s="1"/>
      <c r="T73" s="1">
        <f>SUM(OSRRefT22_2x_0)</f>
        <v>2996.19</v>
      </c>
      <c r="U73" s="1"/>
      <c r="V73" s="5">
        <f t="shared" ref="V73:V77" si="35">IF(T$12=0,0,T73/T$12)</f>
        <v>1.3365015570839308E-3</v>
      </c>
      <c r="W73" s="1"/>
      <c r="X73" s="1">
        <f t="shared" ref="X73:X77" si="36">+P73-T73</f>
        <v>-1636.31</v>
      </c>
      <c r="Y73" s="1"/>
      <c r="Z73" s="5">
        <f t="shared" ref="Z73:Z77" si="37">IF(T73=0,0,X73/T73)</f>
        <v>-0.54613025208681687</v>
      </c>
    </row>
    <row r="74" spans="1:26" s="24" customFormat="1" hidden="1" outlineLevel="2" x14ac:dyDescent="0.25">
      <c r="A74" s="29"/>
      <c r="B74" s="11" t="str">
        <f>CONCATENATE("          ", "6362", " - ", "ADVERTISING EXPENSE")</f>
        <v xml:space="preserve">          6362 - ADVERTISING EXPENSE</v>
      </c>
      <c r="C74" s="11"/>
      <c r="D74" s="7">
        <v>109.98</v>
      </c>
      <c r="E74" s="2"/>
      <c r="F74" s="6">
        <f t="shared" si="30"/>
        <v>8.969841952657111E-5</v>
      </c>
      <c r="G74" s="2"/>
      <c r="H74" s="7">
        <v>2905.19</v>
      </c>
      <c r="I74" s="2"/>
      <c r="J74" s="6">
        <f t="shared" si="31"/>
        <v>1.3514508192203291E-3</v>
      </c>
      <c r="K74" s="2"/>
      <c r="L74" s="7">
        <f t="shared" si="32"/>
        <v>-2795.21</v>
      </c>
      <c r="M74" s="2"/>
      <c r="N74" s="6">
        <f t="shared" si="33"/>
        <v>-0.9621436119496487</v>
      </c>
      <c r="O74" s="11"/>
      <c r="P74" s="7">
        <v>1359.88</v>
      </c>
      <c r="Q74" s="2"/>
      <c r="R74" s="6">
        <f t="shared" si="34"/>
        <v>1.0672864841542004E-3</v>
      </c>
      <c r="S74" s="2"/>
      <c r="T74" s="7">
        <v>2996.19</v>
      </c>
      <c r="U74" s="2"/>
      <c r="V74" s="6">
        <f t="shared" si="35"/>
        <v>1.3365015570839308E-3</v>
      </c>
      <c r="W74" s="2"/>
      <c r="X74" s="7">
        <f t="shared" si="36"/>
        <v>-1636.31</v>
      </c>
      <c r="Y74" s="2"/>
      <c r="Z74" s="6">
        <f t="shared" si="37"/>
        <v>-0.54613025208681687</v>
      </c>
    </row>
    <row r="75" spans="1:26" s="28" customFormat="1" outlineLevel="1" collapsed="1" x14ac:dyDescent="0.25">
      <c r="A75" s="27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SUM(OSRRefD22_3x_0)</f>
        <v>0</v>
      </c>
      <c r="E75" s="1"/>
      <c r="F75" s="5">
        <f t="shared" si="30"/>
        <v>0</v>
      </c>
      <c r="G75" s="1"/>
      <c r="H75" s="1">
        <f>SUM(OSRRefH22_3x_0)</f>
        <v>4124.57</v>
      </c>
      <c r="I75" s="1"/>
      <c r="J75" s="5">
        <f t="shared" si="31"/>
        <v>1.9186881083273701E-3</v>
      </c>
      <c r="K75" s="1"/>
      <c r="L75" s="1">
        <f t="shared" si="32"/>
        <v>-4124.57</v>
      </c>
      <c r="M75" s="1"/>
      <c r="N75" s="5">
        <f t="shared" si="33"/>
        <v>-1</v>
      </c>
      <c r="O75" s="14"/>
      <c r="P75" s="1">
        <f>SUM(OSRRefP22_3x_0)</f>
        <v>0</v>
      </c>
      <c r="Q75" s="1"/>
      <c r="R75" s="5">
        <f t="shared" si="34"/>
        <v>0</v>
      </c>
      <c r="S75" s="1"/>
      <c r="T75" s="1">
        <f>SUM(OSRRefT22_3x_0)</f>
        <v>6633.48</v>
      </c>
      <c r="U75" s="1"/>
      <c r="V75" s="5">
        <f t="shared" si="35"/>
        <v>2.9589766833495578E-3</v>
      </c>
      <c r="W75" s="1"/>
      <c r="X75" s="1">
        <f t="shared" si="36"/>
        <v>-6633.48</v>
      </c>
      <c r="Y75" s="1"/>
      <c r="Z75" s="5">
        <f t="shared" si="37"/>
        <v>-1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30"/>
        <v>0</v>
      </c>
      <c r="G76" s="2"/>
      <c r="H76" s="7">
        <v>4547.3</v>
      </c>
      <c r="I76" s="2"/>
      <c r="J76" s="6">
        <f t="shared" si="31"/>
        <v>2.1153357646971809E-3</v>
      </c>
      <c r="K76" s="2"/>
      <c r="L76" s="7">
        <f t="shared" si="32"/>
        <v>-4547.3</v>
      </c>
      <c r="M76" s="2"/>
      <c r="N76" s="6">
        <f t="shared" si="33"/>
        <v>-1</v>
      </c>
      <c r="O76" s="11"/>
      <c r="P76" s="7"/>
      <c r="Q76" s="2"/>
      <c r="R76" s="6">
        <f t="shared" si="34"/>
        <v>0</v>
      </c>
      <c r="S76" s="2"/>
      <c r="T76" s="7">
        <v>7056.21</v>
      </c>
      <c r="U76" s="2"/>
      <c r="V76" s="6">
        <f t="shared" si="35"/>
        <v>3.1475425964679151E-3</v>
      </c>
      <c r="W76" s="2"/>
      <c r="X76" s="7">
        <f t="shared" si="36"/>
        <v>-7056.21</v>
      </c>
      <c r="Y76" s="2"/>
      <c r="Z76" s="6">
        <f t="shared" si="37"/>
        <v>-1</v>
      </c>
    </row>
    <row r="77" spans="1:26" s="24" customFormat="1" hidden="1" outlineLevel="2" x14ac:dyDescent="0.25">
      <c r="A77" s="29"/>
      <c r="B77" s="11" t="str">
        <f>CONCATENATE("          ", "9175", " - ", "EARNED DISCOUNTS")</f>
        <v xml:space="preserve">          9175 - EARNED DISCOUNTS</v>
      </c>
      <c r="C77" s="11"/>
      <c r="D77" s="7"/>
      <c r="E77" s="2"/>
      <c r="F77" s="6">
        <f t="shared" si="30"/>
        <v>0</v>
      </c>
      <c r="G77" s="2"/>
      <c r="H77" s="7">
        <v>-422.73</v>
      </c>
      <c r="I77" s="2"/>
      <c r="J77" s="6">
        <f t="shared" si="31"/>
        <v>-1.9664765636981049E-4</v>
      </c>
      <c r="K77" s="2"/>
      <c r="L77" s="7">
        <f t="shared" si="32"/>
        <v>422.73</v>
      </c>
      <c r="M77" s="2"/>
      <c r="N77" s="6">
        <f t="shared" si="33"/>
        <v>-1</v>
      </c>
      <c r="O77" s="11"/>
      <c r="P77" s="7"/>
      <c r="Q77" s="2"/>
      <c r="R77" s="6">
        <f t="shared" si="34"/>
        <v>0</v>
      </c>
      <c r="S77" s="2"/>
      <c r="T77" s="7">
        <v>-422.73</v>
      </c>
      <c r="U77" s="2"/>
      <c r="V77" s="6">
        <f t="shared" si="35"/>
        <v>-1.8856591311835699E-4</v>
      </c>
      <c r="W77" s="2"/>
      <c r="X77" s="7">
        <f t="shared" si="36"/>
        <v>422.73</v>
      </c>
      <c r="Y77" s="2"/>
      <c r="Z77" s="6">
        <f t="shared" si="37"/>
        <v>-1</v>
      </c>
    </row>
    <row r="78" spans="1:26" s="28" customFormat="1" outlineLevel="1" collapsed="1" x14ac:dyDescent="0.25">
      <c r="A78" s="27"/>
      <c r="B78" s="14" t="str">
        <f>CONCATENATE("     ","Employees' Appreciation                           ")</f>
        <v xml:space="preserve">     Employees' Appreciation                           </v>
      </c>
      <c r="C78" s="14"/>
      <c r="D78" s="1">
        <f>SUM(OSRRefD22_4x_0)</f>
        <v>0</v>
      </c>
      <c r="E78" s="1"/>
      <c r="F78" s="5">
        <f t="shared" ref="F78:F95" si="38">IF(D$12=0,0,D78/D$12)</f>
        <v>0</v>
      </c>
      <c r="G78" s="1"/>
      <c r="H78" s="1">
        <f>SUM(OSRRefH22_4x_0)</f>
        <v>0</v>
      </c>
      <c r="I78" s="1"/>
      <c r="J78" s="5">
        <f t="shared" ref="J78:J95" si="39">IF(H$12=0,0,H78/H$12)</f>
        <v>0</v>
      </c>
      <c r="K78" s="1"/>
      <c r="L78" s="1">
        <f t="shared" ref="L78:L95" si="40">+D78-H78</f>
        <v>0</v>
      </c>
      <c r="M78" s="1"/>
      <c r="N78" s="5">
        <f t="shared" ref="N78:N95" si="41">IF(H78=0,0,L78/H78)</f>
        <v>0</v>
      </c>
      <c r="O78" s="14"/>
      <c r="P78" s="1">
        <f>SUM(OSRRefP22_4x_0)</f>
        <v>107.7</v>
      </c>
      <c r="Q78" s="1"/>
      <c r="R78" s="5">
        <f t="shared" ref="R78:R95" si="42">IF(P$12=0,0,P78/P$12)</f>
        <v>8.4527130587557273E-5</v>
      </c>
      <c r="S78" s="1"/>
      <c r="T78" s="1">
        <f>SUM(OSRRefT22_4x_0)</f>
        <v>0</v>
      </c>
      <c r="U78" s="1"/>
      <c r="V78" s="5">
        <f t="shared" ref="V78:V95" si="43">IF(T$12=0,0,T78/T$12)</f>
        <v>0</v>
      </c>
      <c r="W78" s="1"/>
      <c r="X78" s="1">
        <f t="shared" ref="X78:X95" si="44">+P78-T78</f>
        <v>107.7</v>
      </c>
      <c r="Y78" s="1"/>
      <c r="Z78" s="5">
        <f t="shared" ref="Z78:Z95" si="45">IF(T78=0,0,X78/T78)</f>
        <v>0</v>
      </c>
    </row>
    <row r="79" spans="1:26" s="24" customFormat="1" hidden="1" outlineLevel="2" x14ac:dyDescent="0.25">
      <c r="A79" s="29"/>
      <c r="B79" s="11" t="str">
        <f>CONCATENATE("          ", "6277", " - ", "EMPLOYEE APPRECIATION")</f>
        <v xml:space="preserve">          6277 - EMPLOYEE APPRECIATION</v>
      </c>
      <c r="C79" s="11"/>
      <c r="D79" s="7"/>
      <c r="E79" s="2"/>
      <c r="F79" s="6">
        <f t="shared" si="38"/>
        <v>0</v>
      </c>
      <c r="G79" s="2"/>
      <c r="H79" s="7"/>
      <c r="I79" s="2"/>
      <c r="J79" s="6">
        <f t="shared" si="39"/>
        <v>0</v>
      </c>
      <c r="K79" s="2"/>
      <c r="L79" s="7">
        <f t="shared" si="40"/>
        <v>0</v>
      </c>
      <c r="M79" s="2"/>
      <c r="N79" s="6">
        <f t="shared" si="41"/>
        <v>0</v>
      </c>
      <c r="O79" s="11"/>
      <c r="P79" s="7">
        <v>107.7</v>
      </c>
      <c r="Q79" s="2"/>
      <c r="R79" s="6">
        <f t="shared" si="42"/>
        <v>8.4527130587557273E-5</v>
      </c>
      <c r="S79" s="2"/>
      <c r="T79" s="7"/>
      <c r="U79" s="2"/>
      <c r="V79" s="6">
        <f t="shared" si="43"/>
        <v>0</v>
      </c>
      <c r="W79" s="2"/>
      <c r="X79" s="7">
        <f t="shared" si="44"/>
        <v>107.7</v>
      </c>
      <c r="Y79" s="2"/>
      <c r="Z79" s="6">
        <f t="shared" si="45"/>
        <v>0</v>
      </c>
    </row>
    <row r="80" spans="1:26" s="28" customFormat="1" outlineLevel="1" collapsed="1" x14ac:dyDescent="0.25">
      <c r="A80" s="27"/>
      <c r="B80" s="14" t="str">
        <f>CONCATENATE("     ","Equipment Rental                                  ")</f>
        <v xml:space="preserve">     Equipment Rental                                  </v>
      </c>
      <c r="C80" s="14"/>
      <c r="D80" s="1">
        <f>SUM(OSRRefD22_5x_0)</f>
        <v>91.26</v>
      </c>
      <c r="E80" s="1"/>
      <c r="F80" s="5">
        <f t="shared" si="38"/>
        <v>7.443060343694198E-5</v>
      </c>
      <c r="G80" s="1"/>
      <c r="H80" s="1">
        <f>SUM(OSRRefH22_5x_0)</f>
        <v>91.26</v>
      </c>
      <c r="I80" s="1"/>
      <c r="J80" s="5">
        <f t="shared" si="39"/>
        <v>4.245278338492396E-5</v>
      </c>
      <c r="K80" s="1"/>
      <c r="L80" s="1">
        <f t="shared" si="40"/>
        <v>0</v>
      </c>
      <c r="M80" s="1"/>
      <c r="N80" s="5">
        <f t="shared" si="41"/>
        <v>0</v>
      </c>
      <c r="O80" s="14"/>
      <c r="P80" s="1">
        <f>SUM(OSRRefP22_5x_0)</f>
        <v>182.52</v>
      </c>
      <c r="Q80" s="1"/>
      <c r="R80" s="5">
        <f t="shared" si="42"/>
        <v>1.4324876392609985E-4</v>
      </c>
      <c r="S80" s="1"/>
      <c r="T80" s="1">
        <f>SUM(OSRRefT22_5x_0)</f>
        <v>182.52</v>
      </c>
      <c r="U80" s="1"/>
      <c r="V80" s="5">
        <f t="shared" si="43"/>
        <v>8.1416153247610817E-5</v>
      </c>
      <c r="W80" s="1"/>
      <c r="X80" s="1">
        <f t="shared" si="44"/>
        <v>0</v>
      </c>
      <c r="Y80" s="1"/>
      <c r="Z80" s="5">
        <f t="shared" si="45"/>
        <v>0</v>
      </c>
    </row>
    <row r="81" spans="1:26" s="24" customFormat="1" hidden="1" outlineLevel="2" x14ac:dyDescent="0.25">
      <c r="A81" s="29"/>
      <c r="B81" s="11" t="str">
        <f>CONCATENATE("          ", "6351", " - ", "EQUIPMENT RENTAL")</f>
        <v xml:space="preserve">          6351 - EQUIPMENT RENTAL</v>
      </c>
      <c r="C81" s="11"/>
      <c r="D81" s="7">
        <v>91.26</v>
      </c>
      <c r="E81" s="2"/>
      <c r="F81" s="6">
        <f t="shared" si="38"/>
        <v>7.443060343694198E-5</v>
      </c>
      <c r="G81" s="2"/>
      <c r="H81" s="7">
        <v>91.26</v>
      </c>
      <c r="I81" s="2"/>
      <c r="J81" s="6">
        <f t="shared" si="39"/>
        <v>4.245278338492396E-5</v>
      </c>
      <c r="K81" s="2"/>
      <c r="L81" s="7">
        <f t="shared" si="40"/>
        <v>0</v>
      </c>
      <c r="M81" s="2"/>
      <c r="N81" s="6">
        <f t="shared" si="41"/>
        <v>0</v>
      </c>
      <c r="O81" s="11"/>
      <c r="P81" s="7">
        <v>182.52</v>
      </c>
      <c r="Q81" s="2"/>
      <c r="R81" s="6">
        <f t="shared" si="42"/>
        <v>1.4324876392609985E-4</v>
      </c>
      <c r="S81" s="2"/>
      <c r="T81" s="7">
        <v>182.52</v>
      </c>
      <c r="U81" s="2"/>
      <c r="V81" s="6">
        <f t="shared" si="43"/>
        <v>8.1416153247610817E-5</v>
      </c>
      <c r="W81" s="2"/>
      <c r="X81" s="7">
        <f t="shared" si="44"/>
        <v>0</v>
      </c>
      <c r="Y81" s="2"/>
      <c r="Z81" s="6">
        <f t="shared" si="45"/>
        <v>0</v>
      </c>
    </row>
    <row r="82" spans="1:26" s="28" customFormat="1" outlineLevel="1" collapsed="1" x14ac:dyDescent="0.25">
      <c r="A82" s="27"/>
      <c r="B82" s="14" t="str">
        <f>CONCATENATE("     ","Freight out/Postage                               ")</f>
        <v xml:space="preserve">     Freight out/Postage                               </v>
      </c>
      <c r="C82" s="14"/>
      <c r="D82" s="1">
        <f>SUM(OSRRefD22_6x_0)</f>
        <v>333.31</v>
      </c>
      <c r="E82" s="1"/>
      <c r="F82" s="5">
        <f t="shared" si="38"/>
        <v>2.7184379171123305E-4</v>
      </c>
      <c r="G82" s="1"/>
      <c r="H82" s="1">
        <f>SUM(OSRRefH22_6x_0)</f>
        <v>299.74</v>
      </c>
      <c r="I82" s="1"/>
      <c r="J82" s="5">
        <f t="shared" si="39"/>
        <v>1.394345528358219E-4</v>
      </c>
      <c r="K82" s="1"/>
      <c r="L82" s="1">
        <f t="shared" si="40"/>
        <v>33.569999999999993</v>
      </c>
      <c r="M82" s="1"/>
      <c r="N82" s="5">
        <f t="shared" si="41"/>
        <v>0.11199706412223925</v>
      </c>
      <c r="O82" s="14"/>
      <c r="P82" s="1">
        <f>SUM(OSRRefP22_6x_0)</f>
        <v>500.81</v>
      </c>
      <c r="Q82" s="1"/>
      <c r="R82" s="5">
        <f t="shared" si="42"/>
        <v>3.9305508142576192E-4</v>
      </c>
      <c r="S82" s="1"/>
      <c r="T82" s="1">
        <f>SUM(OSRRefT22_6x_0)</f>
        <v>664.33</v>
      </c>
      <c r="U82" s="1"/>
      <c r="V82" s="5">
        <f t="shared" si="43"/>
        <v>2.9633570615266981E-4</v>
      </c>
      <c r="W82" s="1"/>
      <c r="X82" s="1">
        <f t="shared" si="44"/>
        <v>-163.52000000000004</v>
      </c>
      <c r="Y82" s="1"/>
      <c r="Z82" s="5">
        <f t="shared" si="45"/>
        <v>-0.24614273026959496</v>
      </c>
    </row>
    <row r="83" spans="1:26" s="24" customFormat="1" hidden="1" outlineLevel="2" x14ac:dyDescent="0.25">
      <c r="A83" s="29"/>
      <c r="B83" s="11" t="str">
        <f>CONCATENATE("          ", "6305", " - ", "FREIGHT OUT")</f>
        <v xml:space="preserve">          6305 - FREIGHT OUT</v>
      </c>
      <c r="C83" s="11"/>
      <c r="D83" s="7">
        <v>333.31</v>
      </c>
      <c r="E83" s="2"/>
      <c r="F83" s="6">
        <f t="shared" si="38"/>
        <v>2.7184379171123305E-4</v>
      </c>
      <c r="G83" s="2"/>
      <c r="H83" s="7">
        <v>299.74</v>
      </c>
      <c r="I83" s="2"/>
      <c r="J83" s="6">
        <f t="shared" si="39"/>
        <v>1.394345528358219E-4</v>
      </c>
      <c r="K83" s="2"/>
      <c r="L83" s="7">
        <f t="shared" si="40"/>
        <v>33.569999999999993</v>
      </c>
      <c r="M83" s="2"/>
      <c r="N83" s="6">
        <f t="shared" si="41"/>
        <v>0.11199706412223925</v>
      </c>
      <c r="O83" s="11"/>
      <c r="P83" s="7">
        <v>500.81</v>
      </c>
      <c r="Q83" s="2"/>
      <c r="R83" s="6">
        <f t="shared" si="42"/>
        <v>3.9305508142576192E-4</v>
      </c>
      <c r="S83" s="2"/>
      <c r="T83" s="7">
        <v>664.33</v>
      </c>
      <c r="U83" s="2"/>
      <c r="V83" s="6">
        <f t="shared" si="43"/>
        <v>2.9633570615266981E-4</v>
      </c>
      <c r="W83" s="2"/>
      <c r="X83" s="7">
        <f t="shared" si="44"/>
        <v>-163.52000000000004</v>
      </c>
      <c r="Y83" s="2"/>
      <c r="Z83" s="6">
        <f t="shared" si="45"/>
        <v>-0.24614273026959496</v>
      </c>
    </row>
    <row r="84" spans="1:26" s="28" customFormat="1" outlineLevel="1" collapsed="1" x14ac:dyDescent="0.25">
      <c r="A84" s="27"/>
      <c r="B84" s="14" t="str">
        <f>CONCATENATE("     ","General                                           ")</f>
        <v xml:space="preserve">     General                                           </v>
      </c>
      <c r="C84" s="14"/>
      <c r="D84" s="1">
        <f>SUM(OSRRefD22_7x_0)</f>
        <v>0</v>
      </c>
      <c r="E84" s="1"/>
      <c r="F84" s="5">
        <f t="shared" si="38"/>
        <v>0</v>
      </c>
      <c r="G84" s="1"/>
      <c r="H84" s="1">
        <f>SUM(OSRRefH22_7x_0)</f>
        <v>0</v>
      </c>
      <c r="I84" s="1"/>
      <c r="J84" s="5">
        <f t="shared" si="39"/>
        <v>0</v>
      </c>
      <c r="K84" s="1"/>
      <c r="L84" s="1">
        <f t="shared" si="40"/>
        <v>0</v>
      </c>
      <c r="M84" s="1"/>
      <c r="N84" s="5">
        <f t="shared" si="41"/>
        <v>0</v>
      </c>
      <c r="O84" s="14"/>
      <c r="P84" s="1">
        <f>SUM(OSRRefP22_7x_0)</f>
        <v>-4794.1899999999996</v>
      </c>
      <c r="Q84" s="1"/>
      <c r="R84" s="5">
        <f t="shared" si="42"/>
        <v>-3.7626659627814411E-3</v>
      </c>
      <c r="S84" s="1"/>
      <c r="T84" s="1">
        <f>SUM(OSRRefT22_7x_0)</f>
        <v>7.84</v>
      </c>
      <c r="U84" s="1"/>
      <c r="V84" s="5">
        <f t="shared" si="43"/>
        <v>3.4971654693253819E-6</v>
      </c>
      <c r="W84" s="1"/>
      <c r="X84" s="1">
        <f t="shared" si="44"/>
        <v>-4802.03</v>
      </c>
      <c r="Y84" s="1"/>
      <c r="Z84" s="5">
        <f t="shared" si="45"/>
        <v>-612.50382653061217</v>
      </c>
    </row>
    <row r="85" spans="1:26" s="24" customFormat="1" hidden="1" outlineLevel="2" x14ac:dyDescent="0.25">
      <c r="A85" s="29"/>
      <c r="B85" s="11" t="str">
        <f>CONCATENATE("          ", "6279", " - ", "GENERAL EXPENSE")</f>
        <v xml:space="preserve">          6279 - GENERAL EXPENSE</v>
      </c>
      <c r="C85" s="11"/>
      <c r="D85" s="7"/>
      <c r="E85" s="2"/>
      <c r="F85" s="6">
        <f t="shared" si="38"/>
        <v>0</v>
      </c>
      <c r="G85" s="2"/>
      <c r="H85" s="7"/>
      <c r="I85" s="2"/>
      <c r="J85" s="6">
        <f t="shared" si="39"/>
        <v>0</v>
      </c>
      <c r="K85" s="2"/>
      <c r="L85" s="7">
        <f t="shared" si="40"/>
        <v>0</v>
      </c>
      <c r="M85" s="2"/>
      <c r="N85" s="6">
        <f t="shared" si="41"/>
        <v>0</v>
      </c>
      <c r="O85" s="11"/>
      <c r="P85" s="7">
        <v>-4794.1899999999996</v>
      </c>
      <c r="Q85" s="2"/>
      <c r="R85" s="6">
        <f t="shared" si="42"/>
        <v>-3.7626659627814411E-3</v>
      </c>
      <c r="S85" s="2"/>
      <c r="T85" s="7">
        <v>7.84</v>
      </c>
      <c r="U85" s="2"/>
      <c r="V85" s="6">
        <f t="shared" si="43"/>
        <v>3.4971654693253819E-6</v>
      </c>
      <c r="W85" s="2"/>
      <c r="X85" s="7">
        <f t="shared" si="44"/>
        <v>-4802.03</v>
      </c>
      <c r="Y85" s="2"/>
      <c r="Z85" s="6">
        <f t="shared" si="45"/>
        <v>-612.50382653061217</v>
      </c>
    </row>
    <row r="86" spans="1:26" s="28" customFormat="1" outlineLevel="1" collapsed="1" x14ac:dyDescent="0.25">
      <c r="A86" s="27"/>
      <c r="B86" s="14" t="str">
        <f>CONCATENATE("     ","Inventory Adjustment                              ")</f>
        <v xml:space="preserve">     Inventory Adjustment                              </v>
      </c>
      <c r="C86" s="14"/>
      <c r="D86" s="1">
        <f>SUM(OSRRefD22_8x_0)</f>
        <v>1000</v>
      </c>
      <c r="E86" s="1"/>
      <c r="F86" s="5">
        <f t="shared" si="38"/>
        <v>8.1558846632634203E-4</v>
      </c>
      <c r="G86" s="1"/>
      <c r="H86" s="1">
        <f>SUM(OSRRefH22_8x_0)</f>
        <v>1000</v>
      </c>
      <c r="I86" s="1"/>
      <c r="J86" s="5">
        <f t="shared" si="39"/>
        <v>4.6518500312211217E-4</v>
      </c>
      <c r="K86" s="1"/>
      <c r="L86" s="1">
        <f t="shared" si="40"/>
        <v>0</v>
      </c>
      <c r="M86" s="1"/>
      <c r="N86" s="5">
        <f t="shared" si="41"/>
        <v>0</v>
      </c>
      <c r="O86" s="14"/>
      <c r="P86" s="1">
        <f>SUM(OSRRefP22_8x_0)</f>
        <v>2000</v>
      </c>
      <c r="Q86" s="1"/>
      <c r="R86" s="5">
        <f t="shared" si="42"/>
        <v>1.569677448236904E-3</v>
      </c>
      <c r="S86" s="1"/>
      <c r="T86" s="1">
        <f>SUM(OSRRefT22_8x_0)</f>
        <v>2000</v>
      </c>
      <c r="U86" s="1"/>
      <c r="V86" s="5">
        <f t="shared" si="43"/>
        <v>8.9213404829729134E-4</v>
      </c>
      <c r="W86" s="1"/>
      <c r="X86" s="1">
        <f t="shared" si="44"/>
        <v>0</v>
      </c>
      <c r="Y86" s="1"/>
      <c r="Z86" s="5">
        <f t="shared" si="45"/>
        <v>0</v>
      </c>
    </row>
    <row r="87" spans="1:26" s="24" customFormat="1" hidden="1" outlineLevel="2" x14ac:dyDescent="0.25">
      <c r="A87" s="29"/>
      <c r="B87" s="11" t="str">
        <f>CONCATENATE("          ", "6408", " - ", "INVENTORY ADJUSTMENT")</f>
        <v xml:space="preserve">          6408 - INVENTORY ADJUSTMENT</v>
      </c>
      <c r="C87" s="11"/>
      <c r="D87" s="7">
        <v>1000</v>
      </c>
      <c r="E87" s="2"/>
      <c r="F87" s="6">
        <f t="shared" si="38"/>
        <v>8.1558846632634203E-4</v>
      </c>
      <c r="G87" s="2"/>
      <c r="H87" s="7">
        <v>1000</v>
      </c>
      <c r="I87" s="2"/>
      <c r="J87" s="6">
        <f t="shared" si="39"/>
        <v>4.6518500312211217E-4</v>
      </c>
      <c r="K87" s="2"/>
      <c r="L87" s="7">
        <f t="shared" si="40"/>
        <v>0</v>
      </c>
      <c r="M87" s="2"/>
      <c r="N87" s="6">
        <f t="shared" si="41"/>
        <v>0</v>
      </c>
      <c r="O87" s="11"/>
      <c r="P87" s="7">
        <v>2000</v>
      </c>
      <c r="Q87" s="2"/>
      <c r="R87" s="6">
        <f t="shared" si="42"/>
        <v>1.569677448236904E-3</v>
      </c>
      <c r="S87" s="2"/>
      <c r="T87" s="7">
        <v>2000</v>
      </c>
      <c r="U87" s="2"/>
      <c r="V87" s="6">
        <f t="shared" si="43"/>
        <v>8.9213404829729134E-4</v>
      </c>
      <c r="W87" s="2"/>
      <c r="X87" s="7">
        <f t="shared" si="44"/>
        <v>0</v>
      </c>
      <c r="Y87" s="2"/>
      <c r="Z87" s="6">
        <f t="shared" si="45"/>
        <v>0</v>
      </c>
    </row>
    <row r="88" spans="1:26" s="28" customFormat="1" outlineLevel="1" collapsed="1" x14ac:dyDescent="0.25">
      <c r="A88" s="27"/>
      <c r="B88" s="14" t="str">
        <f>CONCATENATE("     ","Repair and Maintenance                            ")</f>
        <v xml:space="preserve">     Repair and Maintenance                            </v>
      </c>
      <c r="C88" s="14"/>
      <c r="D88" s="1">
        <f>SUM(OSRRefD22_9x_0)</f>
        <v>0</v>
      </c>
      <c r="E88" s="1"/>
      <c r="F88" s="5">
        <f t="shared" si="38"/>
        <v>0</v>
      </c>
      <c r="G88" s="1"/>
      <c r="H88" s="1">
        <f>SUM(OSRRefH22_9x_0)</f>
        <v>28.96</v>
      </c>
      <c r="I88" s="1"/>
      <c r="J88" s="5">
        <f t="shared" si="39"/>
        <v>1.347175769041637E-5</v>
      </c>
      <c r="K88" s="1"/>
      <c r="L88" s="1">
        <f t="shared" si="40"/>
        <v>-28.96</v>
      </c>
      <c r="M88" s="1"/>
      <c r="N88" s="5">
        <f t="shared" si="41"/>
        <v>-1</v>
      </c>
      <c r="O88" s="14"/>
      <c r="P88" s="1">
        <f>SUM(OSRRefP22_9x_0)</f>
        <v>22.86</v>
      </c>
      <c r="Q88" s="1"/>
      <c r="R88" s="5">
        <f t="shared" si="42"/>
        <v>1.7941413233347812E-5</v>
      </c>
      <c r="S88" s="1"/>
      <c r="T88" s="1">
        <f>SUM(OSRRefT22_9x_0)</f>
        <v>49.42</v>
      </c>
      <c r="U88" s="1"/>
      <c r="V88" s="5">
        <f t="shared" si="43"/>
        <v>2.204463233342607E-5</v>
      </c>
      <c r="W88" s="1"/>
      <c r="X88" s="1">
        <f t="shared" si="44"/>
        <v>-26.560000000000002</v>
      </c>
      <c r="Y88" s="1"/>
      <c r="Z88" s="5">
        <f t="shared" si="45"/>
        <v>-0.53743423715095107</v>
      </c>
    </row>
    <row r="89" spans="1:26" s="24" customFormat="1" hidden="1" outlineLevel="2" x14ac:dyDescent="0.25">
      <c r="A89" s="29"/>
      <c r="B89" s="11" t="str">
        <f>CONCATENATE("          ", "6373", " - ", "MAINTENANCE CONTRACTS")</f>
        <v xml:space="preserve">          6373 - MAINTENANCE CONTRACTS</v>
      </c>
      <c r="C89" s="11"/>
      <c r="D89" s="7"/>
      <c r="E89" s="2"/>
      <c r="F89" s="6">
        <f t="shared" si="38"/>
        <v>0</v>
      </c>
      <c r="G89" s="2"/>
      <c r="H89" s="7">
        <v>28.96</v>
      </c>
      <c r="I89" s="2"/>
      <c r="J89" s="6">
        <f t="shared" si="39"/>
        <v>1.347175769041637E-5</v>
      </c>
      <c r="K89" s="2"/>
      <c r="L89" s="7">
        <f t="shared" si="40"/>
        <v>-28.96</v>
      </c>
      <c r="M89" s="2"/>
      <c r="N89" s="6">
        <f t="shared" si="41"/>
        <v>-1</v>
      </c>
      <c r="O89" s="11"/>
      <c r="P89" s="7">
        <v>22.86</v>
      </c>
      <c r="Q89" s="2"/>
      <c r="R89" s="6">
        <f t="shared" si="42"/>
        <v>1.7941413233347812E-5</v>
      </c>
      <c r="S89" s="2"/>
      <c r="T89" s="7">
        <v>49.42</v>
      </c>
      <c r="U89" s="2"/>
      <c r="V89" s="6">
        <f t="shared" si="43"/>
        <v>2.204463233342607E-5</v>
      </c>
      <c r="W89" s="2"/>
      <c r="X89" s="7">
        <f t="shared" si="44"/>
        <v>-26.560000000000002</v>
      </c>
      <c r="Y89" s="2"/>
      <c r="Z89" s="6">
        <f t="shared" si="45"/>
        <v>-0.53743423715095107</v>
      </c>
    </row>
    <row r="90" spans="1:26" s="28" customFormat="1" outlineLevel="1" collapsed="1" x14ac:dyDescent="0.25">
      <c r="A90" s="27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SUM(OSRRefD22_10x_0)</f>
        <v>270</v>
      </c>
      <c r="E90" s="1"/>
      <c r="F90" s="5">
        <f t="shared" si="38"/>
        <v>2.2020888590811236E-4</v>
      </c>
      <c r="G90" s="1"/>
      <c r="H90" s="1">
        <f>SUM(OSRRefH22_10x_0)</f>
        <v>250</v>
      </c>
      <c r="I90" s="1"/>
      <c r="J90" s="5">
        <f t="shared" si="39"/>
        <v>1.1629625078052804E-4</v>
      </c>
      <c r="K90" s="1"/>
      <c r="L90" s="1">
        <f t="shared" si="40"/>
        <v>20</v>
      </c>
      <c r="M90" s="1"/>
      <c r="N90" s="5">
        <f t="shared" si="41"/>
        <v>0.08</v>
      </c>
      <c r="O90" s="14"/>
      <c r="P90" s="1">
        <f>SUM(OSRRefP22_10x_0)</f>
        <v>560</v>
      </c>
      <c r="Q90" s="1"/>
      <c r="R90" s="5">
        <f t="shared" si="42"/>
        <v>4.395096855063331E-4</v>
      </c>
      <c r="S90" s="1"/>
      <c r="T90" s="1">
        <f>SUM(OSRRefT22_10x_0)</f>
        <v>538.85</v>
      </c>
      <c r="U90" s="1"/>
      <c r="V90" s="5">
        <f t="shared" si="43"/>
        <v>2.4036321596249772E-4</v>
      </c>
      <c r="W90" s="1"/>
      <c r="X90" s="1">
        <f t="shared" si="44"/>
        <v>21.149999999999977</v>
      </c>
      <c r="Y90" s="1"/>
      <c r="Z90" s="5">
        <f t="shared" si="45"/>
        <v>3.925025517305368E-2</v>
      </c>
    </row>
    <row r="91" spans="1:26" s="24" customFormat="1" hidden="1" outlineLevel="2" x14ac:dyDescent="0.25">
      <c r="A91" s="29"/>
      <c r="B91" s="11" t="str">
        <f>CONCATENATE("          ", "6258", " - ", "MEMBERSHIP DUES")</f>
        <v xml:space="preserve">          6258 - MEMBERSHIP DUES</v>
      </c>
      <c r="C91" s="11"/>
      <c r="D91" s="7">
        <v>270</v>
      </c>
      <c r="E91" s="2"/>
      <c r="F91" s="6">
        <f t="shared" si="38"/>
        <v>2.2020888590811236E-4</v>
      </c>
      <c r="G91" s="2"/>
      <c r="H91" s="7">
        <v>250</v>
      </c>
      <c r="I91" s="2"/>
      <c r="J91" s="6">
        <f t="shared" si="39"/>
        <v>1.1629625078052804E-4</v>
      </c>
      <c r="K91" s="2"/>
      <c r="L91" s="7">
        <f t="shared" si="40"/>
        <v>20</v>
      </c>
      <c r="M91" s="2"/>
      <c r="N91" s="6">
        <f t="shared" si="41"/>
        <v>0.08</v>
      </c>
      <c r="O91" s="11"/>
      <c r="P91" s="7">
        <v>560</v>
      </c>
      <c r="Q91" s="2"/>
      <c r="R91" s="6">
        <f t="shared" si="42"/>
        <v>4.395096855063331E-4</v>
      </c>
      <c r="S91" s="2"/>
      <c r="T91" s="7">
        <v>538.85</v>
      </c>
      <c r="U91" s="2"/>
      <c r="V91" s="6">
        <f t="shared" si="43"/>
        <v>2.4036321596249772E-4</v>
      </c>
      <c r="W91" s="2"/>
      <c r="X91" s="7">
        <f t="shared" si="44"/>
        <v>21.149999999999977</v>
      </c>
      <c r="Y91" s="2"/>
      <c r="Z91" s="6">
        <f t="shared" si="45"/>
        <v>3.925025517305368E-2</v>
      </c>
    </row>
    <row r="92" spans="1:26" s="28" customFormat="1" outlineLevel="1" collapsed="1" x14ac:dyDescent="0.25">
      <c r="A92" s="27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SUM(OSRRefD22_11x_0)</f>
        <v>197.4</v>
      </c>
      <c r="E92" s="1"/>
      <c r="F92" s="5">
        <f t="shared" si="38"/>
        <v>1.6099716325281992E-4</v>
      </c>
      <c r="G92" s="1"/>
      <c r="H92" s="1">
        <f>SUM(OSRRefH22_11x_0)</f>
        <v>6921.99</v>
      </c>
      <c r="I92" s="1"/>
      <c r="J92" s="5">
        <f t="shared" si="39"/>
        <v>3.2200059397612291E-3</v>
      </c>
      <c r="K92" s="1"/>
      <c r="L92" s="1">
        <f t="shared" si="40"/>
        <v>-6724.59</v>
      </c>
      <c r="M92" s="1"/>
      <c r="N92" s="5">
        <f t="shared" si="41"/>
        <v>-0.97148218937039788</v>
      </c>
      <c r="O92" s="14"/>
      <c r="P92" s="1">
        <f>SUM(OSRRefP22_11x_0)</f>
        <v>990.16000000000008</v>
      </c>
      <c r="Q92" s="1"/>
      <c r="R92" s="5">
        <f t="shared" si="42"/>
        <v>7.7711591107312644E-4</v>
      </c>
      <c r="S92" s="1"/>
      <c r="T92" s="1">
        <f>SUM(OSRRefT22_11x_0)</f>
        <v>7199.55</v>
      </c>
      <c r="U92" s="1"/>
      <c r="V92" s="5">
        <f t="shared" si="43"/>
        <v>3.2114818437093818E-3</v>
      </c>
      <c r="W92" s="1"/>
      <c r="X92" s="1">
        <f t="shared" si="44"/>
        <v>-6209.39</v>
      </c>
      <c r="Y92" s="1"/>
      <c r="Z92" s="5">
        <f t="shared" si="45"/>
        <v>-0.86246918210165913</v>
      </c>
    </row>
    <row r="93" spans="1:26" s="24" customFormat="1" hidden="1" outlineLevel="2" x14ac:dyDescent="0.25">
      <c r="A93" s="29"/>
      <c r="B93" s="11" t="str">
        <f>CONCATENATE("          ", "6241", " - ", "OFFICE EXPENSE")</f>
        <v xml:space="preserve">          6241 - OFFICE EXPENSE</v>
      </c>
      <c r="C93" s="11"/>
      <c r="D93" s="7">
        <v>197.4</v>
      </c>
      <c r="E93" s="2"/>
      <c r="F93" s="6">
        <f t="shared" si="38"/>
        <v>1.6099716325281992E-4</v>
      </c>
      <c r="G93" s="2"/>
      <c r="H93" s="7">
        <v>1943.91</v>
      </c>
      <c r="I93" s="2"/>
      <c r="J93" s="6">
        <f t="shared" si="39"/>
        <v>9.0427777941910509E-4</v>
      </c>
      <c r="K93" s="2"/>
      <c r="L93" s="7">
        <f t="shared" si="40"/>
        <v>-1746.51</v>
      </c>
      <c r="M93" s="2"/>
      <c r="N93" s="6">
        <f t="shared" si="41"/>
        <v>-0.89845208883127303</v>
      </c>
      <c r="O93" s="11"/>
      <c r="P93" s="7">
        <v>357.06</v>
      </c>
      <c r="Q93" s="2"/>
      <c r="R93" s="6">
        <f t="shared" si="42"/>
        <v>2.8023451483373448E-4</v>
      </c>
      <c r="S93" s="2"/>
      <c r="T93" s="7">
        <v>2205.08</v>
      </c>
      <c r="U93" s="2"/>
      <c r="V93" s="6">
        <f t="shared" si="43"/>
        <v>9.8361347360969567E-4</v>
      </c>
      <c r="W93" s="2"/>
      <c r="X93" s="7">
        <f t="shared" si="44"/>
        <v>-1848.02</v>
      </c>
      <c r="Y93" s="2"/>
      <c r="Z93" s="6">
        <f t="shared" si="45"/>
        <v>-0.83807390208065013</v>
      </c>
    </row>
    <row r="94" spans="1:26" s="24" customFormat="1" hidden="1" outlineLevel="2" x14ac:dyDescent="0.25">
      <c r="A94" s="29"/>
      <c r="B94" s="11" t="str">
        <f>CONCATENATE("          ", "6245", " - ", "PRINTING")</f>
        <v xml:space="preserve">          6245 - PRINTING</v>
      </c>
      <c r="C94" s="11"/>
      <c r="D94" s="7"/>
      <c r="E94" s="2"/>
      <c r="F94" s="6">
        <f t="shared" si="38"/>
        <v>0</v>
      </c>
      <c r="G94" s="2"/>
      <c r="H94" s="7">
        <v>4978.08</v>
      </c>
      <c r="I94" s="2"/>
      <c r="J94" s="6">
        <f t="shared" si="39"/>
        <v>2.3157281603421241E-3</v>
      </c>
      <c r="K94" s="2"/>
      <c r="L94" s="7">
        <f t="shared" si="40"/>
        <v>-4978.08</v>
      </c>
      <c r="M94" s="2"/>
      <c r="N94" s="6">
        <f t="shared" si="41"/>
        <v>-1</v>
      </c>
      <c r="O94" s="11"/>
      <c r="P94" s="7"/>
      <c r="Q94" s="2"/>
      <c r="R94" s="6">
        <f t="shared" si="42"/>
        <v>0</v>
      </c>
      <c r="S94" s="2"/>
      <c r="T94" s="7">
        <v>4978.08</v>
      </c>
      <c r="U94" s="2"/>
      <c r="V94" s="6">
        <f t="shared" si="43"/>
        <v>2.22055733157389E-3</v>
      </c>
      <c r="W94" s="2"/>
      <c r="X94" s="7">
        <f t="shared" si="44"/>
        <v>-4978.08</v>
      </c>
      <c r="Y94" s="2"/>
      <c r="Z94" s="6">
        <f t="shared" si="45"/>
        <v>-1</v>
      </c>
    </row>
    <row r="95" spans="1:26" s="24" customFormat="1" hidden="1" outlineLevel="2" x14ac:dyDescent="0.25">
      <c r="A95" s="29"/>
      <c r="B95" s="11" t="str">
        <f>CONCATENATE("          ", "6247", " - ", "STORE SUPPLIES")</f>
        <v xml:space="preserve">          6247 - STORE SUPPLIES</v>
      </c>
      <c r="C95" s="11"/>
      <c r="D95" s="7"/>
      <c r="E95" s="2"/>
      <c r="F95" s="6">
        <f t="shared" si="38"/>
        <v>0</v>
      </c>
      <c r="G95" s="2"/>
      <c r="H95" s="7"/>
      <c r="I95" s="2"/>
      <c r="J95" s="6">
        <f t="shared" si="39"/>
        <v>0</v>
      </c>
      <c r="K95" s="2"/>
      <c r="L95" s="7">
        <f t="shared" si="40"/>
        <v>0</v>
      </c>
      <c r="M95" s="2"/>
      <c r="N95" s="6">
        <f t="shared" si="41"/>
        <v>0</v>
      </c>
      <c r="O95" s="11"/>
      <c r="P95" s="7">
        <v>633.1</v>
      </c>
      <c r="Q95" s="2"/>
      <c r="R95" s="6">
        <f t="shared" si="42"/>
        <v>4.968813962393919E-4</v>
      </c>
      <c r="S95" s="2"/>
      <c r="T95" s="7">
        <v>16.39</v>
      </c>
      <c r="U95" s="2"/>
      <c r="V95" s="6">
        <f t="shared" si="43"/>
        <v>7.3110385257963031E-6</v>
      </c>
      <c r="W95" s="2"/>
      <c r="X95" s="7">
        <f t="shared" si="44"/>
        <v>616.71</v>
      </c>
      <c r="Y95" s="2"/>
      <c r="Z95" s="6">
        <f t="shared" si="45"/>
        <v>37.627211714460039</v>
      </c>
    </row>
    <row r="96" spans="1:26" s="28" customFormat="1" outlineLevel="1" collapsed="1" x14ac:dyDescent="0.25">
      <c r="A96" s="27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SUM(OSRRefD22_12x_0)</f>
        <v>472.8</v>
      </c>
      <c r="E96" s="1"/>
      <c r="F96" s="5">
        <f t="shared" ref="F96:F98" si="46">IF(D$12=0,0,D96/D$12)</f>
        <v>3.8561022687909455E-4</v>
      </c>
      <c r="G96" s="1"/>
      <c r="H96" s="1">
        <f>SUM(OSRRefH22_12x_0)</f>
        <v>830.15</v>
      </c>
      <c r="I96" s="1"/>
      <c r="J96" s="5">
        <f t="shared" ref="J96:J98" si="47">IF(H$12=0,0,H96/H$12)</f>
        <v>3.8617333034182141E-4</v>
      </c>
      <c r="K96" s="1"/>
      <c r="L96" s="1">
        <f t="shared" ref="L96:L98" si="48">+D96-H96</f>
        <v>-357.34999999999997</v>
      </c>
      <c r="M96" s="1"/>
      <c r="N96" s="5">
        <f t="shared" ref="N96:N98" si="49">IF(H96=0,0,L96/H96)</f>
        <v>-0.43046437390832981</v>
      </c>
      <c r="O96" s="14"/>
      <c r="P96" s="1">
        <f>SUM(OSRRefP22_12x_0)</f>
        <v>1233.3</v>
      </c>
      <c r="Q96" s="1"/>
      <c r="R96" s="5">
        <f t="shared" ref="R96:R98" si="50">IF(P$12=0,0,P96/P$12)</f>
        <v>9.6794159845528679E-4</v>
      </c>
      <c r="S96" s="1"/>
      <c r="T96" s="1">
        <f>SUM(OSRRefT22_12x_0)</f>
        <v>1354.5</v>
      </c>
      <c r="U96" s="1"/>
      <c r="V96" s="5">
        <f t="shared" ref="V96:V98" si="51">IF(T$12=0,0,T96/T$12)</f>
        <v>6.0419778420934059E-4</v>
      </c>
      <c r="W96" s="1"/>
      <c r="X96" s="1">
        <f t="shared" ref="X96:X98" si="52">+P96-T96</f>
        <v>-121.20000000000005</v>
      </c>
      <c r="Y96" s="1"/>
      <c r="Z96" s="5">
        <f t="shared" ref="Z96:Z98" si="53">IF(T96=0,0,X96/T96)</f>
        <v>-8.9479512735326727E-2</v>
      </c>
    </row>
    <row r="97" spans="1:26" s="24" customFormat="1" hidden="1" outlineLevel="2" x14ac:dyDescent="0.25">
      <c r="A97" s="29"/>
      <c r="B97" s="11" t="str">
        <f>CONCATENATE("          ", "6303", " - ", "DATA PHONE LINES")</f>
        <v xml:space="preserve">          6303 - DATA PHONE LINES</v>
      </c>
      <c r="C97" s="11"/>
      <c r="D97" s="7"/>
      <c r="E97" s="2"/>
      <c r="F97" s="6">
        <f t="shared" si="46"/>
        <v>0</v>
      </c>
      <c r="G97" s="2"/>
      <c r="H97" s="7">
        <v>295</v>
      </c>
      <c r="I97" s="2"/>
      <c r="J97" s="6">
        <f t="shared" si="47"/>
        <v>1.3722957592102308E-4</v>
      </c>
      <c r="K97" s="2"/>
      <c r="L97" s="7">
        <f t="shared" si="48"/>
        <v>-295</v>
      </c>
      <c r="M97" s="2"/>
      <c r="N97" s="6">
        <f t="shared" si="49"/>
        <v>-1</v>
      </c>
      <c r="O97" s="11"/>
      <c r="P97" s="7">
        <v>295</v>
      </c>
      <c r="Q97" s="2"/>
      <c r="R97" s="6">
        <f t="shared" si="50"/>
        <v>2.3152742361494332E-4</v>
      </c>
      <c r="S97" s="2"/>
      <c r="T97" s="7">
        <v>590</v>
      </c>
      <c r="U97" s="2"/>
      <c r="V97" s="6">
        <f t="shared" si="51"/>
        <v>2.6317954424770094E-4</v>
      </c>
      <c r="W97" s="2"/>
      <c r="X97" s="7">
        <f t="shared" si="52"/>
        <v>-295</v>
      </c>
      <c r="Y97" s="2"/>
      <c r="Z97" s="6">
        <f t="shared" si="53"/>
        <v>-0.5</v>
      </c>
    </row>
    <row r="98" spans="1:26" s="24" customFormat="1" hidden="1" outlineLevel="2" x14ac:dyDescent="0.25">
      <c r="A98" s="29"/>
      <c r="B98" s="11" t="str">
        <f>CONCATENATE("          ", "6309", " - ", "TELEPHONE")</f>
        <v xml:space="preserve">          6309 - TELEPHONE</v>
      </c>
      <c r="C98" s="11"/>
      <c r="D98" s="7">
        <v>472.8</v>
      </c>
      <c r="E98" s="2"/>
      <c r="F98" s="6">
        <f t="shared" si="46"/>
        <v>3.8561022687909455E-4</v>
      </c>
      <c r="G98" s="2"/>
      <c r="H98" s="7">
        <v>535.15</v>
      </c>
      <c r="I98" s="2"/>
      <c r="J98" s="6">
        <f t="shared" si="47"/>
        <v>2.489437544207983E-4</v>
      </c>
      <c r="K98" s="2"/>
      <c r="L98" s="7">
        <f t="shared" si="48"/>
        <v>-62.349999999999966</v>
      </c>
      <c r="M98" s="2"/>
      <c r="N98" s="6">
        <f t="shared" si="49"/>
        <v>-0.11650938989068479</v>
      </c>
      <c r="O98" s="11"/>
      <c r="P98" s="7">
        <v>938.3</v>
      </c>
      <c r="Q98" s="2"/>
      <c r="R98" s="6">
        <f t="shared" si="50"/>
        <v>7.3641417484034339E-4</v>
      </c>
      <c r="S98" s="2"/>
      <c r="T98" s="7">
        <v>764.5</v>
      </c>
      <c r="U98" s="2"/>
      <c r="V98" s="6">
        <f t="shared" si="51"/>
        <v>3.410182399616396E-4</v>
      </c>
      <c r="W98" s="2"/>
      <c r="X98" s="7">
        <f t="shared" si="52"/>
        <v>173.79999999999995</v>
      </c>
      <c r="Y98" s="2"/>
      <c r="Z98" s="6">
        <f t="shared" si="53"/>
        <v>0.22733812949640281</v>
      </c>
    </row>
    <row r="99" spans="1:26" s="28" customFormat="1" outlineLevel="1" collapsed="1" x14ac:dyDescent="0.25">
      <c r="A99" s="27"/>
      <c r="B99" s="14" t="str">
        <f>CONCATENATE("     ","Training                                          ")</f>
        <v xml:space="preserve">     Training                                          </v>
      </c>
      <c r="C99" s="14"/>
      <c r="D99" s="1">
        <f>SUM(OSRRefD22_13x_0)</f>
        <v>0</v>
      </c>
      <c r="E99" s="1"/>
      <c r="F99" s="5">
        <f t="shared" ref="F99:F102" si="54">IF(D$12=0,0,D99/D$12)</f>
        <v>0</v>
      </c>
      <c r="G99" s="1"/>
      <c r="H99" s="1">
        <f>SUM(OSRRefH22_13x_0)</f>
        <v>30.86</v>
      </c>
      <c r="I99" s="1"/>
      <c r="J99" s="5">
        <f t="shared" ref="J99:J102" si="55">IF(H$12=0,0,H99/H$12)</f>
        <v>1.4355609196348381E-5</v>
      </c>
      <c r="K99" s="1"/>
      <c r="L99" s="1">
        <f t="shared" ref="L99:L102" si="56">+D99-H99</f>
        <v>-30.86</v>
      </c>
      <c r="M99" s="1"/>
      <c r="N99" s="5">
        <f t="shared" ref="N99:N102" si="57">IF(H99=0,0,L99/H99)</f>
        <v>-1</v>
      </c>
      <c r="O99" s="14"/>
      <c r="P99" s="1">
        <f>SUM(OSRRefP22_13x_0)</f>
        <v>0</v>
      </c>
      <c r="Q99" s="1"/>
      <c r="R99" s="5">
        <f t="shared" ref="R99:R102" si="58">IF(P$12=0,0,P99/P$12)</f>
        <v>0</v>
      </c>
      <c r="S99" s="1"/>
      <c r="T99" s="1">
        <f>SUM(OSRRefT22_13x_0)</f>
        <v>547.47</v>
      </c>
      <c r="U99" s="1"/>
      <c r="V99" s="5">
        <f t="shared" ref="V99:V102" si="59">IF(T$12=0,0,T99/T$12)</f>
        <v>2.4420831371065906E-4</v>
      </c>
      <c r="W99" s="1"/>
      <c r="X99" s="1">
        <f t="shared" ref="X99:X102" si="60">+P99-T99</f>
        <v>-547.47</v>
      </c>
      <c r="Y99" s="1"/>
      <c r="Z99" s="5">
        <f t="shared" ref="Z99:Z102" si="61">IF(T99=0,0,X99/T99)</f>
        <v>-1</v>
      </c>
    </row>
    <row r="100" spans="1:26" s="24" customFormat="1" hidden="1" outlineLevel="2" x14ac:dyDescent="0.25">
      <c r="A100" s="29"/>
      <c r="B100" s="11" t="str">
        <f>CONCATENATE("          ", "6376", " - ", "TRAINING")</f>
        <v xml:space="preserve">          6376 - TRAINING</v>
      </c>
      <c r="C100" s="11"/>
      <c r="D100" s="7"/>
      <c r="E100" s="2"/>
      <c r="F100" s="6">
        <f t="shared" si="54"/>
        <v>0</v>
      </c>
      <c r="G100" s="2"/>
      <c r="H100" s="7">
        <v>30.86</v>
      </c>
      <c r="I100" s="2"/>
      <c r="J100" s="6">
        <f t="shared" si="55"/>
        <v>1.4355609196348381E-5</v>
      </c>
      <c r="K100" s="2"/>
      <c r="L100" s="7">
        <f t="shared" si="56"/>
        <v>-30.86</v>
      </c>
      <c r="M100" s="2"/>
      <c r="N100" s="6">
        <f t="shared" si="57"/>
        <v>-1</v>
      </c>
      <c r="O100" s="11"/>
      <c r="P100" s="7"/>
      <c r="Q100" s="2"/>
      <c r="R100" s="6">
        <f t="shared" si="58"/>
        <v>0</v>
      </c>
      <c r="S100" s="2"/>
      <c r="T100" s="7">
        <v>547.47</v>
      </c>
      <c r="U100" s="2"/>
      <c r="V100" s="6">
        <f t="shared" si="59"/>
        <v>2.4420831371065906E-4</v>
      </c>
      <c r="W100" s="2"/>
      <c r="X100" s="7">
        <f t="shared" si="60"/>
        <v>-547.47</v>
      </c>
      <c r="Y100" s="2"/>
      <c r="Z100" s="6">
        <f t="shared" si="61"/>
        <v>-1</v>
      </c>
    </row>
    <row r="101" spans="1:26" s="28" customFormat="1" outlineLevel="1" collapsed="1" x14ac:dyDescent="0.25">
      <c r="A101" s="27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SUM(OSRRefD22_14x_0)</f>
        <v>0</v>
      </c>
      <c r="E101" s="1"/>
      <c r="F101" s="5">
        <f t="shared" si="54"/>
        <v>0</v>
      </c>
      <c r="G101" s="1"/>
      <c r="H101" s="1">
        <f>SUM(OSRRefH22_14x_0)</f>
        <v>0</v>
      </c>
      <c r="I101" s="1"/>
      <c r="J101" s="5">
        <f t="shared" si="55"/>
        <v>0</v>
      </c>
      <c r="K101" s="1"/>
      <c r="L101" s="1">
        <f t="shared" si="56"/>
        <v>0</v>
      </c>
      <c r="M101" s="1"/>
      <c r="N101" s="5">
        <f t="shared" si="57"/>
        <v>0</v>
      </c>
      <c r="O101" s="14"/>
      <c r="P101" s="1">
        <f>SUM(OSRRefP22_14x_0)</f>
        <v>0.16</v>
      </c>
      <c r="Q101" s="1"/>
      <c r="R101" s="5">
        <f t="shared" si="58"/>
        <v>1.2557419585895232E-7</v>
      </c>
      <c r="S101" s="1"/>
      <c r="T101" s="1">
        <f>SUM(OSRRefT22_14x_0)</f>
        <v>0</v>
      </c>
      <c r="U101" s="1"/>
      <c r="V101" s="5">
        <f t="shared" si="59"/>
        <v>0</v>
      </c>
      <c r="W101" s="1"/>
      <c r="X101" s="1">
        <f t="shared" si="60"/>
        <v>0.16</v>
      </c>
      <c r="Y101" s="1"/>
      <c r="Z101" s="5">
        <f t="shared" si="61"/>
        <v>0</v>
      </c>
    </row>
    <row r="102" spans="1:26" s="24" customFormat="1" hidden="1" outlineLevel="2" x14ac:dyDescent="0.25">
      <c r="A102" s="29"/>
      <c r="B102" s="11" t="str">
        <f>CONCATENATE("          ", "6292", " - ", "TRAVEL/CONFERENCE")</f>
        <v xml:space="preserve">          6292 - TRAVEL/CONFERENCE</v>
      </c>
      <c r="C102" s="11"/>
      <c r="D102" s="7"/>
      <c r="E102" s="2"/>
      <c r="F102" s="6">
        <f t="shared" si="54"/>
        <v>0</v>
      </c>
      <c r="G102" s="2"/>
      <c r="H102" s="7"/>
      <c r="I102" s="2"/>
      <c r="J102" s="6">
        <f t="shared" si="55"/>
        <v>0</v>
      </c>
      <c r="K102" s="2"/>
      <c r="L102" s="7">
        <f t="shared" si="56"/>
        <v>0</v>
      </c>
      <c r="M102" s="2"/>
      <c r="N102" s="6">
        <f t="shared" si="57"/>
        <v>0</v>
      </c>
      <c r="O102" s="11"/>
      <c r="P102" s="7">
        <v>0.16</v>
      </c>
      <c r="Q102" s="2"/>
      <c r="R102" s="6">
        <f t="shared" si="58"/>
        <v>1.2557419585895232E-7</v>
      </c>
      <c r="S102" s="2"/>
      <c r="T102" s="7"/>
      <c r="U102" s="2"/>
      <c r="V102" s="6">
        <f t="shared" si="59"/>
        <v>0</v>
      </c>
      <c r="W102" s="2"/>
      <c r="X102" s="7">
        <f t="shared" si="60"/>
        <v>0.16</v>
      </c>
      <c r="Y102" s="2"/>
      <c r="Z102" s="6">
        <f t="shared" si="61"/>
        <v>0</v>
      </c>
    </row>
    <row r="103" spans="1:26" s="52" customFormat="1" x14ac:dyDescent="0.25">
      <c r="A103" s="37"/>
      <c r="B103" s="37"/>
      <c r="C103" s="37"/>
      <c r="D103" s="1"/>
      <c r="E103" s="1"/>
      <c r="F103" s="5"/>
      <c r="G103" s="1"/>
      <c r="H103" s="1"/>
      <c r="I103" s="1"/>
      <c r="J103" s="5"/>
      <c r="K103" s="1"/>
      <c r="L103" s="1"/>
      <c r="M103" s="1"/>
      <c r="N103" s="5"/>
      <c r="O103" s="37"/>
      <c r="P103" s="1"/>
      <c r="Q103" s="1"/>
      <c r="R103" s="5"/>
      <c r="S103" s="1"/>
      <c r="T103" s="1"/>
      <c r="U103" s="1"/>
      <c r="V103" s="5"/>
      <c r="W103" s="1"/>
      <c r="X103" s="1"/>
      <c r="Y103" s="1"/>
      <c r="Z103" s="5"/>
    </row>
    <row r="104" spans="1:26" s="23" customFormat="1" collapsed="1" x14ac:dyDescent="0.25">
      <c r="A104" s="10"/>
      <c r="B104" s="25" t="s">
        <v>0</v>
      </c>
      <c r="C104" s="10"/>
      <c r="D104" s="4">
        <f>SUM(OSRRefD25x_0)</f>
        <v>1890.48</v>
      </c>
      <c r="E104" s="4"/>
      <c r="F104" s="12">
        <f t="shared" ref="F104:F106" si="62">IF(D$12=0,0,D104/D$12)</f>
        <v>1.5418536838206231E-3</v>
      </c>
      <c r="G104" s="4"/>
      <c r="H104" s="4">
        <f>SUM(OSRRefH25x_0)</f>
        <v>1899.3400000000001</v>
      </c>
      <c r="I104" s="4"/>
      <c r="J104" s="12">
        <f t="shared" ref="J104:J106" si="63">IF(H$12=0,0,H104/H$12)</f>
        <v>8.8354448382995266E-4</v>
      </c>
      <c r="K104" s="4"/>
      <c r="L104" s="4">
        <f t="shared" ref="L104:L106" si="64">+D104-H104</f>
        <v>-8.8600000000001273</v>
      </c>
      <c r="M104" s="4"/>
      <c r="N104" s="12">
        <f t="shared" ref="N104:N106" si="65">IF(H104=0,0,L104/H104)</f>
        <v>-4.6647782914065556E-3</v>
      </c>
      <c r="O104" s="10"/>
      <c r="P104" s="4">
        <f>SUM(OSRRefP25x_0)</f>
        <v>3947.41</v>
      </c>
      <c r="Q104" s="4"/>
      <c r="R104" s="12">
        <f t="shared" ref="R104:R106" si="66">IF(P$12=0,0,P104/P$12)</f>
        <v>3.0980802279724183E-3</v>
      </c>
      <c r="S104" s="4"/>
      <c r="T104" s="4">
        <f>SUM(OSRRefT25x_0)</f>
        <v>2326.1</v>
      </c>
      <c r="U104" s="4"/>
      <c r="V104" s="12">
        <f t="shared" ref="V104:V106" si="67">IF(T$12=0,0,T104/T$12)</f>
        <v>1.0375965048721647E-3</v>
      </c>
      <c r="W104" s="4"/>
      <c r="X104" s="4">
        <f t="shared" ref="X104:X106" si="68">+P104-T104</f>
        <v>1621.31</v>
      </c>
      <c r="Y104" s="4"/>
      <c r="Z104" s="12">
        <f t="shared" ref="Z104:Z106" si="69">IF(T104=0,0,X104/T104)</f>
        <v>0.69700786724560426</v>
      </c>
    </row>
    <row r="105" spans="1:26" s="24" customFormat="1" hidden="1" outlineLevel="1" x14ac:dyDescent="0.25">
      <c r="A105" s="44"/>
      <c r="B105" s="11" t="str">
        <f>CONCATENATE("          ", "9150", " - ", "MISC. INCOME")</f>
        <v xml:space="preserve">          9150 - MISC. INCOME</v>
      </c>
      <c r="C105" s="11"/>
      <c r="D105" s="2">
        <f>--1818.48</f>
        <v>1818.48</v>
      </c>
      <c r="E105" s="2"/>
      <c r="F105" s="19">
        <f t="shared" si="62"/>
        <v>1.4831313142451266E-3</v>
      </c>
      <c r="G105" s="2"/>
      <c r="H105" s="2">
        <f>--1891.91</f>
        <v>1891.91</v>
      </c>
      <c r="I105" s="2"/>
      <c r="J105" s="19">
        <f t="shared" si="63"/>
        <v>8.8008815925675525E-4</v>
      </c>
      <c r="K105" s="2"/>
      <c r="L105" s="2">
        <f t="shared" si="64"/>
        <v>-73.430000000000064</v>
      </c>
      <c r="M105" s="2"/>
      <c r="N105" s="19">
        <f t="shared" si="65"/>
        <v>-3.88126285076986E-2</v>
      </c>
      <c r="O105" s="11"/>
      <c r="P105" s="2">
        <f>--2401.02</f>
        <v>2401.02</v>
      </c>
      <c r="Q105" s="2"/>
      <c r="R105" s="19">
        <f t="shared" si="66"/>
        <v>1.8844134733828856E-3</v>
      </c>
      <c r="S105" s="2"/>
      <c r="T105" s="2">
        <f>--2318.67</f>
        <v>2318.67</v>
      </c>
      <c r="U105" s="2"/>
      <c r="V105" s="19">
        <f t="shared" si="67"/>
        <v>1.0342822268827403E-3</v>
      </c>
      <c r="W105" s="2"/>
      <c r="X105" s="2">
        <f t="shared" si="68"/>
        <v>82.349999999999909</v>
      </c>
      <c r="Y105" s="2"/>
      <c r="Z105" s="19">
        <f t="shared" si="69"/>
        <v>3.551605014943908E-2</v>
      </c>
    </row>
    <row r="106" spans="1:26" s="24" customFormat="1" hidden="1" outlineLevel="1" x14ac:dyDescent="0.25">
      <c r="A106" s="44"/>
      <c r="B106" s="11" t="str">
        <f>CONCATENATE("          ", "9152", " - ", "MISC. INCOME")</f>
        <v xml:space="preserve">          9152 - MISC. INCOME</v>
      </c>
      <c r="C106" s="11"/>
      <c r="D106" s="2">
        <f>--72</f>
        <v>72</v>
      </c>
      <c r="E106" s="2"/>
      <c r="F106" s="19">
        <f t="shared" si="62"/>
        <v>5.8722369575496628E-5</v>
      </c>
      <c r="G106" s="2"/>
      <c r="H106" s="2">
        <f>--7.43</f>
        <v>7.43</v>
      </c>
      <c r="I106" s="2"/>
      <c r="J106" s="19">
        <f t="shared" si="63"/>
        <v>3.4563245731972934E-6</v>
      </c>
      <c r="K106" s="2"/>
      <c r="L106" s="2">
        <f t="shared" si="64"/>
        <v>64.569999999999993</v>
      </c>
      <c r="M106" s="2"/>
      <c r="N106" s="19">
        <f t="shared" si="65"/>
        <v>8.6904441453566612</v>
      </c>
      <c r="O106" s="11"/>
      <c r="P106" s="2">
        <f>--1546.39</f>
        <v>1546.39</v>
      </c>
      <c r="Q106" s="2"/>
      <c r="R106" s="19">
        <f t="shared" si="66"/>
        <v>1.213666754589533E-3</v>
      </c>
      <c r="S106" s="2"/>
      <c r="T106" s="2">
        <f>--7.43</f>
        <v>7.43</v>
      </c>
      <c r="U106" s="2"/>
      <c r="V106" s="19">
        <f t="shared" si="67"/>
        <v>3.3142779894244371E-6</v>
      </c>
      <c r="W106" s="2"/>
      <c r="X106" s="2">
        <f t="shared" si="68"/>
        <v>1538.96</v>
      </c>
      <c r="Y106" s="2"/>
      <c r="Z106" s="19">
        <f t="shared" si="69"/>
        <v>207.12786002691792</v>
      </c>
    </row>
    <row r="107" spans="1:26" x14ac:dyDescent="0.25">
      <c r="A107" s="9"/>
      <c r="B107" s="10"/>
      <c r="C107" s="10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O107" s="10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s="23" customFormat="1" x14ac:dyDescent="0.25">
      <c r="A108" s="10"/>
      <c r="B108" s="26" t="s">
        <v>3</v>
      </c>
      <c r="C108" s="26"/>
      <c r="D108" s="22">
        <f>+D53-D55+D104</f>
        <v>287246.44000000006</v>
      </c>
      <c r="E108" s="13"/>
      <c r="F108" s="21">
        <f>IF(D$12=0,0,D108/D$12)</f>
        <v>0.23427488345730169</v>
      </c>
      <c r="G108" s="13"/>
      <c r="H108" s="22">
        <f>+H53-H55+H104</f>
        <v>539284.67000000097</v>
      </c>
      <c r="I108" s="13"/>
      <c r="J108" s="21">
        <f>IF(H$12=0,0,H108/H$12)</f>
        <v>0.25086714089765771</v>
      </c>
      <c r="K108" s="16"/>
      <c r="L108" s="22">
        <f>+D108-H108</f>
        <v>-252038.23000000091</v>
      </c>
      <c r="M108" s="16"/>
      <c r="N108" s="21">
        <f>IF(H108=0,0,L108/H108)</f>
        <v>-0.46735656327853797</v>
      </c>
      <c r="O108" s="25"/>
      <c r="P108" s="22">
        <f>+P53-P55+P104</f>
        <v>266380.53999999975</v>
      </c>
      <c r="Q108" s="13"/>
      <c r="R108" s="21">
        <f>IF(P$12=0,0,P108/P$12)</f>
        <v>0.20906576314358405</v>
      </c>
      <c r="S108" s="13"/>
      <c r="T108" s="22">
        <f>+T53-T55+T104</f>
        <v>512862.21999999986</v>
      </c>
      <c r="U108" s="13"/>
      <c r="V108" s="21">
        <f>IF(T$12=0,0,T108/T$12)</f>
        <v>0.22877092427366796</v>
      </c>
      <c r="W108" s="16"/>
      <c r="X108" s="22">
        <f>+P108-T108</f>
        <v>-246481.68000000011</v>
      </c>
      <c r="Y108" s="16"/>
      <c r="Z108" s="21">
        <f>IF(T108=0,0,X108/T108)</f>
        <v>-0.48060018926720743</v>
      </c>
    </row>
    <row r="109" spans="1:26" x14ac:dyDescent="0.25">
      <c r="A109" s="9"/>
      <c r="B109" s="10"/>
      <c r="C109" s="9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25">
      <c r="A110" s="51"/>
      <c r="B110" s="10" t="s">
        <v>13</v>
      </c>
      <c r="C110" s="10"/>
      <c r="D110" s="4">
        <v>191648.44999999998</v>
      </c>
      <c r="E110" s="4"/>
      <c r="F110" s="12">
        <f>IF(D$12=0,0,D110/D$12)</f>
        <v>0.15630626540932063</v>
      </c>
      <c r="G110" s="4"/>
      <c r="H110" s="4">
        <v>260356.30000000002</v>
      </c>
      <c r="I110" s="4"/>
      <c r="J110" s="12">
        <f>IF(H$12=0,0,H110/H$12)</f>
        <v>0.12111384622836159</v>
      </c>
      <c r="K110" s="4"/>
      <c r="L110" s="4">
        <f>+D110-H110</f>
        <v>-68707.850000000035</v>
      </c>
      <c r="M110" s="4"/>
      <c r="N110" s="12">
        <f>IF(H110=0,0,L110/H110)</f>
        <v>-0.26389931797310084</v>
      </c>
      <c r="O110" s="10"/>
      <c r="P110" s="4">
        <v>215122.81</v>
      </c>
      <c r="Q110" s="4"/>
      <c r="R110" s="12">
        <f>IF(P$12=0,0,P110/P$12)</f>
        <v>0.16883671172917616</v>
      </c>
      <c r="S110" s="4"/>
      <c r="T110" s="4">
        <v>279513.50999999995</v>
      </c>
      <c r="U110" s="4"/>
      <c r="V110" s="12">
        <f>IF(T$12=0,0,T110/T$12)</f>
        <v>0.12468175961504269</v>
      </c>
      <c r="W110" s="4"/>
      <c r="X110" s="4">
        <f>+P110-T110</f>
        <v>-64390.699999999953</v>
      </c>
      <c r="Y110" s="4"/>
      <c r="Z110" s="12">
        <f>IF(T110=0,0,X110/T110)</f>
        <v>-0.23036704021927229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6" t="s">
        <v>4</v>
      </c>
      <c r="C112" s="26"/>
      <c r="D112" s="36">
        <f>+D108-D110</f>
        <v>95597.990000000078</v>
      </c>
      <c r="E112" s="13"/>
      <c r="F112" s="34">
        <f>IF(D$12=0,0,D112/D$12)</f>
        <v>7.7968618047981053E-2</v>
      </c>
      <c r="G112" s="13"/>
      <c r="H112" s="36">
        <f>+H108-H110</f>
        <v>278928.37000000093</v>
      </c>
      <c r="I112" s="13"/>
      <c r="J112" s="34">
        <f>IF(H$12=0,0,H112/H$12)</f>
        <v>0.12975329466929608</v>
      </c>
      <c r="K112" s="16"/>
      <c r="L112" s="36">
        <f>D112-H112</f>
        <v>-183330.38000000085</v>
      </c>
      <c r="M112" s="16"/>
      <c r="N112" s="34">
        <f>IF(H112=0,0,L112/H112)</f>
        <v>-0.65726688181628934</v>
      </c>
      <c r="O112" s="25"/>
      <c r="P112" s="36">
        <f>+P108-P110</f>
        <v>51257.729999999749</v>
      </c>
      <c r="Q112" s="13"/>
      <c r="R112" s="34">
        <f>IF(P$12=0,0,P112/P$12)</f>
        <v>4.0229051414407899E-2</v>
      </c>
      <c r="S112" s="13"/>
      <c r="T112" s="36">
        <f>+T108-T110</f>
        <v>233348.7099999999</v>
      </c>
      <c r="U112" s="13"/>
      <c r="V112" s="34">
        <f>IF(T$12=0,0,T112/T$12)</f>
        <v>0.10408916465862528</v>
      </c>
      <c r="W112" s="16"/>
      <c r="X112" s="36">
        <f>P112-T112</f>
        <v>-182090.98000000016</v>
      </c>
      <c r="Y112" s="16"/>
      <c r="Z112" s="34">
        <f>IF(T112=0,0,X112/T112)</f>
        <v>-0.78033848997922561</v>
      </c>
    </row>
    <row r="113" spans="1:26" ht="15.75" thickTop="1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x14ac:dyDescent="0.25">
      <c r="A114" s="9"/>
      <c r="B114" s="9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.75" thickBot="1" x14ac:dyDescent="0.3">
      <c r="A115" s="10"/>
      <c r="B115" s="26" t="s">
        <v>5</v>
      </c>
      <c r="C115" s="26"/>
      <c r="D115" s="30">
        <f>SUM(D112:D114)</f>
        <v>95597.990000000078</v>
      </c>
      <c r="E115" s="13"/>
      <c r="F115" s="31">
        <f>IF(D$12=0,0,D115/D$12)</f>
        <v>7.7968618047981053E-2</v>
      </c>
      <c r="G115" s="13"/>
      <c r="H115" s="30">
        <f>SUM(H112:H114)</f>
        <v>278928.37000000093</v>
      </c>
      <c r="I115" s="13"/>
      <c r="J115" s="31">
        <f>IF(H$12=0,0,H115/H$12)</f>
        <v>0.12975329466929608</v>
      </c>
      <c r="K115" s="16"/>
      <c r="L115" s="30">
        <f>+D115-H115</f>
        <v>-183330.38000000085</v>
      </c>
      <c r="M115" s="16"/>
      <c r="N115" s="31">
        <f>IF(H115=0,0,L115/H115)</f>
        <v>-0.65726688181628934</v>
      </c>
      <c r="O115" s="25"/>
      <c r="P115" s="30">
        <f>SUM(P112:P114)</f>
        <v>51257.729999999749</v>
      </c>
      <c r="Q115" s="13"/>
      <c r="R115" s="31">
        <f>IF(P$12=0,0,P115/P$12)</f>
        <v>4.0229051414407899E-2</v>
      </c>
      <c r="S115" s="13"/>
      <c r="T115" s="30">
        <f>SUM(T112:T114)</f>
        <v>233348.7099999999</v>
      </c>
      <c r="U115" s="13"/>
      <c r="V115" s="31">
        <f>IF(T$12=0,0,T115/T$12)</f>
        <v>0.10408916465862528</v>
      </c>
      <c r="W115" s="16"/>
      <c r="X115" s="30">
        <f>+P115-T115</f>
        <v>-182090.98000000016</v>
      </c>
      <c r="Y115" s="16"/>
      <c r="Z115" s="31">
        <f>IF(T115=0,0,X115/T115)</f>
        <v>-0.78033848997922561</v>
      </c>
    </row>
    <row r="116" spans="1:26" ht="15.75" thickTop="1" x14ac:dyDescent="0.25">
      <c r="A116" s="9"/>
      <c r="C116" s="9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61">
        <v>44113.695744560187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6" t="s">
        <v>313</v>
      </c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A119" s="9"/>
      <c r="B119" s="58"/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  <row r="120" spans="1:26" x14ac:dyDescent="0.25"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","311", " - ", "Textbooks")</f>
        <v>Department 311 - Textbooks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814061.74</v>
      </c>
      <c r="E12" s="4"/>
      <c r="F12" s="12"/>
      <c r="G12" s="4"/>
      <c r="H12" s="4">
        <f>SUM(OSRRefH13x_0)</f>
        <v>1457614.8999999997</v>
      </c>
      <c r="I12" s="4"/>
      <c r="J12" s="12"/>
      <c r="K12" s="4"/>
      <c r="L12" s="4">
        <f t="shared" ref="L12:L35" si="0">+D12-H12</f>
        <v>-643553.15999999968</v>
      </c>
      <c r="M12" s="4"/>
      <c r="N12" s="12">
        <f t="shared" ref="N12:N35" si="1">IF(H12=0,0,L12/H12)</f>
        <v>-0.44151110145759337</v>
      </c>
      <c r="O12" s="10"/>
      <c r="P12" s="4">
        <f>SUM(OSRRefP13x_0)</f>
        <v>854800.66</v>
      </c>
      <c r="Q12" s="4"/>
      <c r="R12" s="12"/>
      <c r="S12" s="4"/>
      <c r="T12" s="4">
        <f>SUM(OSRRefT13x_0)</f>
        <v>1535150.94</v>
      </c>
      <c r="U12" s="4"/>
      <c r="V12" s="12"/>
      <c r="W12" s="4"/>
      <c r="X12" s="4">
        <f t="shared" ref="X12:X35" si="2">+P12-T12</f>
        <v>-680350.27999999991</v>
      </c>
      <c r="Y12" s="4"/>
      <c r="Z12" s="12">
        <f t="shared" ref="Z12:Z35" si="3">IF(T12=0,0,X12/T12)</f>
        <v>-0.44318135909163431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-3258.19</f>
        <v>-3258.19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-3258.19</v>
      </c>
      <c r="M13" s="2"/>
      <c r="N13" s="19">
        <f t="shared" si="1"/>
        <v>0</v>
      </c>
      <c r="O13" s="11"/>
      <c r="P13" s="2">
        <f>-4028.26</f>
        <v>-4028.26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-4028.26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>--426911.15</f>
        <v>426911.15</v>
      </c>
      <c r="E14" s="2"/>
      <c r="F14" s="19"/>
      <c r="G14" s="2"/>
      <c r="H14" s="2">
        <f>--911170.09</f>
        <v>911170.09</v>
      </c>
      <c r="I14" s="2"/>
      <c r="J14" s="19"/>
      <c r="K14" s="2"/>
      <c r="L14" s="2">
        <f t="shared" si="0"/>
        <v>-484258.93999999994</v>
      </c>
      <c r="M14" s="2"/>
      <c r="N14" s="19">
        <f t="shared" si="1"/>
        <v>-0.53146931107012074</v>
      </c>
      <c r="O14" s="11"/>
      <c r="P14" s="2">
        <f>--436946.05</f>
        <v>436946.05</v>
      </c>
      <c r="Q14" s="2"/>
      <c r="R14" s="19"/>
      <c r="S14" s="2"/>
      <c r="T14" s="2">
        <f>--945108.24</f>
        <v>945108.24</v>
      </c>
      <c r="U14" s="2"/>
      <c r="V14" s="19"/>
      <c r="W14" s="2"/>
      <c r="X14" s="2">
        <f t="shared" si="2"/>
        <v>-508162.19</v>
      </c>
      <c r="Y14" s="2"/>
      <c r="Z14" s="19">
        <f t="shared" si="3"/>
        <v>-0.53767618193657907</v>
      </c>
    </row>
    <row r="15" spans="1:26" s="24" customFormat="1" hidden="1" outlineLevel="1" x14ac:dyDescent="0.25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>--149234.35</f>
        <v>149234.35</v>
      </c>
      <c r="E15" s="2"/>
      <c r="F15" s="19"/>
      <c r="G15" s="2"/>
      <c r="H15" s="2">
        <f>--282590.5</f>
        <v>282590.5</v>
      </c>
      <c r="I15" s="2"/>
      <c r="J15" s="19"/>
      <c r="K15" s="2"/>
      <c r="L15" s="2">
        <f t="shared" si="0"/>
        <v>-133356.15</v>
      </c>
      <c r="M15" s="2"/>
      <c r="N15" s="19">
        <f t="shared" si="1"/>
        <v>-0.47190599117804738</v>
      </c>
      <c r="O15" s="11"/>
      <c r="P15" s="2">
        <f>--159915.3</f>
        <v>159915.29999999999</v>
      </c>
      <c r="Q15" s="2"/>
      <c r="R15" s="19"/>
      <c r="S15" s="2"/>
      <c r="T15" s="2">
        <f>--296424.45</f>
        <v>296424.45</v>
      </c>
      <c r="U15" s="2"/>
      <c r="V15" s="19"/>
      <c r="W15" s="2"/>
      <c r="X15" s="2">
        <f t="shared" si="2"/>
        <v>-136509.15000000002</v>
      </c>
      <c r="Y15" s="2"/>
      <c r="Z15" s="19">
        <f t="shared" si="3"/>
        <v>-0.46051919806210323</v>
      </c>
    </row>
    <row r="16" spans="1:26" s="24" customFormat="1" hidden="1" outlineLevel="1" x14ac:dyDescent="0.25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>--9055.84</f>
        <v>9055.84</v>
      </c>
      <c r="E16" s="2"/>
      <c r="F16" s="19"/>
      <c r="G16" s="2"/>
      <c r="H16" s="2">
        <f>--12302.07</f>
        <v>12302.07</v>
      </c>
      <c r="I16" s="2"/>
      <c r="J16" s="19"/>
      <c r="K16" s="2"/>
      <c r="L16" s="2">
        <f t="shared" si="0"/>
        <v>-3246.2299999999996</v>
      </c>
      <c r="M16" s="2"/>
      <c r="N16" s="19">
        <f t="shared" si="1"/>
        <v>-0.26387672968858084</v>
      </c>
      <c r="O16" s="11"/>
      <c r="P16" s="2">
        <f>--9055.84</f>
        <v>9055.84</v>
      </c>
      <c r="Q16" s="2"/>
      <c r="R16" s="19"/>
      <c r="S16" s="2"/>
      <c r="T16" s="2">
        <f>--12736.05</f>
        <v>12736.05</v>
      </c>
      <c r="U16" s="2"/>
      <c r="V16" s="19"/>
      <c r="W16" s="2"/>
      <c r="X16" s="2">
        <f t="shared" si="2"/>
        <v>-3680.2099999999991</v>
      </c>
      <c r="Y16" s="2"/>
      <c r="Z16" s="19">
        <f t="shared" si="3"/>
        <v>-0.28896007788914141</v>
      </c>
    </row>
    <row r="17" spans="1:26" s="24" customFormat="1" hidden="1" outlineLevel="1" x14ac:dyDescent="0.25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>--1820.89</f>
        <v>1820.89</v>
      </c>
      <c r="E17" s="2"/>
      <c r="F17" s="19"/>
      <c r="G17" s="2"/>
      <c r="H17" s="2">
        <f>--22276.72</f>
        <v>22276.720000000001</v>
      </c>
      <c r="I17" s="2"/>
      <c r="J17" s="19"/>
      <c r="K17" s="2"/>
      <c r="L17" s="2">
        <f t="shared" si="0"/>
        <v>-20455.830000000002</v>
      </c>
      <c r="M17" s="2"/>
      <c r="N17" s="19">
        <f t="shared" si="1"/>
        <v>-0.91826040817499166</v>
      </c>
      <c r="O17" s="11"/>
      <c r="P17" s="2">
        <f>--1820.89</f>
        <v>1820.89</v>
      </c>
      <c r="Q17" s="2"/>
      <c r="R17" s="19"/>
      <c r="S17" s="2"/>
      <c r="T17" s="2">
        <f>--22410.07</f>
        <v>22410.07</v>
      </c>
      <c r="U17" s="2"/>
      <c r="V17" s="19"/>
      <c r="W17" s="2"/>
      <c r="X17" s="2">
        <f t="shared" si="2"/>
        <v>-20589.18</v>
      </c>
      <c r="Y17" s="2"/>
      <c r="Z17" s="19">
        <f t="shared" si="3"/>
        <v>-0.9187467955254045</v>
      </c>
    </row>
    <row r="18" spans="1:26" s="24" customFormat="1" hidden="1" outlineLevel="1" x14ac:dyDescent="0.25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>--39.9</f>
        <v>39.9</v>
      </c>
      <c r="E18" s="2"/>
      <c r="F18" s="19"/>
      <c r="G18" s="2"/>
      <c r="H18" s="2">
        <f>--70.86</f>
        <v>70.86</v>
      </c>
      <c r="I18" s="2"/>
      <c r="J18" s="19"/>
      <c r="K18" s="2"/>
      <c r="L18" s="2">
        <f t="shared" si="0"/>
        <v>-30.96</v>
      </c>
      <c r="M18" s="2"/>
      <c r="N18" s="19">
        <f t="shared" si="1"/>
        <v>-0.436917866215072</v>
      </c>
      <c r="O18" s="11"/>
      <c r="P18" s="2">
        <f>--39.9</f>
        <v>39.9</v>
      </c>
      <c r="Q18" s="2"/>
      <c r="R18" s="19"/>
      <c r="S18" s="2"/>
      <c r="T18" s="2">
        <f>--110.81</f>
        <v>110.81</v>
      </c>
      <c r="U18" s="2"/>
      <c r="V18" s="19"/>
      <c r="W18" s="2"/>
      <c r="X18" s="2">
        <f t="shared" si="2"/>
        <v>-70.91</v>
      </c>
      <c r="Y18" s="2"/>
      <c r="Z18" s="19">
        <f t="shared" si="3"/>
        <v>-0.63992419456727723</v>
      </c>
    </row>
    <row r="19" spans="1:26" s="24" customFormat="1" hidden="1" outlineLevel="1" x14ac:dyDescent="0.25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>--175.09</f>
        <v>175.09</v>
      </c>
      <c r="E19" s="2"/>
      <c r="F19" s="19"/>
      <c r="G19" s="2"/>
      <c r="H19" s="2">
        <f>--175</f>
        <v>175</v>
      </c>
      <c r="I19" s="2"/>
      <c r="J19" s="19"/>
      <c r="K19" s="2"/>
      <c r="L19" s="2">
        <f t="shared" si="0"/>
        <v>9.0000000000003411E-2</v>
      </c>
      <c r="M19" s="2"/>
      <c r="N19" s="19">
        <f t="shared" si="1"/>
        <v>5.1428571428573382E-4</v>
      </c>
      <c r="O19" s="11"/>
      <c r="P19" s="2">
        <f>--206.93</f>
        <v>206.93</v>
      </c>
      <c r="Q19" s="2"/>
      <c r="R19" s="19"/>
      <c r="S19" s="2"/>
      <c r="T19" s="2">
        <f>--425.65</f>
        <v>425.65</v>
      </c>
      <c r="U19" s="2"/>
      <c r="V19" s="19"/>
      <c r="W19" s="2"/>
      <c r="X19" s="2">
        <f t="shared" si="2"/>
        <v>-218.71999999999997</v>
      </c>
      <c r="Y19" s="2"/>
      <c r="Z19" s="19">
        <f t="shared" si="3"/>
        <v>-0.51384940678961588</v>
      </c>
    </row>
    <row r="20" spans="1:26" s="24" customFormat="1" hidden="1" outlineLevel="1" x14ac:dyDescent="0.25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>--118.03</f>
        <v>118.03</v>
      </c>
      <c r="E20" s="2"/>
      <c r="F20" s="19"/>
      <c r="G20" s="2"/>
      <c r="H20" s="2">
        <f>--1184.84</f>
        <v>1184.8399999999999</v>
      </c>
      <c r="I20" s="2"/>
      <c r="J20" s="19"/>
      <c r="K20" s="2"/>
      <c r="L20" s="2">
        <f t="shared" si="0"/>
        <v>-1066.81</v>
      </c>
      <c r="M20" s="2"/>
      <c r="N20" s="19">
        <f t="shared" si="1"/>
        <v>-0.90038317409945645</v>
      </c>
      <c r="O20" s="11"/>
      <c r="P20" s="2">
        <f>--135.02</f>
        <v>135.02000000000001</v>
      </c>
      <c r="Q20" s="2"/>
      <c r="R20" s="19"/>
      <c r="S20" s="2"/>
      <c r="T20" s="2">
        <f>--1364.13</f>
        <v>1364.13</v>
      </c>
      <c r="U20" s="2"/>
      <c r="V20" s="19"/>
      <c r="W20" s="2"/>
      <c r="X20" s="2">
        <f t="shared" si="2"/>
        <v>-1229.1100000000001</v>
      </c>
      <c r="Y20" s="2"/>
      <c r="Z20" s="19">
        <f t="shared" si="3"/>
        <v>-0.90102116367208407</v>
      </c>
    </row>
    <row r="21" spans="1:26" s="24" customFormat="1" hidden="1" outlineLevel="1" x14ac:dyDescent="0.25">
      <c r="A21" s="44"/>
      <c r="B21" s="11" t="str">
        <f>CONCATENATE("          ", "4101", " - ", "NON-TAXABLE SALES-NEW TEXT")</f>
        <v xml:space="preserve">          4101 - NON-TAXABLE SALES-NEW TEXT</v>
      </c>
      <c r="C21" s="11"/>
      <c r="D21" s="2">
        <f>--41238.82</f>
        <v>41238.82</v>
      </c>
      <c r="E21" s="2"/>
      <c r="F21" s="19"/>
      <c r="G21" s="2"/>
      <c r="H21" s="2">
        <f>--48156.44</f>
        <v>48156.44</v>
      </c>
      <c r="I21" s="2"/>
      <c r="J21" s="19"/>
      <c r="K21" s="2"/>
      <c r="L21" s="2">
        <f t="shared" si="0"/>
        <v>-6917.6200000000026</v>
      </c>
      <c r="M21" s="2"/>
      <c r="N21" s="19">
        <f t="shared" si="1"/>
        <v>-0.14364890760197394</v>
      </c>
      <c r="O21" s="11"/>
      <c r="P21" s="2">
        <f>--51580.68</f>
        <v>51580.68</v>
      </c>
      <c r="Q21" s="2"/>
      <c r="R21" s="19"/>
      <c r="S21" s="2"/>
      <c r="T21" s="2">
        <f>--55893.02</f>
        <v>55893.02</v>
      </c>
      <c r="U21" s="2"/>
      <c r="V21" s="19"/>
      <c r="W21" s="2"/>
      <c r="X21" s="2">
        <f t="shared" si="2"/>
        <v>-4312.3399999999965</v>
      </c>
      <c r="Y21" s="2"/>
      <c r="Z21" s="19">
        <f t="shared" si="3"/>
        <v>-7.7153462095982589E-2</v>
      </c>
    </row>
    <row r="22" spans="1:26" s="24" customFormat="1" hidden="1" outlineLevel="1" x14ac:dyDescent="0.25">
      <c r="A22" s="44"/>
      <c r="B22" s="11" t="str">
        <f>CONCATENATE("          ", "4102", " - ", "NON-TAXABLE SALES-USED TEXT")</f>
        <v xml:space="preserve">          4102 - NON-TAXABLE SALES-USED TEXT</v>
      </c>
      <c r="C22" s="11"/>
      <c r="D22" s="2">
        <f>--17373.3</f>
        <v>17373.3</v>
      </c>
      <c r="E22" s="2"/>
      <c r="F22" s="19"/>
      <c r="G22" s="2"/>
      <c r="H22" s="2">
        <f>--27115.09</f>
        <v>27115.09</v>
      </c>
      <c r="I22" s="2"/>
      <c r="J22" s="19"/>
      <c r="K22" s="2"/>
      <c r="L22" s="2">
        <f t="shared" si="0"/>
        <v>-9741.7900000000009</v>
      </c>
      <c r="M22" s="2"/>
      <c r="N22" s="19">
        <f t="shared" si="1"/>
        <v>-0.35927559156174665</v>
      </c>
      <c r="O22" s="11"/>
      <c r="P22" s="2">
        <f>--21563.74</f>
        <v>21563.74</v>
      </c>
      <c r="Q22" s="2"/>
      <c r="R22" s="19"/>
      <c r="S22" s="2"/>
      <c r="T22" s="2">
        <f>--32474.33</f>
        <v>32474.33</v>
      </c>
      <c r="U22" s="2"/>
      <c r="V22" s="19"/>
      <c r="W22" s="2"/>
      <c r="X22" s="2">
        <f t="shared" si="2"/>
        <v>-10910.59</v>
      </c>
      <c r="Y22" s="2"/>
      <c r="Z22" s="19">
        <f t="shared" si="3"/>
        <v>-0.33597583075616955</v>
      </c>
    </row>
    <row r="23" spans="1:26" s="24" customFormat="1" hidden="1" outlineLevel="1" x14ac:dyDescent="0.25">
      <c r="A23" s="44"/>
      <c r="B23" s="11" t="str">
        <f>CONCATENATE("          ", "4103", " - ", "NON-TAXABLE SALES-RENTAL TEXT")</f>
        <v xml:space="preserve">          4103 - NON-TAXABLE SALES-RENTAL TEXT</v>
      </c>
      <c r="C23" s="11"/>
      <c r="D23" s="2">
        <f>0</f>
        <v>0</v>
      </c>
      <c r="E23" s="2"/>
      <c r="F23" s="19"/>
      <c r="G23" s="2"/>
      <c r="H23" s="2">
        <f>--474.97</f>
        <v>474.97</v>
      </c>
      <c r="I23" s="2"/>
      <c r="J23" s="19"/>
      <c r="K23" s="2"/>
      <c r="L23" s="2">
        <f t="shared" si="0"/>
        <v>-474.97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--474.97</f>
        <v>474.97</v>
      </c>
      <c r="U23" s="2"/>
      <c r="V23" s="19"/>
      <c r="W23" s="2"/>
      <c r="X23" s="2">
        <f t="shared" si="2"/>
        <v>-474.97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"4104", " - ", "NON-TAXABLE SALES-DIGITAL TEXT")</f>
        <v xml:space="preserve">          4104 - NON-TAXABLE SALES-DIGITAL TEXT</v>
      </c>
      <c r="C24" s="11"/>
      <c r="D24" s="2">
        <f>--205404.66</f>
        <v>205404.66</v>
      </c>
      <c r="E24" s="2"/>
      <c r="F24" s="19"/>
      <c r="G24" s="2"/>
      <c r="H24" s="2">
        <f>--246443.9</f>
        <v>246443.9</v>
      </c>
      <c r="I24" s="2"/>
      <c r="J24" s="19"/>
      <c r="K24" s="2"/>
      <c r="L24" s="2">
        <f t="shared" si="0"/>
        <v>-41039.239999999991</v>
      </c>
      <c r="M24" s="2"/>
      <c r="N24" s="19">
        <f t="shared" si="1"/>
        <v>-0.16652568799633505</v>
      </c>
      <c r="O24" s="11"/>
      <c r="P24" s="2">
        <f>--212890.18</f>
        <v>212890.18</v>
      </c>
      <c r="Q24" s="2"/>
      <c r="R24" s="19"/>
      <c r="S24" s="2"/>
      <c r="T24" s="2">
        <f>--259868.07</f>
        <v>259868.07</v>
      </c>
      <c r="U24" s="2"/>
      <c r="V24" s="19"/>
      <c r="W24" s="2"/>
      <c r="X24" s="2">
        <f t="shared" si="2"/>
        <v>-46977.890000000014</v>
      </c>
      <c r="Y24" s="2"/>
      <c r="Z24" s="19">
        <f t="shared" si="3"/>
        <v>-0.18077592218235974</v>
      </c>
    </row>
    <row r="25" spans="1:26" s="24" customFormat="1" hidden="1" outlineLevel="1" x14ac:dyDescent="0.25">
      <c r="A25" s="44"/>
      <c r="B25" s="11" t="str">
        <f>CONCATENATE("          ", "4111", " - ", "NON-TAXABLE SALES-NO VALUE TEX")</f>
        <v xml:space="preserve">          4111 - NON-TAXABLE SALES-NO VALUE TEX</v>
      </c>
      <c r="C25" s="11"/>
      <c r="D25" s="2">
        <f t="shared" ref="D25:D26" si="4">0</f>
        <v>0</v>
      </c>
      <c r="E25" s="2"/>
      <c r="F25" s="19"/>
      <c r="G25" s="2"/>
      <c r="H25" s="2">
        <f>--3067.16</f>
        <v>3067.16</v>
      </c>
      <c r="I25" s="2"/>
      <c r="J25" s="19"/>
      <c r="K25" s="2"/>
      <c r="L25" s="2">
        <f t="shared" si="0"/>
        <v>-3067.16</v>
      </c>
      <c r="M25" s="2"/>
      <c r="N25" s="19">
        <f t="shared" si="1"/>
        <v>-1</v>
      </c>
      <c r="O25" s="11"/>
      <c r="P25" s="2">
        <f t="shared" ref="P25:P26" si="5">0</f>
        <v>0</v>
      </c>
      <c r="Q25" s="2"/>
      <c r="R25" s="19"/>
      <c r="S25" s="2"/>
      <c r="T25" s="2">
        <f>--5748.11</f>
        <v>5748.11</v>
      </c>
      <c r="U25" s="2"/>
      <c r="V25" s="19"/>
      <c r="W25" s="2"/>
      <c r="X25" s="2">
        <f t="shared" si="2"/>
        <v>-5748.11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si="4"/>
        <v>0</v>
      </c>
      <c r="E26" s="2"/>
      <c r="F26" s="19"/>
      <c r="G26" s="2"/>
      <c r="H26" s="2">
        <f>--12.72</f>
        <v>12.72</v>
      </c>
      <c r="I26" s="2"/>
      <c r="J26" s="19"/>
      <c r="K26" s="2"/>
      <c r="L26" s="2">
        <f t="shared" si="0"/>
        <v>-12.72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--1146.72</f>
        <v>1146.72</v>
      </c>
      <c r="U26" s="2"/>
      <c r="V26" s="19"/>
      <c r="W26" s="2"/>
      <c r="X26" s="2">
        <f t="shared" si="2"/>
        <v>-1146.72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>--47.87</f>
        <v>47.87</v>
      </c>
      <c r="E27" s="2"/>
      <c r="F27" s="19"/>
      <c r="G27" s="2"/>
      <c r="H27" s="2">
        <f>--7.02</f>
        <v>7.02</v>
      </c>
      <c r="I27" s="2"/>
      <c r="J27" s="19"/>
      <c r="K27" s="2"/>
      <c r="L27" s="2">
        <f t="shared" si="0"/>
        <v>40.849999999999994</v>
      </c>
      <c r="M27" s="2"/>
      <c r="N27" s="19">
        <f t="shared" si="1"/>
        <v>5.8190883190883183</v>
      </c>
      <c r="O27" s="11"/>
      <c r="P27" s="2">
        <f>--101.83</f>
        <v>101.83</v>
      </c>
      <c r="Q27" s="2"/>
      <c r="R27" s="19"/>
      <c r="S27" s="2"/>
      <c r="T27" s="2">
        <f>--13.97</f>
        <v>13.97</v>
      </c>
      <c r="U27" s="2"/>
      <c r="V27" s="19"/>
      <c r="W27" s="2"/>
      <c r="X27" s="2">
        <f t="shared" si="2"/>
        <v>87.86</v>
      </c>
      <c r="Y27" s="2"/>
      <c r="Z27" s="19">
        <f t="shared" si="3"/>
        <v>6.289191123836793</v>
      </c>
    </row>
    <row r="28" spans="1:26" s="24" customFormat="1" hidden="1" outlineLevel="1" x14ac:dyDescent="0.25">
      <c r="A28" s="44"/>
      <c r="B28" s="11" t="str">
        <f>CONCATENATE("          ", "4201", " - ", "SALES RETURN TAXABLE-NEW TEXT")</f>
        <v xml:space="preserve">          4201 - SALES RETURN TAXABLE-NEW TEXT</v>
      </c>
      <c r="C28" s="11"/>
      <c r="D28" s="2">
        <f>-18222.39</f>
        <v>-18222.39</v>
      </c>
      <c r="E28" s="2"/>
      <c r="F28" s="19"/>
      <c r="G28" s="2"/>
      <c r="H28" s="2">
        <f>-58563.26</f>
        <v>-58563.26</v>
      </c>
      <c r="I28" s="2"/>
      <c r="J28" s="19"/>
      <c r="K28" s="2"/>
      <c r="L28" s="2">
        <f t="shared" si="0"/>
        <v>40340.870000000003</v>
      </c>
      <c r="M28" s="2"/>
      <c r="N28" s="19">
        <f t="shared" si="1"/>
        <v>-0.68884262932084039</v>
      </c>
      <c r="O28" s="11"/>
      <c r="P28" s="2">
        <f>-18855.79</f>
        <v>-18855.79</v>
      </c>
      <c r="Q28" s="2"/>
      <c r="R28" s="19"/>
      <c r="S28" s="2"/>
      <c r="T28" s="2">
        <f>-59170.41</f>
        <v>-59170.41</v>
      </c>
      <c r="U28" s="2"/>
      <c r="V28" s="19"/>
      <c r="W28" s="2"/>
      <c r="X28" s="2">
        <f t="shared" si="2"/>
        <v>40314.620000000003</v>
      </c>
      <c r="Y28" s="2"/>
      <c r="Z28" s="19">
        <f t="shared" si="3"/>
        <v>-0.68133075298954326</v>
      </c>
    </row>
    <row r="29" spans="1:26" s="24" customFormat="1" hidden="1" outlineLevel="1" x14ac:dyDescent="0.25">
      <c r="A29" s="44"/>
      <c r="B29" s="11" t="str">
        <f>CONCATENATE("          ", "4202", " - ", "SALES RETURN TAXABLE-USED TEXT")</f>
        <v xml:space="preserve">          4202 - SALES RETURN TAXABLE-USED TEXT</v>
      </c>
      <c r="C29" s="11"/>
      <c r="D29" s="2">
        <f>-8869.4</f>
        <v>-8869.4</v>
      </c>
      <c r="E29" s="2"/>
      <c r="F29" s="19"/>
      <c r="G29" s="2"/>
      <c r="H29" s="2">
        <f>-20533</f>
        <v>-20533</v>
      </c>
      <c r="I29" s="2"/>
      <c r="J29" s="19"/>
      <c r="K29" s="2"/>
      <c r="L29" s="2">
        <f t="shared" si="0"/>
        <v>11663.6</v>
      </c>
      <c r="M29" s="2"/>
      <c r="N29" s="19">
        <f t="shared" si="1"/>
        <v>-0.56804168898845764</v>
      </c>
      <c r="O29" s="11"/>
      <c r="P29" s="2">
        <f>-9047.75</f>
        <v>-9047.75</v>
      </c>
      <c r="Q29" s="2"/>
      <c r="R29" s="19"/>
      <c r="S29" s="2"/>
      <c r="T29" s="2">
        <f>-21254.45</f>
        <v>-21254.45</v>
      </c>
      <c r="U29" s="2"/>
      <c r="V29" s="19"/>
      <c r="W29" s="2"/>
      <c r="X29" s="2">
        <f t="shared" si="2"/>
        <v>12206.7</v>
      </c>
      <c r="Y29" s="2"/>
      <c r="Z29" s="19">
        <f t="shared" si="3"/>
        <v>-0.57431267334605229</v>
      </c>
    </row>
    <row r="30" spans="1:26" s="24" customFormat="1" hidden="1" outlineLevel="1" x14ac:dyDescent="0.25">
      <c r="A30" s="44"/>
      <c r="B30" s="11" t="str">
        <f>CONCATENATE("          ", "4204", " - ", "SALES RETURN TAXABLE-DIGITAL T")</f>
        <v xml:space="preserve">          4204 - SALES RETURN TAXABLE-DIGITAL T</v>
      </c>
      <c r="C30" s="11"/>
      <c r="D30" s="2">
        <f>-1141.08</f>
        <v>-1141.08</v>
      </c>
      <c r="E30" s="2"/>
      <c r="F30" s="19"/>
      <c r="G30" s="2"/>
      <c r="H30" s="2">
        <f>-6848.37</f>
        <v>-6848.37</v>
      </c>
      <c r="I30" s="2"/>
      <c r="J30" s="19"/>
      <c r="K30" s="2"/>
      <c r="L30" s="2">
        <f t="shared" si="0"/>
        <v>5707.29</v>
      </c>
      <c r="M30" s="2"/>
      <c r="N30" s="19">
        <f t="shared" si="1"/>
        <v>-0.83337932967990924</v>
      </c>
      <c r="O30" s="11"/>
      <c r="P30" s="2">
        <f>-1141.08</f>
        <v>-1141.08</v>
      </c>
      <c r="Q30" s="2"/>
      <c r="R30" s="19"/>
      <c r="S30" s="2"/>
      <c r="T30" s="2">
        <f>-6848.37</f>
        <v>-6848.37</v>
      </c>
      <c r="U30" s="2"/>
      <c r="V30" s="19"/>
      <c r="W30" s="2"/>
      <c r="X30" s="2">
        <f t="shared" si="2"/>
        <v>5707.29</v>
      </c>
      <c r="Y30" s="2"/>
      <c r="Z30" s="19">
        <f t="shared" si="3"/>
        <v>-0.83337932967990924</v>
      </c>
    </row>
    <row r="31" spans="1:26" s="24" customFormat="1" hidden="1" outlineLevel="1" x14ac:dyDescent="0.25">
      <c r="A31" s="44"/>
      <c r="B31" s="11" t="str">
        <f>CONCATENATE("          ", "4218", " - ", "SALES RETURN TAXABLE-STUDY GUI")</f>
        <v xml:space="preserve">          4218 - SALES RETURN TAXABLE-STUDY GUI</v>
      </c>
      <c r="C31" s="11"/>
      <c r="D31" s="2">
        <f>0</f>
        <v>0</v>
      </c>
      <c r="E31" s="2"/>
      <c r="F31" s="19"/>
      <c r="G31" s="2"/>
      <c r="H31" s="2">
        <f>-26.8</f>
        <v>-26.8</v>
      </c>
      <c r="I31" s="2"/>
      <c r="J31" s="19"/>
      <c r="K31" s="2"/>
      <c r="L31" s="2">
        <f t="shared" si="0"/>
        <v>26.8</v>
      </c>
      <c r="M31" s="2"/>
      <c r="N31" s="19">
        <f t="shared" si="1"/>
        <v>-1</v>
      </c>
      <c r="O31" s="11"/>
      <c r="P31" s="2">
        <f>0</f>
        <v>0</v>
      </c>
      <c r="Q31" s="2"/>
      <c r="R31" s="19"/>
      <c r="S31" s="2"/>
      <c r="T31" s="2">
        <f>-26.8</f>
        <v>-26.8</v>
      </c>
      <c r="U31" s="2"/>
      <c r="V31" s="19"/>
      <c r="W31" s="2"/>
      <c r="X31" s="2">
        <f t="shared" si="2"/>
        <v>26.8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"4301", " - ", "SALES RETURN NON TAXABLE-NEW T")</f>
        <v xml:space="preserve">          4301 - SALES RETURN NON TAXABLE-NEW T</v>
      </c>
      <c r="C32" s="11"/>
      <c r="D32" s="2">
        <f>-20.25</f>
        <v>-20.25</v>
      </c>
      <c r="E32" s="2"/>
      <c r="F32" s="19"/>
      <c r="G32" s="2"/>
      <c r="H32" s="2">
        <f>-2665.19</f>
        <v>-2665.19</v>
      </c>
      <c r="I32" s="2"/>
      <c r="J32" s="19"/>
      <c r="K32" s="2"/>
      <c r="L32" s="2">
        <f t="shared" si="0"/>
        <v>2644.94</v>
      </c>
      <c r="M32" s="2"/>
      <c r="N32" s="19">
        <f t="shared" si="1"/>
        <v>-0.99240204263110698</v>
      </c>
      <c r="O32" s="11"/>
      <c r="P32" s="2">
        <f>-20.25</f>
        <v>-20.25</v>
      </c>
      <c r="Q32" s="2"/>
      <c r="R32" s="19"/>
      <c r="S32" s="2"/>
      <c r="T32" s="2">
        <f>-2919.78</f>
        <v>-2919.78</v>
      </c>
      <c r="U32" s="2"/>
      <c r="V32" s="19"/>
      <c r="W32" s="2"/>
      <c r="X32" s="2">
        <f t="shared" si="2"/>
        <v>2899.53</v>
      </c>
      <c r="Y32" s="2"/>
      <c r="Z32" s="19">
        <f t="shared" si="3"/>
        <v>-0.99306454595894211</v>
      </c>
    </row>
    <row r="33" spans="1:26" s="24" customFormat="1" hidden="1" outlineLevel="1" x14ac:dyDescent="0.25">
      <c r="A33" s="44"/>
      <c r="B33" s="11" t="str">
        <f>CONCATENATE("          ", "4302", " - ", "SALES RETURN NON TAXABLE-TEXT")</f>
        <v xml:space="preserve">          4302 - SALES RETURN NON TAXABLE-TEXT</v>
      </c>
      <c r="C33" s="11"/>
      <c r="D33" s="2">
        <f>-346.17</f>
        <v>-346.17</v>
      </c>
      <c r="E33" s="2"/>
      <c r="F33" s="19"/>
      <c r="G33" s="2"/>
      <c r="H33" s="2">
        <f>-250.25</f>
        <v>-250.25</v>
      </c>
      <c r="I33" s="2"/>
      <c r="J33" s="19"/>
      <c r="K33" s="2"/>
      <c r="L33" s="2">
        <f t="shared" si="0"/>
        <v>-95.920000000000016</v>
      </c>
      <c r="M33" s="2"/>
      <c r="N33" s="19">
        <f t="shared" si="1"/>
        <v>0.38329670329670334</v>
      </c>
      <c r="O33" s="11"/>
      <c r="P33" s="2">
        <f>-409.84</f>
        <v>-409.84</v>
      </c>
      <c r="Q33" s="2"/>
      <c r="R33" s="19"/>
      <c r="S33" s="2"/>
      <c r="T33" s="2">
        <f>-250.25</f>
        <v>-250.25</v>
      </c>
      <c r="U33" s="2"/>
      <c r="V33" s="19"/>
      <c r="W33" s="2"/>
      <c r="X33" s="2">
        <f t="shared" si="2"/>
        <v>-159.58999999999997</v>
      </c>
      <c r="Y33" s="2"/>
      <c r="Z33" s="19">
        <f t="shared" si="3"/>
        <v>0.63772227772227763</v>
      </c>
    </row>
    <row r="34" spans="1:26" s="24" customFormat="1" hidden="1" outlineLevel="1" x14ac:dyDescent="0.25">
      <c r="A34" s="44"/>
      <c r="B34" s="11" t="str">
        <f>CONCATENATE("          ", "4304", " - ", "SALES RETURN NON TAXABLE-DIGIT")</f>
        <v xml:space="preserve">          4304 - SALES RETURN NON TAXABLE-DIGIT</v>
      </c>
      <c r="C34" s="11"/>
      <c r="D34" s="2">
        <f>-5500.68</f>
        <v>-5500.68</v>
      </c>
      <c r="E34" s="2"/>
      <c r="F34" s="19"/>
      <c r="G34" s="2"/>
      <c r="H34" s="2">
        <f>-8466.55</f>
        <v>-8466.5499999999993</v>
      </c>
      <c r="I34" s="2"/>
      <c r="J34" s="19"/>
      <c r="K34" s="2"/>
      <c r="L34" s="2">
        <f t="shared" si="0"/>
        <v>2965.869999999999</v>
      </c>
      <c r="M34" s="2"/>
      <c r="N34" s="19">
        <f t="shared" si="1"/>
        <v>-0.35030443332880562</v>
      </c>
      <c r="O34" s="11"/>
      <c r="P34" s="2">
        <f>-5952.73</f>
        <v>-5952.73</v>
      </c>
      <c r="Q34" s="2"/>
      <c r="R34" s="19"/>
      <c r="S34" s="2"/>
      <c r="T34" s="2">
        <f>-8466.55</f>
        <v>-8466.5499999999993</v>
      </c>
      <c r="U34" s="2"/>
      <c r="V34" s="19"/>
      <c r="W34" s="2"/>
      <c r="X34" s="2">
        <f t="shared" si="2"/>
        <v>2513.8199999999997</v>
      </c>
      <c r="Y34" s="2"/>
      <c r="Z34" s="19">
        <f t="shared" si="3"/>
        <v>-0.29691196532235681</v>
      </c>
    </row>
    <row r="35" spans="1:26" s="24" customFormat="1" hidden="1" outlineLevel="1" x14ac:dyDescent="0.25">
      <c r="A35" s="44"/>
      <c r="B35" s="11" t="str">
        <f>CONCATENATE("          ", "4311", " - ", "SALES RETURN NON TAXABLE-NO VA")</f>
        <v xml:space="preserve">          4311 - SALES RETURN NON TAXABLE-NO VA</v>
      </c>
      <c r="C35" s="11"/>
      <c r="D35" s="2">
        <f>0</f>
        <v>0</v>
      </c>
      <c r="E35" s="2"/>
      <c r="F35" s="19"/>
      <c r="G35" s="2"/>
      <c r="H35" s="2">
        <f>-79.06</f>
        <v>-79.06</v>
      </c>
      <c r="I35" s="2"/>
      <c r="J35" s="19"/>
      <c r="K35" s="2"/>
      <c r="L35" s="2">
        <f t="shared" si="0"/>
        <v>79.06</v>
      </c>
      <c r="M35" s="2"/>
      <c r="N35" s="19">
        <f t="shared" si="1"/>
        <v>-1</v>
      </c>
      <c r="O35" s="11"/>
      <c r="P35" s="2">
        <f>0</f>
        <v>0</v>
      </c>
      <c r="Q35" s="2"/>
      <c r="R35" s="19"/>
      <c r="S35" s="2"/>
      <c r="T35" s="2">
        <f>-111.04</f>
        <v>-111.04</v>
      </c>
      <c r="U35" s="2"/>
      <c r="V35" s="19"/>
      <c r="W35" s="2"/>
      <c r="X35" s="2">
        <f t="shared" si="2"/>
        <v>111.04</v>
      </c>
      <c r="Y35" s="2"/>
      <c r="Z35" s="19">
        <f t="shared" si="3"/>
        <v>-1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5" t="s">
        <v>8</v>
      </c>
      <c r="C37" s="10"/>
      <c r="D37" s="4">
        <f>SUM(OSRRefD16x_0)</f>
        <v>581368.00000000012</v>
      </c>
      <c r="E37" s="4"/>
      <c r="F37" s="12">
        <f t="shared" ref="F37:F50" si="6">IF(D$12=0,0,D37/D$12)</f>
        <v>0.71415713505955969</v>
      </c>
      <c r="G37" s="4"/>
      <c r="H37" s="4">
        <f>SUM(OSRRefH16x_0)</f>
        <v>1039633.95</v>
      </c>
      <c r="I37" s="4"/>
      <c r="J37" s="12">
        <f t="shared" ref="J37:J50" si="7">IF(H$12=0,0,H37/H$12)</f>
        <v>0.71324322357023118</v>
      </c>
      <c r="K37" s="4"/>
      <c r="L37" s="4">
        <f t="shared" ref="L37:L50" si="8">+D37-H37</f>
        <v>-458265.94999999984</v>
      </c>
      <c r="M37" s="4"/>
      <c r="N37" s="12">
        <f t="shared" ref="N37:N50" si="9">IF(H37=0,0,L37/H37)</f>
        <v>-0.44079548383351647</v>
      </c>
      <c r="O37" s="10"/>
      <c r="P37" s="4">
        <f>SUM(OSRRefP16x_0)</f>
        <v>607456</v>
      </c>
      <c r="Q37" s="4"/>
      <c r="R37" s="12">
        <f t="shared" ref="R37:R50" si="10">IF(P$12=0,0,P37/P$12)</f>
        <v>0.71064053694109219</v>
      </c>
      <c r="S37" s="4"/>
      <c r="T37" s="4">
        <f>SUM(OSRRefT16x_0)</f>
        <v>1102921.4100000001</v>
      </c>
      <c r="U37" s="4"/>
      <c r="V37" s="12">
        <f t="shared" ref="V37:V50" si="11">IF(T$12=0,0,T37/T$12)</f>
        <v>0.71844493024249467</v>
      </c>
      <c r="W37" s="4"/>
      <c r="X37" s="4">
        <f t="shared" ref="X37:X50" si="12">+P37-T37</f>
        <v>-495465.41000000015</v>
      </c>
      <c r="Y37" s="4"/>
      <c r="Z37" s="12">
        <f t="shared" ref="Z37:Z50" si="13">IF(T37=0,0,X37/T37)</f>
        <v>-0.44923002265410739</v>
      </c>
    </row>
    <row r="38" spans="1:26" s="24" customFormat="1" hidden="1" outlineLevel="1" x14ac:dyDescent="0.25">
      <c r="A38" s="44"/>
      <c r="B38" s="11" t="str">
        <f>CONCATENATE("          ", "5001", " - ", "PURCHASES @ COST-NEW TEXT")</f>
        <v xml:space="preserve">          5001 - PURCHASES @ COST-NEW TEXT</v>
      </c>
      <c r="C38" s="11"/>
      <c r="D38" s="2">
        <v>363486.5</v>
      </c>
      <c r="E38" s="2"/>
      <c r="F38" s="19">
        <f t="shared" si="6"/>
        <v>0.44650974507166985</v>
      </c>
      <c r="G38" s="2"/>
      <c r="H38" s="2">
        <v>1268330.5499999998</v>
      </c>
      <c r="I38" s="2"/>
      <c r="J38" s="19">
        <f t="shared" si="7"/>
        <v>0.87014104342649079</v>
      </c>
      <c r="K38" s="2"/>
      <c r="L38" s="2">
        <f t="shared" si="8"/>
        <v>-904844.04999999981</v>
      </c>
      <c r="M38" s="2"/>
      <c r="N38" s="19">
        <f t="shared" si="9"/>
        <v>-0.71341343153801662</v>
      </c>
      <c r="O38" s="11"/>
      <c r="P38" s="2">
        <v>514943.91</v>
      </c>
      <c r="Q38" s="2"/>
      <c r="R38" s="19">
        <f t="shared" si="10"/>
        <v>0.60241402948846567</v>
      </c>
      <c r="S38" s="2"/>
      <c r="T38" s="2">
        <v>1609530.6</v>
      </c>
      <c r="U38" s="2"/>
      <c r="V38" s="19">
        <f t="shared" si="11"/>
        <v>1.0484510402605753</v>
      </c>
      <c r="W38" s="2"/>
      <c r="X38" s="2">
        <f t="shared" si="12"/>
        <v>-1094586.6900000002</v>
      </c>
      <c r="Y38" s="2"/>
      <c r="Z38" s="19">
        <f t="shared" si="13"/>
        <v>-0.68006578439701615</v>
      </c>
    </row>
    <row r="39" spans="1:26" s="24" customFormat="1" hidden="1" outlineLevel="1" x14ac:dyDescent="0.25">
      <c r="A39" s="44"/>
      <c r="B39" s="11" t="str">
        <f>CONCATENATE("          ", "5002", " - ", "PURCHASES @ COST-USED TEXT")</f>
        <v xml:space="preserve">          5002 - PURCHASES @ COST-USED TEXT</v>
      </c>
      <c r="C39" s="11"/>
      <c r="D39" s="2">
        <v>-8215.75</v>
      </c>
      <c r="E39" s="2"/>
      <c r="F39" s="19">
        <f t="shared" si="6"/>
        <v>-1.0092293491154614E-2</v>
      </c>
      <c r="G39" s="2"/>
      <c r="H39" s="2">
        <v>-81896.37000000001</v>
      </c>
      <c r="I39" s="2"/>
      <c r="J39" s="19">
        <f t="shared" si="7"/>
        <v>-5.618518992910955E-2</v>
      </c>
      <c r="K39" s="2"/>
      <c r="L39" s="2">
        <f t="shared" si="8"/>
        <v>73680.62000000001</v>
      </c>
      <c r="M39" s="2"/>
      <c r="N39" s="19">
        <f t="shared" si="9"/>
        <v>-0.8996811458187951</v>
      </c>
      <c r="O39" s="11"/>
      <c r="P39" s="2">
        <v>49033.04</v>
      </c>
      <c r="Q39" s="2"/>
      <c r="R39" s="19">
        <f t="shared" si="10"/>
        <v>5.7361958517907555E-2</v>
      </c>
      <c r="S39" s="2"/>
      <c r="T39" s="2">
        <v>18487.79</v>
      </c>
      <c r="U39" s="2"/>
      <c r="V39" s="19">
        <f t="shared" si="11"/>
        <v>1.2042978653291254E-2</v>
      </c>
      <c r="W39" s="2"/>
      <c r="X39" s="2">
        <f t="shared" si="12"/>
        <v>30545.25</v>
      </c>
      <c r="Y39" s="2"/>
      <c r="Z39" s="19">
        <f t="shared" si="13"/>
        <v>1.6521850367188289</v>
      </c>
    </row>
    <row r="40" spans="1:26" s="24" customFormat="1" hidden="1" outlineLevel="1" x14ac:dyDescent="0.25">
      <c r="A40" s="44"/>
      <c r="B40" s="11" t="str">
        <f>CONCATENATE("          ", "5003", " - ", "PURCHASES @ COST-RENTAL TEXT")</f>
        <v xml:space="preserve">          5003 - PURCHASES @ COST-RENTAL TEXT</v>
      </c>
      <c r="C40" s="11"/>
      <c r="D40" s="2">
        <v>58.8</v>
      </c>
      <c r="E40" s="2"/>
      <c r="F40" s="19">
        <f t="shared" si="6"/>
        <v>7.2230393729104622E-5</v>
      </c>
      <c r="G40" s="2"/>
      <c r="H40" s="2">
        <v>-38374.199999999997</v>
      </c>
      <c r="I40" s="2"/>
      <c r="J40" s="19">
        <f t="shared" si="7"/>
        <v>-2.6326706731661431E-2</v>
      </c>
      <c r="K40" s="2"/>
      <c r="L40" s="2">
        <f t="shared" si="8"/>
        <v>38433</v>
      </c>
      <c r="M40" s="2"/>
      <c r="N40" s="19">
        <f t="shared" si="9"/>
        <v>-1.0015322795002892</v>
      </c>
      <c r="O40" s="11"/>
      <c r="P40" s="2">
        <v>-11867.84</v>
      </c>
      <c r="Q40" s="2"/>
      <c r="R40" s="19">
        <f t="shared" si="10"/>
        <v>-1.3883751563785643E-2</v>
      </c>
      <c r="S40" s="2"/>
      <c r="T40" s="2">
        <v>-78.400000000000006</v>
      </c>
      <c r="U40" s="2"/>
      <c r="V40" s="19">
        <f t="shared" si="11"/>
        <v>-5.1069896749045411E-5</v>
      </c>
      <c r="W40" s="2"/>
      <c r="X40" s="2">
        <f t="shared" si="12"/>
        <v>-11789.44</v>
      </c>
      <c r="Y40" s="2"/>
      <c r="Z40" s="19">
        <f t="shared" si="13"/>
        <v>150.37551020408162</v>
      </c>
    </row>
    <row r="41" spans="1:26" s="24" customFormat="1" hidden="1" outlineLevel="1" x14ac:dyDescent="0.25">
      <c r="A41" s="44"/>
      <c r="B41" s="11" t="str">
        <f>CONCATENATE("          ", "5004", " - ", "PURCHASES @ COST-DIGITAL TEXT")</f>
        <v xml:space="preserve">          5004 - PURCHASES @ COST-DIGITAL TEXT</v>
      </c>
      <c r="C41" s="11"/>
      <c r="D41" s="2">
        <v>117504.49</v>
      </c>
      <c r="E41" s="2"/>
      <c r="F41" s="19">
        <f t="shared" si="6"/>
        <v>0.14434346220472172</v>
      </c>
      <c r="G41" s="2"/>
      <c r="H41" s="2">
        <v>169007.92</v>
      </c>
      <c r="I41" s="2"/>
      <c r="J41" s="19">
        <f t="shared" si="7"/>
        <v>0.11594826589656847</v>
      </c>
      <c r="K41" s="2"/>
      <c r="L41" s="2">
        <f t="shared" si="8"/>
        <v>-51503.430000000008</v>
      </c>
      <c r="M41" s="2"/>
      <c r="N41" s="19">
        <f t="shared" si="9"/>
        <v>-0.30473974237420354</v>
      </c>
      <c r="O41" s="11"/>
      <c r="P41" s="2">
        <v>122429.97</v>
      </c>
      <c r="Q41" s="2"/>
      <c r="R41" s="19">
        <f t="shared" si="10"/>
        <v>0.14322634004517498</v>
      </c>
      <c r="S41" s="2"/>
      <c r="T41" s="2">
        <v>302966.49000000005</v>
      </c>
      <c r="U41" s="2"/>
      <c r="V41" s="19">
        <f t="shared" si="11"/>
        <v>0.19735290003470282</v>
      </c>
      <c r="W41" s="2"/>
      <c r="X41" s="2">
        <f t="shared" si="12"/>
        <v>-180536.52000000005</v>
      </c>
      <c r="Y41" s="2"/>
      <c r="Z41" s="19">
        <f t="shared" si="13"/>
        <v>-0.59589600156769817</v>
      </c>
    </row>
    <row r="42" spans="1:26" s="24" customFormat="1" hidden="1" outlineLevel="1" x14ac:dyDescent="0.25">
      <c r="A42" s="44"/>
      <c r="B42" s="11" t="str">
        <f>CONCATENATE("          ", "5011", " - ", "PURCHASES @ COST-NO VALUE TEXT")</f>
        <v xml:space="preserve">          5011 - PURCHASES @ COST-NO VALUE TEXT</v>
      </c>
      <c r="C42" s="11"/>
      <c r="D42" s="2"/>
      <c r="E42" s="2"/>
      <c r="F42" s="19">
        <f t="shared" si="6"/>
        <v>0</v>
      </c>
      <c r="G42" s="2"/>
      <c r="H42" s="2">
        <v>369</v>
      </c>
      <c r="I42" s="2"/>
      <c r="J42" s="19">
        <f t="shared" si="7"/>
        <v>2.531532848628263E-4</v>
      </c>
      <c r="K42" s="2"/>
      <c r="L42" s="2">
        <f t="shared" si="8"/>
        <v>-369</v>
      </c>
      <c r="M42" s="2"/>
      <c r="N42" s="19">
        <f t="shared" si="9"/>
        <v>-1</v>
      </c>
      <c r="O42" s="11"/>
      <c r="P42" s="2"/>
      <c r="Q42" s="2"/>
      <c r="R42" s="19">
        <f t="shared" si="10"/>
        <v>0</v>
      </c>
      <c r="S42" s="2"/>
      <c r="T42" s="2">
        <v>657</v>
      </c>
      <c r="U42" s="2"/>
      <c r="V42" s="19">
        <f t="shared" si="11"/>
        <v>4.2797094597095452E-4</v>
      </c>
      <c r="W42" s="2"/>
      <c r="X42" s="2">
        <f t="shared" si="12"/>
        <v>-657</v>
      </c>
      <c r="Y42" s="2"/>
      <c r="Z42" s="19">
        <f t="shared" si="13"/>
        <v>-1</v>
      </c>
    </row>
    <row r="43" spans="1:26" s="24" customFormat="1" hidden="1" outlineLevel="1" x14ac:dyDescent="0.25">
      <c r="A43" s="44"/>
      <c r="B43" s="11" t="str">
        <f>CONCATENATE("          ", "5013", " - ", "PURCHASES @ COST-TRADE BOOKS")</f>
        <v xml:space="preserve">          5013 - PURCHASES @ COST-TRADE BOOKS</v>
      </c>
      <c r="C43" s="11"/>
      <c r="D43" s="2"/>
      <c r="E43" s="2"/>
      <c r="F43" s="19">
        <f t="shared" si="6"/>
        <v>0</v>
      </c>
      <c r="G43" s="2"/>
      <c r="H43" s="2"/>
      <c r="I43" s="2"/>
      <c r="J43" s="19">
        <f t="shared" si="7"/>
        <v>0</v>
      </c>
      <c r="K43" s="2"/>
      <c r="L43" s="2">
        <f t="shared" si="8"/>
        <v>0</v>
      </c>
      <c r="M43" s="2"/>
      <c r="N43" s="19">
        <f t="shared" si="9"/>
        <v>0</v>
      </c>
      <c r="O43" s="11"/>
      <c r="P43" s="2">
        <v>108.54</v>
      </c>
      <c r="Q43" s="2"/>
      <c r="R43" s="19">
        <f t="shared" si="10"/>
        <v>1.2697697261955789E-4</v>
      </c>
      <c r="S43" s="2"/>
      <c r="T43" s="2">
        <v>204.9</v>
      </c>
      <c r="U43" s="2"/>
      <c r="V43" s="19">
        <f t="shared" si="11"/>
        <v>1.3347221739642097E-4</v>
      </c>
      <c r="W43" s="2"/>
      <c r="X43" s="2">
        <f t="shared" si="12"/>
        <v>-96.36</v>
      </c>
      <c r="Y43" s="2"/>
      <c r="Z43" s="19">
        <f t="shared" si="13"/>
        <v>-0.47027818448023423</v>
      </c>
    </row>
    <row r="44" spans="1:26" s="24" customFormat="1" hidden="1" outlineLevel="1" x14ac:dyDescent="0.25">
      <c r="A44" s="44"/>
      <c r="B44" s="11" t="str">
        <f>CONCATENATE("          ", "5014", " - ", "PURCHASES @ COST-REMAINDERS")</f>
        <v xml:space="preserve">          5014 - PURCHASES @ COST-REMAINDERS</v>
      </c>
      <c r="C44" s="11"/>
      <c r="D44" s="2"/>
      <c r="E44" s="2"/>
      <c r="F44" s="19">
        <f t="shared" si="6"/>
        <v>0</v>
      </c>
      <c r="G44" s="2"/>
      <c r="H44" s="2">
        <v>133.84</v>
      </c>
      <c r="I44" s="2"/>
      <c r="J44" s="19">
        <f t="shared" si="7"/>
        <v>9.1821234813118359E-5</v>
      </c>
      <c r="K44" s="2"/>
      <c r="L44" s="2">
        <f t="shared" si="8"/>
        <v>-133.84</v>
      </c>
      <c r="M44" s="2"/>
      <c r="N44" s="19">
        <f t="shared" si="9"/>
        <v>-1</v>
      </c>
      <c r="O44" s="11"/>
      <c r="P44" s="2">
        <v>-12.51</v>
      </c>
      <c r="Q44" s="2"/>
      <c r="R44" s="19">
        <f t="shared" si="10"/>
        <v>-1.463499103989929E-5</v>
      </c>
      <c r="S44" s="2"/>
      <c r="T44" s="2">
        <v>234.32</v>
      </c>
      <c r="U44" s="2"/>
      <c r="V44" s="19">
        <f t="shared" si="11"/>
        <v>1.5263645671219795E-4</v>
      </c>
      <c r="W44" s="2"/>
      <c r="X44" s="2">
        <f t="shared" si="12"/>
        <v>-246.82999999999998</v>
      </c>
      <c r="Y44" s="2"/>
      <c r="Z44" s="19">
        <f t="shared" si="13"/>
        <v>-1.0533885285080231</v>
      </c>
    </row>
    <row r="45" spans="1:26" s="24" customFormat="1" hidden="1" outlineLevel="1" x14ac:dyDescent="0.25">
      <c r="A45" s="44"/>
      <c r="B45" s="11" t="str">
        <f>CONCATENATE("          ", "5018", " - ", "PURCHASES @ COST-STUDY GUIDES")</f>
        <v xml:space="preserve">          5018 - PURCHASES @ COST-STUDY GUIDES</v>
      </c>
      <c r="C45" s="11"/>
      <c r="D45" s="2"/>
      <c r="E45" s="2"/>
      <c r="F45" s="19">
        <f t="shared" si="6"/>
        <v>0</v>
      </c>
      <c r="G45" s="2"/>
      <c r="H45" s="2"/>
      <c r="I45" s="2"/>
      <c r="J45" s="19">
        <f t="shared" si="7"/>
        <v>0</v>
      </c>
      <c r="K45" s="2"/>
      <c r="L45" s="2">
        <f t="shared" si="8"/>
        <v>0</v>
      </c>
      <c r="M45" s="2"/>
      <c r="N45" s="19">
        <f t="shared" si="9"/>
        <v>0</v>
      </c>
      <c r="O45" s="11"/>
      <c r="P45" s="2"/>
      <c r="Q45" s="2"/>
      <c r="R45" s="19">
        <f t="shared" si="10"/>
        <v>0</v>
      </c>
      <c r="S45" s="2"/>
      <c r="T45" s="2">
        <v>503.93</v>
      </c>
      <c r="U45" s="2"/>
      <c r="V45" s="19">
        <f t="shared" si="11"/>
        <v>3.2826088097890883E-4</v>
      </c>
      <c r="W45" s="2"/>
      <c r="X45" s="2">
        <f t="shared" si="12"/>
        <v>-503.93</v>
      </c>
      <c r="Y45" s="2"/>
      <c r="Z45" s="19">
        <f t="shared" si="13"/>
        <v>-1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-478701.25999999995</v>
      </c>
      <c r="E46" s="2"/>
      <c r="F46" s="19">
        <f t="shared" si="6"/>
        <v>-0.58804048449691293</v>
      </c>
      <c r="G46" s="2"/>
      <c r="H46" s="2">
        <v>-1332572</v>
      </c>
      <c r="I46" s="2"/>
      <c r="J46" s="19">
        <f t="shared" si="7"/>
        <v>-0.91421403554532843</v>
      </c>
      <c r="K46" s="2"/>
      <c r="L46" s="2">
        <f t="shared" si="8"/>
        <v>853870.74</v>
      </c>
      <c r="M46" s="2"/>
      <c r="N46" s="19">
        <f t="shared" si="9"/>
        <v>-0.64076893406134905</v>
      </c>
      <c r="O46" s="11"/>
      <c r="P46" s="2">
        <v>-681352.94000000006</v>
      </c>
      <c r="Q46" s="2"/>
      <c r="R46" s="19">
        <f t="shared" si="10"/>
        <v>-0.79708986186323261</v>
      </c>
      <c r="S46" s="2"/>
      <c r="T46" s="2">
        <v>-1949502</v>
      </c>
      <c r="U46" s="2"/>
      <c r="V46" s="19">
        <f t="shared" si="11"/>
        <v>-1.2699090032150193</v>
      </c>
      <c r="W46" s="2"/>
      <c r="X46" s="2">
        <f t="shared" si="12"/>
        <v>1268149.06</v>
      </c>
      <c r="Y46" s="2"/>
      <c r="Z46" s="19">
        <f t="shared" si="13"/>
        <v>-0.65049897871353812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581368</v>
      </c>
      <c r="E47" s="2"/>
      <c r="F47" s="19">
        <f t="shared" si="6"/>
        <v>0.71415713505955947</v>
      </c>
      <c r="G47" s="2"/>
      <c r="H47" s="2">
        <v>1039635.0000000001</v>
      </c>
      <c r="I47" s="2"/>
      <c r="J47" s="19">
        <f t="shared" si="7"/>
        <v>0.71324394392510693</v>
      </c>
      <c r="K47" s="2"/>
      <c r="L47" s="2">
        <f t="shared" si="8"/>
        <v>-458267.00000000012</v>
      </c>
      <c r="M47" s="2"/>
      <c r="N47" s="19">
        <f t="shared" si="9"/>
        <v>-0.44079604861321525</v>
      </c>
      <c r="O47" s="11"/>
      <c r="P47" s="2">
        <v>607456</v>
      </c>
      <c r="Q47" s="2"/>
      <c r="R47" s="19">
        <f t="shared" si="10"/>
        <v>0.71064053694109219</v>
      </c>
      <c r="S47" s="2"/>
      <c r="T47" s="2">
        <v>1102923</v>
      </c>
      <c r="U47" s="2"/>
      <c r="V47" s="19">
        <f t="shared" si="11"/>
        <v>0.71844596597126797</v>
      </c>
      <c r="W47" s="2"/>
      <c r="X47" s="2">
        <f t="shared" si="12"/>
        <v>-495467</v>
      </c>
      <c r="Y47" s="2"/>
      <c r="Z47" s="19">
        <f t="shared" si="13"/>
        <v>-0.44923081665719183</v>
      </c>
    </row>
    <row r="48" spans="1:26" s="24" customFormat="1" hidden="1" outlineLevel="1" x14ac:dyDescent="0.25">
      <c r="A48" s="44"/>
      <c r="B48" s="11" t="str">
        <f>CONCATENATE("          ", "5501", " - ", "FREIGHT-IN-NEW TEXT")</f>
        <v xml:space="preserve">          5501 - FREIGHT-IN-NEW TEXT</v>
      </c>
      <c r="C48" s="11"/>
      <c r="D48" s="2">
        <v>4680.5600000000004</v>
      </c>
      <c r="E48" s="2"/>
      <c r="F48" s="19">
        <f t="shared" si="6"/>
        <v>5.7496376134812581E-3</v>
      </c>
      <c r="G48" s="2"/>
      <c r="H48" s="2">
        <v>11008.16</v>
      </c>
      <c r="I48" s="2"/>
      <c r="J48" s="19">
        <f t="shared" si="7"/>
        <v>7.5521730739717347E-3</v>
      </c>
      <c r="K48" s="2"/>
      <c r="L48" s="2">
        <f t="shared" si="8"/>
        <v>-6327.5999999999995</v>
      </c>
      <c r="M48" s="2"/>
      <c r="N48" s="19">
        <f t="shared" si="9"/>
        <v>-0.57480995915757038</v>
      </c>
      <c r="O48" s="11"/>
      <c r="P48" s="2">
        <v>5483.28</v>
      </c>
      <c r="Q48" s="2"/>
      <c r="R48" s="19">
        <f t="shared" si="10"/>
        <v>6.4146885427065524E-3</v>
      </c>
      <c r="S48" s="2"/>
      <c r="T48" s="2">
        <v>12724.24</v>
      </c>
      <c r="U48" s="2"/>
      <c r="V48" s="19">
        <f t="shared" si="11"/>
        <v>8.2885921302305304E-3</v>
      </c>
      <c r="W48" s="2"/>
      <c r="X48" s="2">
        <f t="shared" si="12"/>
        <v>-7240.96</v>
      </c>
      <c r="Y48" s="2"/>
      <c r="Z48" s="19">
        <f t="shared" si="13"/>
        <v>-0.56906817224447193</v>
      </c>
    </row>
    <row r="49" spans="1:26" s="24" customFormat="1" hidden="1" outlineLevel="1" x14ac:dyDescent="0.25">
      <c r="A49" s="44"/>
      <c r="B49" s="11" t="str">
        <f>CONCATENATE("          ", "5502", " - ", "FREIGHT-IN-USED TEXT")</f>
        <v xml:space="preserve">          5502 - FREIGHT-IN-USED TEXT</v>
      </c>
      <c r="C49" s="11"/>
      <c r="D49" s="2">
        <v>1186.6600000000001</v>
      </c>
      <c r="E49" s="2"/>
      <c r="F49" s="19">
        <f t="shared" si="6"/>
        <v>1.4577027044656344E-3</v>
      </c>
      <c r="G49" s="2"/>
      <c r="H49" s="2">
        <v>3985.02</v>
      </c>
      <c r="I49" s="2"/>
      <c r="J49" s="19">
        <f t="shared" si="7"/>
        <v>2.733931987111274E-3</v>
      </c>
      <c r="K49" s="2"/>
      <c r="L49" s="2">
        <f t="shared" si="8"/>
        <v>-2798.3599999999997</v>
      </c>
      <c r="M49" s="2"/>
      <c r="N49" s="19">
        <f t="shared" si="9"/>
        <v>-0.70221981320043558</v>
      </c>
      <c r="O49" s="11"/>
      <c r="P49" s="2">
        <v>1234.55</v>
      </c>
      <c r="Q49" s="2"/>
      <c r="R49" s="19">
        <f t="shared" si="10"/>
        <v>1.4442548511836666E-3</v>
      </c>
      <c r="S49" s="2"/>
      <c r="T49" s="2">
        <v>4262.51</v>
      </c>
      <c r="U49" s="2"/>
      <c r="V49" s="19">
        <f t="shared" si="11"/>
        <v>2.7766064488746627E-3</v>
      </c>
      <c r="W49" s="2"/>
      <c r="X49" s="2">
        <f t="shared" si="12"/>
        <v>-3027.96</v>
      </c>
      <c r="Y49" s="2"/>
      <c r="Z49" s="19">
        <f t="shared" si="13"/>
        <v>-0.71037018094972204</v>
      </c>
    </row>
    <row r="50" spans="1:26" s="24" customFormat="1" hidden="1" outlineLevel="1" x14ac:dyDescent="0.25">
      <c r="A50" s="44"/>
      <c r="B50" s="11" t="str">
        <f>CONCATENATE("          ", "5504", " - ", "FREIGHT-IN-DIGITAL TEXT")</f>
        <v xml:space="preserve">          5504 - FREIGHT-IN-DIGITAL TEXT</v>
      </c>
      <c r="C50" s="11"/>
      <c r="D50" s="2"/>
      <c r="E50" s="2"/>
      <c r="F50" s="19">
        <f t="shared" si="6"/>
        <v>0</v>
      </c>
      <c r="G50" s="2"/>
      <c r="H50" s="2">
        <v>7.03</v>
      </c>
      <c r="I50" s="2"/>
      <c r="J50" s="19">
        <f t="shared" si="7"/>
        <v>4.8229474053812164E-6</v>
      </c>
      <c r="K50" s="2"/>
      <c r="L50" s="2">
        <f t="shared" si="8"/>
        <v>-7.03</v>
      </c>
      <c r="M50" s="2"/>
      <c r="N50" s="19">
        <f t="shared" si="9"/>
        <v>-1</v>
      </c>
      <c r="O50" s="11"/>
      <c r="P50" s="2"/>
      <c r="Q50" s="2"/>
      <c r="R50" s="19">
        <f t="shared" si="10"/>
        <v>0</v>
      </c>
      <c r="S50" s="2"/>
      <c r="T50" s="2">
        <v>7.03</v>
      </c>
      <c r="U50" s="2"/>
      <c r="V50" s="19">
        <f t="shared" si="11"/>
        <v>4.5793542620636385E-6</v>
      </c>
      <c r="W50" s="2"/>
      <c r="X50" s="2">
        <f t="shared" si="12"/>
        <v>-7.03</v>
      </c>
      <c r="Y50" s="2"/>
      <c r="Z50" s="19">
        <f t="shared" si="13"/>
        <v>-1</v>
      </c>
    </row>
    <row r="51" spans="1:26" x14ac:dyDescent="0.25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25">
      <c r="A52" s="10"/>
      <c r="B52" s="26" t="s">
        <v>6</v>
      </c>
      <c r="C52" s="26"/>
      <c r="D52" s="22">
        <f>D12-D37</f>
        <v>232693.73999999987</v>
      </c>
      <c r="E52" s="13"/>
      <c r="F52" s="21">
        <f>IF(D$12=0,0,D52/D$12)</f>
        <v>0.28584286494044037</v>
      </c>
      <c r="G52" s="13"/>
      <c r="H52" s="22">
        <f>H12-H37</f>
        <v>417980.94999999972</v>
      </c>
      <c r="I52" s="13"/>
      <c r="J52" s="21">
        <f>IF(H$12=0,0,H52/H$12)</f>
        <v>0.28675677642976882</v>
      </c>
      <c r="K52" s="16"/>
      <c r="L52" s="22">
        <f>+D52-H52</f>
        <v>-185287.20999999985</v>
      </c>
      <c r="M52" s="16"/>
      <c r="N52" s="21">
        <f>IF(H52=0,0,L52/H52)</f>
        <v>-0.44329103993854257</v>
      </c>
      <c r="O52" s="25"/>
      <c r="P52" s="22">
        <f>P12-P37</f>
        <v>247344.66000000003</v>
      </c>
      <c r="Q52" s="13"/>
      <c r="R52" s="21">
        <f>IF(P$12=0,0,P52/P$12)</f>
        <v>0.28935946305890781</v>
      </c>
      <c r="S52" s="13"/>
      <c r="T52" s="22">
        <f>T12-T37</f>
        <v>432229.5299999998</v>
      </c>
      <c r="U52" s="13"/>
      <c r="V52" s="21">
        <f>IF(T$12=0,0,T52/T$12)</f>
        <v>0.28155506975750527</v>
      </c>
      <c r="W52" s="16"/>
      <c r="X52" s="22">
        <f>+P52-T52</f>
        <v>-184884.86999999976</v>
      </c>
      <c r="Y52" s="16"/>
      <c r="Z52" s="21">
        <f>IF(T52=0,0,X52/T52)</f>
        <v>-0.42774696583086269</v>
      </c>
    </row>
    <row r="53" spans="1:26" x14ac:dyDescent="0.25">
      <c r="A53" s="9"/>
      <c r="B53" s="10"/>
      <c r="C53" s="9"/>
      <c r="D53" s="1"/>
      <c r="E53" s="1"/>
      <c r="F53" s="5"/>
      <c r="G53" s="1"/>
      <c r="H53" s="1"/>
      <c r="I53" s="1"/>
      <c r="J53" s="5"/>
      <c r="K53" s="1"/>
      <c r="L53" s="1"/>
      <c r="M53" s="1"/>
      <c r="N53" s="5"/>
      <c r="O53" s="37"/>
      <c r="P53" s="1"/>
      <c r="Q53" s="1"/>
      <c r="R53" s="5"/>
      <c r="S53" s="1"/>
      <c r="T53" s="1"/>
      <c r="U53" s="1"/>
      <c r="V53" s="5"/>
      <c r="W53" s="1"/>
      <c r="X53" s="1"/>
      <c r="Y53" s="1"/>
      <c r="Z53" s="5"/>
    </row>
    <row r="54" spans="1:26" s="23" customFormat="1" x14ac:dyDescent="0.25">
      <c r="A54" s="10"/>
      <c r="B54" s="25" t="s">
        <v>9</v>
      </c>
      <c r="C54" s="10"/>
      <c r="D54" s="20">
        <f>SUM(OSRRefD22x_0)</f>
        <v>48390.540000000008</v>
      </c>
      <c r="E54" s="20"/>
      <c r="F54" s="35">
        <f t="shared" ref="F54:F64" si="14">IF(D$12=0,0,D54/D$12)</f>
        <v>5.9443329200067806E-2</v>
      </c>
      <c r="G54" s="20"/>
      <c r="H54" s="20">
        <f>SUM(OSRRefH22x_0)</f>
        <v>50645.710000000006</v>
      </c>
      <c r="I54" s="20"/>
      <c r="J54" s="35">
        <f t="shared" ref="J54:J64" si="15">IF(H$12=0,0,H54/H$12)</f>
        <v>3.4745603931463663E-2</v>
      </c>
      <c r="K54" s="4"/>
      <c r="L54" s="20">
        <f t="shared" ref="L54:L64" si="16">+D54-H54</f>
        <v>-2255.1699999999983</v>
      </c>
      <c r="M54" s="4"/>
      <c r="N54" s="35">
        <f t="shared" ref="N54:N64" si="17">IF(H54=0,0,L54/H54)</f>
        <v>-4.452835195715487E-2</v>
      </c>
      <c r="O54" s="10"/>
      <c r="P54" s="20">
        <f>SUM(OSRRefP22x_0)</f>
        <v>88534.650000000023</v>
      </c>
      <c r="Q54" s="20"/>
      <c r="R54" s="35">
        <f t="shared" ref="R54:R64" si="18">IF(P$12=0,0,P54/P$12)</f>
        <v>0.10357344600084892</v>
      </c>
      <c r="S54" s="20"/>
      <c r="T54" s="20">
        <f>SUM(OSRRefT22x_0)</f>
        <v>93637.060000000027</v>
      </c>
      <c r="U54" s="20"/>
      <c r="V54" s="35">
        <f t="shared" ref="V54:V64" si="19">IF(T$12=0,0,T54/T$12)</f>
        <v>6.0995344210257284E-2</v>
      </c>
      <c r="W54" s="4"/>
      <c r="X54" s="20">
        <f t="shared" ref="X54:X64" si="20">+P54-T54</f>
        <v>-5102.4100000000035</v>
      </c>
      <c r="Y54" s="4"/>
      <c r="Z54" s="35">
        <f t="shared" ref="Z54:Z64" si="21">IF(T54=0,0,X54/T54)</f>
        <v>-5.4491352035187797E-2</v>
      </c>
    </row>
    <row r="55" spans="1:26" s="28" customFormat="1" outlineLevel="1" collapsed="1" x14ac:dyDescent="0.25">
      <c r="A55" s="27"/>
      <c r="B55" s="14" t="str">
        <f>CONCATENATE("     ","*Benefits                                         ")</f>
        <v xml:space="preserve">     *Benefits                                         </v>
      </c>
      <c r="C55" s="14"/>
      <c r="D55" s="1">
        <f>SUM(OSRRefD22_0x_0)</f>
        <v>10659.73</v>
      </c>
      <c r="E55" s="1"/>
      <c r="F55" s="5">
        <f t="shared" si="14"/>
        <v>1.309449821336647E-2</v>
      </c>
      <c r="G55" s="1"/>
      <c r="H55" s="1">
        <f>SUM(OSRRefH22_0x_0)</f>
        <v>9693.15</v>
      </c>
      <c r="I55" s="1"/>
      <c r="J55" s="5">
        <f t="shared" si="15"/>
        <v>6.6500074882604463E-3</v>
      </c>
      <c r="K55" s="1"/>
      <c r="L55" s="1">
        <f t="shared" si="16"/>
        <v>966.57999999999993</v>
      </c>
      <c r="M55" s="1"/>
      <c r="N55" s="5">
        <f t="shared" si="17"/>
        <v>9.9717841981192906E-2</v>
      </c>
      <c r="O55" s="14"/>
      <c r="P55" s="1">
        <f>SUM(OSRRefP22_0x_0)</f>
        <v>21814.160000000003</v>
      </c>
      <c r="Q55" s="1"/>
      <c r="R55" s="5">
        <f t="shared" si="18"/>
        <v>2.551958722165704E-2</v>
      </c>
      <c r="S55" s="1"/>
      <c r="T55" s="1">
        <f>SUM(OSRRefT22_0x_0)</f>
        <v>20919.760000000002</v>
      </c>
      <c r="U55" s="1"/>
      <c r="V55" s="5">
        <f t="shared" si="19"/>
        <v>1.3627168153250132E-2</v>
      </c>
      <c r="W55" s="1"/>
      <c r="X55" s="1">
        <f t="shared" si="20"/>
        <v>894.40000000000146</v>
      </c>
      <c r="Y55" s="1"/>
      <c r="Z55" s="5">
        <f t="shared" si="21"/>
        <v>4.2753836564090666E-2</v>
      </c>
    </row>
    <row r="56" spans="1:26" s="24" customFormat="1" hidden="1" outlineLevel="2" x14ac:dyDescent="0.25">
      <c r="A56" s="29"/>
      <c r="B56" s="11" t="str">
        <f>CONCATENATE("          ", "6111", " - ", "F.I.C.A.")</f>
        <v xml:space="preserve">          6111 - F.I.C.A.</v>
      </c>
      <c r="C56" s="11"/>
      <c r="D56" s="7">
        <v>2291.5500000000002</v>
      </c>
      <c r="E56" s="2"/>
      <c r="F56" s="6">
        <f t="shared" si="14"/>
        <v>2.8149584821416619E-3</v>
      </c>
      <c r="G56" s="2"/>
      <c r="H56" s="7">
        <v>1765.5</v>
      </c>
      <c r="I56" s="2"/>
      <c r="J56" s="6">
        <f t="shared" si="15"/>
        <v>1.2112252694453111E-3</v>
      </c>
      <c r="K56" s="2"/>
      <c r="L56" s="7">
        <f t="shared" si="16"/>
        <v>526.05000000000018</v>
      </c>
      <c r="M56" s="2"/>
      <c r="N56" s="6">
        <f t="shared" si="17"/>
        <v>0.29796091758708593</v>
      </c>
      <c r="O56" s="11"/>
      <c r="P56" s="7">
        <v>4094</v>
      </c>
      <c r="Q56" s="2"/>
      <c r="R56" s="6">
        <f t="shared" si="18"/>
        <v>4.7894207288047717E-3</v>
      </c>
      <c r="S56" s="2"/>
      <c r="T56" s="7">
        <v>3386.25</v>
      </c>
      <c r="U56" s="2"/>
      <c r="V56" s="6">
        <f t="shared" si="19"/>
        <v>2.2058091564598854E-3</v>
      </c>
      <c r="W56" s="2"/>
      <c r="X56" s="7">
        <f t="shared" si="20"/>
        <v>707.75</v>
      </c>
      <c r="Y56" s="2"/>
      <c r="Z56" s="6">
        <f t="shared" si="21"/>
        <v>0.20900701365817645</v>
      </c>
    </row>
    <row r="57" spans="1:26" s="24" customFormat="1" hidden="1" outlineLevel="2" x14ac:dyDescent="0.25">
      <c r="A57" s="29"/>
      <c r="B57" s="11" t="str">
        <f>CONCATENATE("          ", "6112", " - ", "COMPENSATION INSURANCE")</f>
        <v xml:space="preserve">          6112 - COMPENSATION INSURANCE</v>
      </c>
      <c r="C57" s="11"/>
      <c r="D57" s="7">
        <v>190.93</v>
      </c>
      <c r="E57" s="2"/>
      <c r="F57" s="6">
        <f t="shared" si="14"/>
        <v>2.3453995024996508E-4</v>
      </c>
      <c r="G57" s="2"/>
      <c r="H57" s="7">
        <v>96.33</v>
      </c>
      <c r="I57" s="2"/>
      <c r="J57" s="6">
        <f t="shared" si="15"/>
        <v>6.6087414446710179E-5</v>
      </c>
      <c r="K57" s="2"/>
      <c r="L57" s="7">
        <f t="shared" si="16"/>
        <v>94.600000000000009</v>
      </c>
      <c r="M57" s="2"/>
      <c r="N57" s="6">
        <f t="shared" si="17"/>
        <v>0.98204090106924125</v>
      </c>
      <c r="O57" s="11"/>
      <c r="P57" s="7">
        <v>338.35</v>
      </c>
      <c r="Q57" s="2"/>
      <c r="R57" s="6">
        <f t="shared" si="18"/>
        <v>3.9582327884491808E-4</v>
      </c>
      <c r="S57" s="2"/>
      <c r="T57" s="7">
        <v>181.44</v>
      </c>
      <c r="U57" s="2"/>
      <c r="V57" s="6">
        <f t="shared" si="19"/>
        <v>1.1819033247636223E-4</v>
      </c>
      <c r="W57" s="2"/>
      <c r="X57" s="7">
        <f t="shared" si="20"/>
        <v>156.91000000000003</v>
      </c>
      <c r="Y57" s="2"/>
      <c r="Z57" s="6">
        <f t="shared" si="21"/>
        <v>0.86480379188712542</v>
      </c>
    </row>
    <row r="58" spans="1:26" s="24" customFormat="1" hidden="1" outlineLevel="2" x14ac:dyDescent="0.25">
      <c r="A58" s="29"/>
      <c r="B58" s="11" t="str">
        <f>CONCATENATE("          ", "6113", " - ", "GROUP INSURANCE")</f>
        <v xml:space="preserve">          6113 - GROUP INSURANCE</v>
      </c>
      <c r="C58" s="11"/>
      <c r="D58" s="7">
        <v>4114</v>
      </c>
      <c r="E58" s="2"/>
      <c r="F58" s="6">
        <f t="shared" si="14"/>
        <v>5.0536707449240891E-3</v>
      </c>
      <c r="G58" s="2"/>
      <c r="H58" s="7">
        <v>4168.57</v>
      </c>
      <c r="I58" s="2"/>
      <c r="J58" s="6">
        <f t="shared" si="15"/>
        <v>2.859856879893311E-3</v>
      </c>
      <c r="K58" s="2"/>
      <c r="L58" s="7">
        <f t="shared" si="16"/>
        <v>-54.569999999999709</v>
      </c>
      <c r="M58" s="2"/>
      <c r="N58" s="6">
        <f t="shared" si="17"/>
        <v>-1.3090820113372143E-2</v>
      </c>
      <c r="O58" s="11"/>
      <c r="P58" s="7">
        <v>8362.2099999999991</v>
      </c>
      <c r="Q58" s="2"/>
      <c r="R58" s="6">
        <f t="shared" si="18"/>
        <v>9.7826433592131286E-3</v>
      </c>
      <c r="S58" s="2"/>
      <c r="T58" s="7">
        <v>8337.14</v>
      </c>
      <c r="U58" s="2"/>
      <c r="V58" s="6">
        <f t="shared" si="19"/>
        <v>5.430827538040005E-3</v>
      </c>
      <c r="W58" s="2"/>
      <c r="X58" s="7">
        <f t="shared" si="20"/>
        <v>25.069999999999709</v>
      </c>
      <c r="Y58" s="2"/>
      <c r="Z58" s="6">
        <f t="shared" si="21"/>
        <v>3.0070263903448557E-3</v>
      </c>
    </row>
    <row r="59" spans="1:26" s="24" customFormat="1" hidden="1" outlineLevel="2" x14ac:dyDescent="0.25">
      <c r="A59" s="29"/>
      <c r="B59" s="11" t="str">
        <f>CONCATENATE("          ", "6114", " - ", "STATE UNEMPLOYMENT INSURANCE")</f>
        <v xml:space="preserve">          6114 - STATE UNEMPLOYMENT INSURANCE</v>
      </c>
      <c r="C59" s="11"/>
      <c r="D59" s="7">
        <v>71.989999999999995</v>
      </c>
      <c r="E59" s="2"/>
      <c r="F59" s="6">
        <f t="shared" si="14"/>
        <v>8.8433095995888469E-5</v>
      </c>
      <c r="G59" s="2"/>
      <c r="H59" s="7">
        <v>58.34</v>
      </c>
      <c r="I59" s="2"/>
      <c r="J59" s="6">
        <f t="shared" si="15"/>
        <v>4.0024288994301595E-5</v>
      </c>
      <c r="K59" s="2"/>
      <c r="L59" s="7">
        <f t="shared" si="16"/>
        <v>13.649999999999991</v>
      </c>
      <c r="M59" s="2"/>
      <c r="N59" s="6">
        <f t="shared" si="17"/>
        <v>0.23397326019883427</v>
      </c>
      <c r="O59" s="11"/>
      <c r="P59" s="7">
        <v>133.41999999999999</v>
      </c>
      <c r="Q59" s="2"/>
      <c r="R59" s="6">
        <f t="shared" si="18"/>
        <v>1.5608317382440951E-4</v>
      </c>
      <c r="S59" s="2"/>
      <c r="T59" s="7">
        <v>113.43</v>
      </c>
      <c r="U59" s="2"/>
      <c r="V59" s="6">
        <f t="shared" si="19"/>
        <v>7.3888499850053839E-5</v>
      </c>
      <c r="W59" s="2"/>
      <c r="X59" s="7">
        <f t="shared" si="20"/>
        <v>19.989999999999981</v>
      </c>
      <c r="Y59" s="2"/>
      <c r="Z59" s="6">
        <f t="shared" si="21"/>
        <v>0.17623203737988169</v>
      </c>
    </row>
    <row r="60" spans="1:26" s="24" customFormat="1" hidden="1" outlineLevel="2" x14ac:dyDescent="0.25">
      <c r="A60" s="29"/>
      <c r="B60" s="11" t="str">
        <f>CONCATENATE("          ", "6115", " - ", "P.E.R.S.")</f>
        <v xml:space="preserve">          6115 - P.E.R.S.</v>
      </c>
      <c r="C60" s="11"/>
      <c r="D60" s="7">
        <v>1480.2</v>
      </c>
      <c r="E60" s="2"/>
      <c r="F60" s="6">
        <f t="shared" si="14"/>
        <v>1.8182896054051135E-3</v>
      </c>
      <c r="G60" s="2"/>
      <c r="H60" s="7">
        <v>1325.86</v>
      </c>
      <c r="I60" s="2"/>
      <c r="J60" s="6">
        <f t="shared" si="15"/>
        <v>9.0960925275942236E-4</v>
      </c>
      <c r="K60" s="2"/>
      <c r="L60" s="7">
        <f t="shared" si="16"/>
        <v>154.34000000000015</v>
      </c>
      <c r="M60" s="2"/>
      <c r="N60" s="6">
        <f t="shared" si="17"/>
        <v>0.11640746383479414</v>
      </c>
      <c r="O60" s="11"/>
      <c r="P60" s="7">
        <v>3700.52</v>
      </c>
      <c r="Q60" s="2"/>
      <c r="R60" s="6">
        <f t="shared" si="18"/>
        <v>4.3291028811325433E-3</v>
      </c>
      <c r="S60" s="2"/>
      <c r="T60" s="7">
        <v>2651.72</v>
      </c>
      <c r="U60" s="2"/>
      <c r="V60" s="6">
        <f t="shared" si="19"/>
        <v>1.7273350332573812E-3</v>
      </c>
      <c r="W60" s="2"/>
      <c r="X60" s="7">
        <f t="shared" si="20"/>
        <v>1048.8000000000002</v>
      </c>
      <c r="Y60" s="2"/>
      <c r="Z60" s="6">
        <f t="shared" si="21"/>
        <v>0.39551687206794089</v>
      </c>
    </row>
    <row r="61" spans="1:26" s="24" customFormat="1" hidden="1" outlineLevel="2" x14ac:dyDescent="0.25">
      <c r="A61" s="29"/>
      <c r="B61" s="11" t="str">
        <f>CONCATENATE("          ", "6117", " - ", "RETIREMENT STAFF HOURLY")</f>
        <v xml:space="preserve">          6117 - RETIREMENT STAFF HOURLY</v>
      </c>
      <c r="C61" s="11"/>
      <c r="D61" s="7">
        <v>255.65</v>
      </c>
      <c r="E61" s="2"/>
      <c r="F61" s="6">
        <f t="shared" si="14"/>
        <v>3.1404251967424488E-4</v>
      </c>
      <c r="G61" s="2"/>
      <c r="H61" s="7">
        <v>94.68</v>
      </c>
      <c r="I61" s="2"/>
      <c r="J61" s="6">
        <f t="shared" si="15"/>
        <v>6.4955428213583737E-5</v>
      </c>
      <c r="K61" s="2"/>
      <c r="L61" s="7">
        <f t="shared" si="16"/>
        <v>160.97</v>
      </c>
      <c r="M61" s="2"/>
      <c r="N61" s="6">
        <f t="shared" si="17"/>
        <v>1.7001478664976764</v>
      </c>
      <c r="O61" s="11"/>
      <c r="P61" s="7">
        <v>588.79</v>
      </c>
      <c r="Q61" s="2"/>
      <c r="R61" s="6">
        <f t="shared" si="18"/>
        <v>6.8880386685709857E-4</v>
      </c>
      <c r="S61" s="2"/>
      <c r="T61" s="7">
        <v>315.37</v>
      </c>
      <c r="U61" s="2"/>
      <c r="V61" s="6">
        <f t="shared" si="19"/>
        <v>2.0543256808350064E-4</v>
      </c>
      <c r="W61" s="2"/>
      <c r="X61" s="7">
        <f t="shared" si="20"/>
        <v>273.41999999999996</v>
      </c>
      <c r="Y61" s="2"/>
      <c r="Z61" s="6">
        <f t="shared" si="21"/>
        <v>0.86698164061261362</v>
      </c>
    </row>
    <row r="62" spans="1:26" s="24" customFormat="1" hidden="1" outlineLevel="2" x14ac:dyDescent="0.25">
      <c r="A62" s="29"/>
      <c r="B62" s="11" t="str">
        <f>CONCATENATE("          ", "6118", " - ", "VACATION")</f>
        <v xml:space="preserve">          6118 - VACATION</v>
      </c>
      <c r="C62" s="11"/>
      <c r="D62" s="7">
        <v>942.5</v>
      </c>
      <c r="E62" s="2"/>
      <c r="F62" s="6">
        <f t="shared" si="14"/>
        <v>1.1577745933619237E-3</v>
      </c>
      <c r="G62" s="2"/>
      <c r="H62" s="7">
        <v>794.54</v>
      </c>
      <c r="I62" s="2"/>
      <c r="J62" s="6">
        <f t="shared" si="15"/>
        <v>5.4509596464745263E-4</v>
      </c>
      <c r="K62" s="2"/>
      <c r="L62" s="7">
        <f t="shared" si="16"/>
        <v>147.96000000000004</v>
      </c>
      <c r="M62" s="2"/>
      <c r="N62" s="6">
        <f t="shared" si="17"/>
        <v>0.1862209580386136</v>
      </c>
      <c r="O62" s="11"/>
      <c r="P62" s="7">
        <v>1910.31</v>
      </c>
      <c r="Q62" s="2"/>
      <c r="R62" s="6">
        <f t="shared" si="18"/>
        <v>2.2348017372845735E-3</v>
      </c>
      <c r="S62" s="2"/>
      <c r="T62" s="7">
        <v>2274.46</v>
      </c>
      <c r="U62" s="2"/>
      <c r="V62" s="6">
        <f t="shared" si="19"/>
        <v>1.4815872112223702E-3</v>
      </c>
      <c r="W62" s="2"/>
      <c r="X62" s="7">
        <f t="shared" si="20"/>
        <v>-364.15000000000009</v>
      </c>
      <c r="Y62" s="2"/>
      <c r="Z62" s="6">
        <f t="shared" si="21"/>
        <v>-0.16010393675861526</v>
      </c>
    </row>
    <row r="63" spans="1:26" s="24" customFormat="1" hidden="1" outlineLevel="2" x14ac:dyDescent="0.25">
      <c r="A63" s="29"/>
      <c r="B63" s="11" t="str">
        <f>CONCATENATE("          ", "6119", " - ", "SICK LEAVE")</f>
        <v xml:space="preserve">          6119 - SICK LEAVE</v>
      </c>
      <c r="C63" s="11"/>
      <c r="D63" s="7">
        <v>944.6</v>
      </c>
      <c r="E63" s="2"/>
      <c r="F63" s="6">
        <f t="shared" si="14"/>
        <v>1.1603542502808203E-3</v>
      </c>
      <c r="G63" s="2"/>
      <c r="H63" s="7">
        <v>801.74</v>
      </c>
      <c r="I63" s="2"/>
      <c r="J63" s="6">
        <f t="shared" si="15"/>
        <v>5.5003554093745904E-4</v>
      </c>
      <c r="K63" s="2"/>
      <c r="L63" s="7">
        <f t="shared" si="16"/>
        <v>142.86000000000001</v>
      </c>
      <c r="M63" s="2"/>
      <c r="N63" s="6">
        <f t="shared" si="17"/>
        <v>0.17818744231296932</v>
      </c>
      <c r="O63" s="11"/>
      <c r="P63" s="7">
        <v>1889.2</v>
      </c>
      <c r="Q63" s="2"/>
      <c r="R63" s="6">
        <f t="shared" si="18"/>
        <v>2.2101059210693635E-3</v>
      </c>
      <c r="S63" s="2"/>
      <c r="T63" s="7">
        <v>2512.2800000000002</v>
      </c>
      <c r="U63" s="2"/>
      <c r="V63" s="6">
        <f t="shared" si="19"/>
        <v>1.6365035740394363E-3</v>
      </c>
      <c r="W63" s="2"/>
      <c r="X63" s="7">
        <f t="shared" si="20"/>
        <v>-623.08000000000015</v>
      </c>
      <c r="Y63" s="2"/>
      <c r="Z63" s="6">
        <f t="shared" si="21"/>
        <v>-0.24801375642842363</v>
      </c>
    </row>
    <row r="64" spans="1:26" s="24" customFormat="1" hidden="1" outlineLevel="2" x14ac:dyDescent="0.25">
      <c r="A64" s="29"/>
      <c r="B64" s="11" t="str">
        <f>CONCATENATE("          ", "6156", " - ", "EMPLOYEE MEALS")</f>
        <v xml:space="preserve">          6156 - EMPLOYEE MEALS</v>
      </c>
      <c r="C64" s="11"/>
      <c r="D64" s="7">
        <v>368.31</v>
      </c>
      <c r="E64" s="2"/>
      <c r="F64" s="6">
        <f t="shared" si="14"/>
        <v>4.5243497133276404E-4</v>
      </c>
      <c r="G64" s="2"/>
      <c r="H64" s="7">
        <v>587.59</v>
      </c>
      <c r="I64" s="2"/>
      <c r="J64" s="6">
        <f t="shared" si="15"/>
        <v>4.0311744892289461E-4</v>
      </c>
      <c r="K64" s="2"/>
      <c r="L64" s="7">
        <f t="shared" si="16"/>
        <v>-219.28000000000003</v>
      </c>
      <c r="M64" s="2"/>
      <c r="N64" s="6">
        <f t="shared" si="17"/>
        <v>-0.37318538436665022</v>
      </c>
      <c r="O64" s="11"/>
      <c r="P64" s="7">
        <v>797.36</v>
      </c>
      <c r="Q64" s="2"/>
      <c r="R64" s="6">
        <f t="shared" si="18"/>
        <v>9.3280227462622686E-4</v>
      </c>
      <c r="S64" s="2"/>
      <c r="T64" s="7">
        <v>1147.67</v>
      </c>
      <c r="U64" s="2"/>
      <c r="V64" s="6">
        <f t="shared" si="19"/>
        <v>7.4759423982113449E-4</v>
      </c>
      <c r="W64" s="2"/>
      <c r="X64" s="7">
        <f t="shared" si="20"/>
        <v>-350.31000000000006</v>
      </c>
      <c r="Y64" s="2"/>
      <c r="Z64" s="6">
        <f t="shared" si="21"/>
        <v>-0.30523582562931856</v>
      </c>
    </row>
    <row r="65" spans="1:26" s="28" customFormat="1" outlineLevel="1" collapsed="1" x14ac:dyDescent="0.25">
      <c r="A65" s="27"/>
      <c r="B65" s="14" t="str">
        <f>CONCATENATE("     ","*Payroll                                          ")</f>
        <v xml:space="preserve">     *Payroll                                          </v>
      </c>
      <c r="C65" s="14"/>
      <c r="D65" s="1">
        <f>SUM(OSRRefD22_1x_0)</f>
        <v>35256.06</v>
      </c>
      <c r="E65" s="1"/>
      <c r="F65" s="5">
        <f t="shared" ref="F65:F71" si="22">IF(D$12=0,0,D65/D$12)</f>
        <v>4.3308828148587351E-2</v>
      </c>
      <c r="G65" s="1"/>
      <c r="H65" s="1">
        <f>SUM(OSRRefH22_1x_0)</f>
        <v>24469.840000000004</v>
      </c>
      <c r="I65" s="1"/>
      <c r="J65" s="5">
        <f t="shared" ref="J65:J71" si="23">IF(H$12=0,0,H65/H$12)</f>
        <v>1.6787589095034642E-2</v>
      </c>
      <c r="K65" s="1"/>
      <c r="L65" s="1">
        <f t="shared" ref="L65:L71" si="24">+D65-H65</f>
        <v>10786.219999999994</v>
      </c>
      <c r="M65" s="1"/>
      <c r="N65" s="5">
        <f t="shared" ref="N65:N71" si="25">IF(H65=0,0,L65/H65)</f>
        <v>0.4407965070470421</v>
      </c>
      <c r="O65" s="14"/>
      <c r="P65" s="1">
        <f>SUM(OSRRefP22_1x_0)</f>
        <v>64557.290000000008</v>
      </c>
      <c r="Q65" s="1"/>
      <c r="R65" s="5">
        <f t="shared" ref="R65:R71" si="26">IF(P$12=0,0,P65/P$12)</f>
        <v>7.5523210288583539E-2</v>
      </c>
      <c r="S65" s="1"/>
      <c r="T65" s="1">
        <f>SUM(OSRRefT22_1x_0)</f>
        <v>50543.15</v>
      </c>
      <c r="U65" s="1"/>
      <c r="V65" s="5">
        <f t="shared" ref="V65:V71" si="27">IF(T$12=0,0,T65/T$12)</f>
        <v>3.2923896069789724E-2</v>
      </c>
      <c r="W65" s="1"/>
      <c r="X65" s="1">
        <f t="shared" ref="X65:X71" si="28">+P65-T65</f>
        <v>14014.140000000007</v>
      </c>
      <c r="Y65" s="1"/>
      <c r="Z65" s="5">
        <f t="shared" ref="Z65:Z71" si="29">IF(T65=0,0,X65/T65)</f>
        <v>0.27727080722115671</v>
      </c>
    </row>
    <row r="66" spans="1:26" s="24" customFormat="1" hidden="1" outlineLevel="2" x14ac:dyDescent="0.25">
      <c r="A66" s="29"/>
      <c r="B66" s="11" t="str">
        <f>CONCATENATE("          ", "6001", " - ", "ADMINISTRATIVE SALARIES")</f>
        <v xml:space="preserve">          6001 - ADMINISTRATIVE SALARIES</v>
      </c>
      <c r="C66" s="11"/>
      <c r="D66" s="7"/>
      <c r="E66" s="2"/>
      <c r="F66" s="6">
        <f t="shared" si="22"/>
        <v>0</v>
      </c>
      <c r="G66" s="2"/>
      <c r="H66" s="7"/>
      <c r="I66" s="2"/>
      <c r="J66" s="6">
        <f t="shared" si="23"/>
        <v>0</v>
      </c>
      <c r="K66" s="2"/>
      <c r="L66" s="7">
        <f t="shared" si="24"/>
        <v>0</v>
      </c>
      <c r="M66" s="2"/>
      <c r="N66" s="6">
        <f t="shared" si="25"/>
        <v>0</v>
      </c>
      <c r="O66" s="11"/>
      <c r="P66" s="7">
        <v>-311.32</v>
      </c>
      <c r="Q66" s="2"/>
      <c r="R66" s="6">
        <f t="shared" si="26"/>
        <v>-3.6420187134623874E-4</v>
      </c>
      <c r="S66" s="2"/>
      <c r="T66" s="7"/>
      <c r="U66" s="2"/>
      <c r="V66" s="6">
        <f t="shared" si="27"/>
        <v>0</v>
      </c>
      <c r="W66" s="2"/>
      <c r="X66" s="7">
        <f t="shared" si="28"/>
        <v>-311.32</v>
      </c>
      <c r="Y66" s="2"/>
      <c r="Z66" s="6">
        <f t="shared" si="29"/>
        <v>0</v>
      </c>
    </row>
    <row r="67" spans="1:26" s="24" customFormat="1" hidden="1" outlineLevel="2" x14ac:dyDescent="0.25">
      <c r="A67" s="29"/>
      <c r="B67" s="11" t="str">
        <f>CONCATENATE("          ", "6002", " - ", "STAFF SALARIES")</f>
        <v xml:space="preserve">          6002 - STAFF SALARIES</v>
      </c>
      <c r="C67" s="11"/>
      <c r="D67" s="7">
        <v>14705.64</v>
      </c>
      <c r="E67" s="2"/>
      <c r="F67" s="6">
        <f t="shared" si="22"/>
        <v>1.8064526653715478E-2</v>
      </c>
      <c r="G67" s="2"/>
      <c r="H67" s="7">
        <v>14272.87</v>
      </c>
      <c r="I67" s="2"/>
      <c r="J67" s="6">
        <f t="shared" si="23"/>
        <v>9.7919347558809971E-3</v>
      </c>
      <c r="K67" s="2"/>
      <c r="L67" s="7">
        <f t="shared" si="24"/>
        <v>432.76999999999862</v>
      </c>
      <c r="M67" s="2"/>
      <c r="N67" s="6">
        <f t="shared" si="25"/>
        <v>3.0321161756535202E-2</v>
      </c>
      <c r="O67" s="11"/>
      <c r="P67" s="7">
        <v>33135.4</v>
      </c>
      <c r="Q67" s="2"/>
      <c r="R67" s="6">
        <f t="shared" si="26"/>
        <v>3.8763891455114226E-2</v>
      </c>
      <c r="S67" s="2"/>
      <c r="T67" s="7">
        <v>31902.230000000003</v>
      </c>
      <c r="U67" s="2"/>
      <c r="V67" s="6">
        <f t="shared" si="27"/>
        <v>2.0781168267401774E-2</v>
      </c>
      <c r="W67" s="2"/>
      <c r="X67" s="7">
        <f t="shared" si="28"/>
        <v>1233.1699999999983</v>
      </c>
      <c r="Y67" s="2"/>
      <c r="Z67" s="6">
        <f t="shared" si="29"/>
        <v>3.865466457987414E-2</v>
      </c>
    </row>
    <row r="68" spans="1:26" s="24" customFormat="1" hidden="1" outlineLevel="2" x14ac:dyDescent="0.25">
      <c r="A68" s="29"/>
      <c r="B68" s="11" t="str">
        <f>CONCATENATE("          ", "6004", " - ", "STAFF HOURLY")</f>
        <v xml:space="preserve">          6004 - STAFF HOURLY</v>
      </c>
      <c r="C68" s="11"/>
      <c r="D68" s="7">
        <v>6665.13</v>
      </c>
      <c r="E68" s="2"/>
      <c r="F68" s="6">
        <f t="shared" si="22"/>
        <v>8.1874993904025029E-3</v>
      </c>
      <c r="G68" s="2"/>
      <c r="H68" s="7">
        <v>2830.32</v>
      </c>
      <c r="I68" s="2"/>
      <c r="J68" s="6">
        <f t="shared" si="23"/>
        <v>1.9417474396015029E-3</v>
      </c>
      <c r="K68" s="2"/>
      <c r="L68" s="7">
        <f t="shared" si="24"/>
        <v>3834.81</v>
      </c>
      <c r="M68" s="2"/>
      <c r="N68" s="6">
        <f t="shared" si="25"/>
        <v>1.3549033324853725</v>
      </c>
      <c r="O68" s="11"/>
      <c r="P68" s="7">
        <v>12173.1</v>
      </c>
      <c r="Q68" s="2"/>
      <c r="R68" s="6">
        <f t="shared" si="26"/>
        <v>1.4240864062973466E-2</v>
      </c>
      <c r="S68" s="2"/>
      <c r="T68" s="7">
        <v>4836.25</v>
      </c>
      <c r="U68" s="2"/>
      <c r="V68" s="6">
        <f t="shared" si="27"/>
        <v>3.1503416856195261E-3</v>
      </c>
      <c r="W68" s="2"/>
      <c r="X68" s="7">
        <f t="shared" si="28"/>
        <v>7336.85</v>
      </c>
      <c r="Y68" s="2"/>
      <c r="Z68" s="6">
        <f t="shared" si="29"/>
        <v>1.5170535021969502</v>
      </c>
    </row>
    <row r="69" spans="1:26" s="24" customFormat="1" hidden="1" outlineLevel="2" x14ac:dyDescent="0.25">
      <c r="A69" s="29"/>
      <c r="B69" s="11" t="str">
        <f>CONCATENATE("          ", "6005", " - ", "TEMPORARY WAGES-HOURLY")</f>
        <v xml:space="preserve">          6005 - TEMPORARY WAGES-HOURLY</v>
      </c>
      <c r="C69" s="11"/>
      <c r="D69" s="7">
        <v>3708.03</v>
      </c>
      <c r="E69" s="2"/>
      <c r="F69" s="6">
        <f t="shared" si="22"/>
        <v>4.5549739261791129E-3</v>
      </c>
      <c r="G69" s="2"/>
      <c r="H69" s="7">
        <v>1476.95</v>
      </c>
      <c r="I69" s="2"/>
      <c r="J69" s="6">
        <f t="shared" si="23"/>
        <v>1.0132648891006811E-3</v>
      </c>
      <c r="K69" s="2"/>
      <c r="L69" s="7">
        <f t="shared" si="24"/>
        <v>2231.08</v>
      </c>
      <c r="M69" s="2"/>
      <c r="N69" s="6">
        <f t="shared" si="25"/>
        <v>1.510599546362436</v>
      </c>
      <c r="O69" s="11"/>
      <c r="P69" s="7">
        <v>5694.05</v>
      </c>
      <c r="Q69" s="2"/>
      <c r="R69" s="6">
        <f t="shared" si="26"/>
        <v>6.6612606499391333E-3</v>
      </c>
      <c r="S69" s="2"/>
      <c r="T69" s="7">
        <v>2669.35</v>
      </c>
      <c r="U69" s="2"/>
      <c r="V69" s="6">
        <f t="shared" si="27"/>
        <v>1.738819246008474E-3</v>
      </c>
      <c r="W69" s="2"/>
      <c r="X69" s="7">
        <f t="shared" si="28"/>
        <v>3024.7000000000003</v>
      </c>
      <c r="Y69" s="2"/>
      <c r="Z69" s="6">
        <f t="shared" si="29"/>
        <v>1.133122295689962</v>
      </c>
    </row>
    <row r="70" spans="1:26" s="24" customFormat="1" hidden="1" outlineLevel="2" x14ac:dyDescent="0.25">
      <c r="A70" s="29"/>
      <c r="B70" s="11" t="str">
        <f>CONCATENATE("          ", "6006", " - ", "TEMPORARY PART TIME")</f>
        <v xml:space="preserve">          6006 - TEMPORARY PART TIME</v>
      </c>
      <c r="C70" s="11"/>
      <c r="D70" s="7"/>
      <c r="E70" s="2"/>
      <c r="F70" s="6">
        <f t="shared" si="22"/>
        <v>0</v>
      </c>
      <c r="G70" s="2"/>
      <c r="H70" s="7"/>
      <c r="I70" s="2"/>
      <c r="J70" s="6">
        <f t="shared" si="23"/>
        <v>0</v>
      </c>
      <c r="K70" s="2"/>
      <c r="L70" s="7">
        <f t="shared" si="24"/>
        <v>0</v>
      </c>
      <c r="M70" s="2"/>
      <c r="N70" s="6">
        <f t="shared" si="25"/>
        <v>0</v>
      </c>
      <c r="O70" s="11"/>
      <c r="P70" s="7">
        <v>502.29</v>
      </c>
      <c r="Q70" s="2"/>
      <c r="R70" s="6">
        <f t="shared" si="26"/>
        <v>5.8761068340775499E-4</v>
      </c>
      <c r="S70" s="2"/>
      <c r="T70" s="7"/>
      <c r="U70" s="2"/>
      <c r="V70" s="6">
        <f t="shared" si="27"/>
        <v>0</v>
      </c>
      <c r="W70" s="2"/>
      <c r="X70" s="7">
        <f t="shared" si="28"/>
        <v>502.29</v>
      </c>
      <c r="Y70" s="2"/>
      <c r="Z70" s="6">
        <f t="shared" si="29"/>
        <v>0</v>
      </c>
    </row>
    <row r="71" spans="1:26" s="24" customFormat="1" hidden="1" outlineLevel="2" x14ac:dyDescent="0.25">
      <c r="A71" s="29"/>
      <c r="B71" s="11" t="str">
        <f>CONCATENATE("          ", "6007", " - ", "STUDENT HOURLY")</f>
        <v xml:space="preserve">          6007 - STUDENT HOURLY</v>
      </c>
      <c r="C71" s="11"/>
      <c r="D71" s="7">
        <v>10177.26</v>
      </c>
      <c r="E71" s="2"/>
      <c r="F71" s="6">
        <f t="shared" si="22"/>
        <v>1.2501828178290261E-2</v>
      </c>
      <c r="G71" s="2"/>
      <c r="H71" s="7">
        <v>5889.7</v>
      </c>
      <c r="I71" s="2"/>
      <c r="J71" s="6">
        <f t="shared" si="23"/>
        <v>4.0406420104514579E-3</v>
      </c>
      <c r="K71" s="2"/>
      <c r="L71" s="7">
        <f t="shared" si="24"/>
        <v>4287.5600000000004</v>
      </c>
      <c r="M71" s="2"/>
      <c r="N71" s="6">
        <f t="shared" si="25"/>
        <v>0.72797595802842263</v>
      </c>
      <c r="O71" s="11"/>
      <c r="P71" s="7">
        <v>13363.77</v>
      </c>
      <c r="Q71" s="2"/>
      <c r="R71" s="6">
        <f t="shared" si="26"/>
        <v>1.5633785308495199E-2</v>
      </c>
      <c r="S71" s="2"/>
      <c r="T71" s="7">
        <v>11135.32</v>
      </c>
      <c r="U71" s="2"/>
      <c r="V71" s="6">
        <f t="shared" si="27"/>
        <v>7.2535668707599532E-3</v>
      </c>
      <c r="W71" s="2"/>
      <c r="X71" s="7">
        <f t="shared" si="28"/>
        <v>2228.4500000000007</v>
      </c>
      <c r="Y71" s="2"/>
      <c r="Z71" s="6">
        <f t="shared" si="29"/>
        <v>0.20012446880736259</v>
      </c>
    </row>
    <row r="72" spans="1:26" s="28" customFormat="1" outlineLevel="1" collapsed="1" x14ac:dyDescent="0.25">
      <c r="A72" s="27"/>
      <c r="B72" s="14" t="str">
        <f>CONCATENATE("     ","Advertising/Promo                                 ")</f>
        <v xml:space="preserve">     Advertising/Promo                                 </v>
      </c>
      <c r="C72" s="14"/>
      <c r="D72" s="1">
        <f>SUM(OSRRefD22_2x_0)</f>
        <v>109.98</v>
      </c>
      <c r="E72" s="1"/>
      <c r="F72" s="5">
        <f t="shared" ref="F72:F76" si="30">IF(D$12=0,0,D72/D$12)</f>
        <v>1.3510031806678448E-4</v>
      </c>
      <c r="G72" s="1"/>
      <c r="H72" s="1">
        <f>SUM(OSRRefH22_2x_0)</f>
        <v>2905.19</v>
      </c>
      <c r="I72" s="1"/>
      <c r="J72" s="5">
        <f t="shared" ref="J72:J76" si="31">IF(H$12=0,0,H72/H$12)</f>
        <v>1.9931121724949441E-3</v>
      </c>
      <c r="K72" s="1"/>
      <c r="L72" s="1">
        <f t="shared" ref="L72:L76" si="32">+D72-H72</f>
        <v>-2795.21</v>
      </c>
      <c r="M72" s="1"/>
      <c r="N72" s="5">
        <f t="shared" ref="N72:N76" si="33">IF(H72=0,0,L72/H72)</f>
        <v>-0.9621436119496487</v>
      </c>
      <c r="O72" s="14"/>
      <c r="P72" s="1">
        <f>SUM(OSRRefP22_2x_0)</f>
        <v>1359.88</v>
      </c>
      <c r="Q72" s="1"/>
      <c r="R72" s="5">
        <f t="shared" ref="R72:R76" si="34">IF(P$12=0,0,P72/P$12)</f>
        <v>1.5908738301629295E-3</v>
      </c>
      <c r="S72" s="1"/>
      <c r="T72" s="1">
        <f>SUM(OSRRefT22_2x_0)</f>
        <v>2996.19</v>
      </c>
      <c r="U72" s="1"/>
      <c r="V72" s="5">
        <f t="shared" ref="V72:V76" si="35">IF(T$12=0,0,T72/T$12)</f>
        <v>1.9517233920984995E-3</v>
      </c>
      <c r="W72" s="1"/>
      <c r="X72" s="1">
        <f t="shared" ref="X72:X76" si="36">+P72-T72</f>
        <v>-1636.31</v>
      </c>
      <c r="Y72" s="1"/>
      <c r="Z72" s="5">
        <f t="shared" ref="Z72:Z76" si="37">IF(T72=0,0,X72/T72)</f>
        <v>-0.54613025208681687</v>
      </c>
    </row>
    <row r="73" spans="1:26" s="24" customFormat="1" hidden="1" outlineLevel="2" x14ac:dyDescent="0.25">
      <c r="A73" s="29"/>
      <c r="B73" s="11" t="str">
        <f>CONCATENATE("          ", "6362", " - ", "ADVERTISING EXPENSE")</f>
        <v xml:space="preserve">          6362 - ADVERTISING EXPENSE</v>
      </c>
      <c r="C73" s="11"/>
      <c r="D73" s="7">
        <v>109.98</v>
      </c>
      <c r="E73" s="2"/>
      <c r="F73" s="6">
        <f t="shared" si="30"/>
        <v>1.3510031806678448E-4</v>
      </c>
      <c r="G73" s="2"/>
      <c r="H73" s="7">
        <v>2905.19</v>
      </c>
      <c r="I73" s="2"/>
      <c r="J73" s="6">
        <f t="shared" si="31"/>
        <v>1.9931121724949441E-3</v>
      </c>
      <c r="K73" s="2"/>
      <c r="L73" s="7">
        <f t="shared" si="32"/>
        <v>-2795.21</v>
      </c>
      <c r="M73" s="2"/>
      <c r="N73" s="6">
        <f t="shared" si="33"/>
        <v>-0.9621436119496487</v>
      </c>
      <c r="O73" s="11"/>
      <c r="P73" s="7">
        <v>1359.88</v>
      </c>
      <c r="Q73" s="2"/>
      <c r="R73" s="6">
        <f t="shared" si="34"/>
        <v>1.5908738301629295E-3</v>
      </c>
      <c r="S73" s="2"/>
      <c r="T73" s="7">
        <v>2996.19</v>
      </c>
      <c r="U73" s="2"/>
      <c r="V73" s="6">
        <f t="shared" si="35"/>
        <v>1.9517233920984995E-3</v>
      </c>
      <c r="W73" s="2"/>
      <c r="X73" s="7">
        <f t="shared" si="36"/>
        <v>-1636.31</v>
      </c>
      <c r="Y73" s="2"/>
      <c r="Z73" s="6">
        <f t="shared" si="37"/>
        <v>-0.54613025208681687</v>
      </c>
    </row>
    <row r="74" spans="1:26" s="28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SUM(OSRRefD22_3x_0)</f>
        <v>0</v>
      </c>
      <c r="E74" s="1"/>
      <c r="F74" s="5">
        <f t="shared" si="30"/>
        <v>0</v>
      </c>
      <c r="G74" s="1"/>
      <c r="H74" s="1">
        <f>SUM(OSRRefH22_3x_0)</f>
        <v>4124.57</v>
      </c>
      <c r="I74" s="1"/>
      <c r="J74" s="5">
        <f t="shared" si="31"/>
        <v>2.829670580343272E-3</v>
      </c>
      <c r="K74" s="1"/>
      <c r="L74" s="1">
        <f t="shared" si="32"/>
        <v>-4124.57</v>
      </c>
      <c r="M74" s="1"/>
      <c r="N74" s="5">
        <f t="shared" si="33"/>
        <v>-1</v>
      </c>
      <c r="O74" s="14"/>
      <c r="P74" s="1">
        <f>SUM(OSRRefP22_3x_0)</f>
        <v>0</v>
      </c>
      <c r="Q74" s="1"/>
      <c r="R74" s="5">
        <f t="shared" si="34"/>
        <v>0</v>
      </c>
      <c r="S74" s="1"/>
      <c r="T74" s="1">
        <f>SUM(OSRRefT22_3x_0)</f>
        <v>6633.48</v>
      </c>
      <c r="U74" s="1"/>
      <c r="V74" s="5">
        <f t="shared" si="35"/>
        <v>4.3210604424344093E-3</v>
      </c>
      <c r="W74" s="1"/>
      <c r="X74" s="1">
        <f t="shared" si="36"/>
        <v>-6633.48</v>
      </c>
      <c r="Y74" s="1"/>
      <c r="Z74" s="5">
        <f t="shared" si="37"/>
        <v>-1</v>
      </c>
    </row>
    <row r="75" spans="1:26" s="24" customFormat="1" hidden="1" outlineLevel="2" x14ac:dyDescent="0.25">
      <c r="A75" s="29"/>
      <c r="B75" s="11" t="str">
        <f>CONCATENATE("          ", "6382", " - ", "DISCOUNTS/MARK DOWNS")</f>
        <v xml:space="preserve">          6382 - DISCOUNTS/MARK DOWNS</v>
      </c>
      <c r="C75" s="11"/>
      <c r="D75" s="7"/>
      <c r="E75" s="2"/>
      <c r="F75" s="6">
        <f t="shared" si="30"/>
        <v>0</v>
      </c>
      <c r="G75" s="2"/>
      <c r="H75" s="7">
        <v>4547.3</v>
      </c>
      <c r="I75" s="2"/>
      <c r="J75" s="6">
        <f t="shared" si="31"/>
        <v>3.1196854532702712E-3</v>
      </c>
      <c r="K75" s="2"/>
      <c r="L75" s="7">
        <f t="shared" si="32"/>
        <v>-4547.3</v>
      </c>
      <c r="M75" s="2"/>
      <c r="N75" s="6">
        <f t="shared" si="33"/>
        <v>-1</v>
      </c>
      <c r="O75" s="11"/>
      <c r="P75" s="7"/>
      <c r="Q75" s="2"/>
      <c r="R75" s="6">
        <f t="shared" si="34"/>
        <v>0</v>
      </c>
      <c r="S75" s="2"/>
      <c r="T75" s="7">
        <v>7056.21</v>
      </c>
      <c r="U75" s="2"/>
      <c r="V75" s="6">
        <f t="shared" si="35"/>
        <v>4.5964275017803787E-3</v>
      </c>
      <c r="W75" s="2"/>
      <c r="X75" s="7">
        <f t="shared" si="36"/>
        <v>-7056.21</v>
      </c>
      <c r="Y75" s="2"/>
      <c r="Z75" s="6">
        <f t="shared" si="37"/>
        <v>-1</v>
      </c>
    </row>
    <row r="76" spans="1:26" s="24" customFormat="1" hidden="1" outlineLevel="2" x14ac:dyDescent="0.25">
      <c r="A76" s="29"/>
      <c r="B76" s="11" t="str">
        <f>CONCATENATE("          ", "9175", " - ", "EARNED DISCOUNTS")</f>
        <v xml:space="preserve">          9175 - EARNED DISCOUNTS</v>
      </c>
      <c r="C76" s="11"/>
      <c r="D76" s="7"/>
      <c r="E76" s="2"/>
      <c r="F76" s="6">
        <f t="shared" si="30"/>
        <v>0</v>
      </c>
      <c r="G76" s="2"/>
      <c r="H76" s="7">
        <v>-422.73</v>
      </c>
      <c r="I76" s="2"/>
      <c r="J76" s="6">
        <f t="shared" si="31"/>
        <v>-2.9001487292699881E-4</v>
      </c>
      <c r="K76" s="2"/>
      <c r="L76" s="7">
        <f t="shared" si="32"/>
        <v>422.73</v>
      </c>
      <c r="M76" s="2"/>
      <c r="N76" s="6">
        <f t="shared" si="33"/>
        <v>-1</v>
      </c>
      <c r="O76" s="11"/>
      <c r="P76" s="7"/>
      <c r="Q76" s="2"/>
      <c r="R76" s="6">
        <f t="shared" si="34"/>
        <v>0</v>
      </c>
      <c r="S76" s="2"/>
      <c r="T76" s="7">
        <v>-422.73</v>
      </c>
      <c r="U76" s="2"/>
      <c r="V76" s="6">
        <f t="shared" si="35"/>
        <v>-2.7536705934596894E-4</v>
      </c>
      <c r="W76" s="2"/>
      <c r="X76" s="7">
        <f t="shared" si="36"/>
        <v>422.73</v>
      </c>
      <c r="Y76" s="2"/>
      <c r="Z76" s="6">
        <f t="shared" si="37"/>
        <v>-1</v>
      </c>
    </row>
    <row r="77" spans="1:26" s="28" customFormat="1" outlineLevel="1" collapsed="1" x14ac:dyDescent="0.25">
      <c r="A77" s="27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SUM(OSRRefD22_4x_0)</f>
        <v>0</v>
      </c>
      <c r="E77" s="1"/>
      <c r="F77" s="5">
        <f t="shared" ref="F77:F94" si="38">IF(D$12=0,0,D77/D$12)</f>
        <v>0</v>
      </c>
      <c r="G77" s="1"/>
      <c r="H77" s="1">
        <f>SUM(OSRRefH22_4x_0)</f>
        <v>0</v>
      </c>
      <c r="I77" s="1"/>
      <c r="J77" s="5">
        <f t="shared" ref="J77:J94" si="39">IF(H$12=0,0,H77/H$12)</f>
        <v>0</v>
      </c>
      <c r="K77" s="1"/>
      <c r="L77" s="1">
        <f t="shared" ref="L77:L94" si="40">+D77-H77</f>
        <v>0</v>
      </c>
      <c r="M77" s="1"/>
      <c r="N77" s="5">
        <f t="shared" ref="N77:N94" si="41">IF(H77=0,0,L77/H77)</f>
        <v>0</v>
      </c>
      <c r="O77" s="14"/>
      <c r="P77" s="1">
        <f>SUM(OSRRefP22_4x_0)</f>
        <v>107.7</v>
      </c>
      <c r="Q77" s="1"/>
      <c r="R77" s="5">
        <f t="shared" ref="R77:R94" si="42">IF(P$12=0,0,P77/P$12)</f>
        <v>1.2599428736987639E-4</v>
      </c>
      <c r="S77" s="1"/>
      <c r="T77" s="1">
        <f>SUM(OSRRefT22_4x_0)</f>
        <v>0</v>
      </c>
      <c r="U77" s="1"/>
      <c r="V77" s="5">
        <f t="shared" ref="V77:V94" si="43">IF(T$12=0,0,T77/T$12)</f>
        <v>0</v>
      </c>
      <c r="W77" s="1"/>
      <c r="X77" s="1">
        <f t="shared" ref="X77:X94" si="44">+P77-T77</f>
        <v>107.7</v>
      </c>
      <c r="Y77" s="1"/>
      <c r="Z77" s="5">
        <f t="shared" ref="Z77:Z94" si="45">IF(T77=0,0,X77/T77)</f>
        <v>0</v>
      </c>
    </row>
    <row r="78" spans="1:26" s="24" customFormat="1" hidden="1" outlineLevel="2" x14ac:dyDescent="0.25">
      <c r="A78" s="29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38"/>
        <v>0</v>
      </c>
      <c r="G78" s="2"/>
      <c r="H78" s="7"/>
      <c r="I78" s="2"/>
      <c r="J78" s="6">
        <f t="shared" si="39"/>
        <v>0</v>
      </c>
      <c r="K78" s="2"/>
      <c r="L78" s="7">
        <f t="shared" si="40"/>
        <v>0</v>
      </c>
      <c r="M78" s="2"/>
      <c r="N78" s="6">
        <f t="shared" si="41"/>
        <v>0</v>
      </c>
      <c r="O78" s="11"/>
      <c r="P78" s="7">
        <v>107.7</v>
      </c>
      <c r="Q78" s="2"/>
      <c r="R78" s="6">
        <f t="shared" si="42"/>
        <v>1.2599428736987639E-4</v>
      </c>
      <c r="S78" s="2"/>
      <c r="T78" s="7"/>
      <c r="U78" s="2"/>
      <c r="V78" s="6">
        <f t="shared" si="43"/>
        <v>0</v>
      </c>
      <c r="W78" s="2"/>
      <c r="X78" s="7">
        <f t="shared" si="44"/>
        <v>107.7</v>
      </c>
      <c r="Y78" s="2"/>
      <c r="Z78" s="6">
        <f t="shared" si="45"/>
        <v>0</v>
      </c>
    </row>
    <row r="79" spans="1:26" s="28" customFormat="1" outlineLevel="1" collapsed="1" x14ac:dyDescent="0.25">
      <c r="A79" s="27"/>
      <c r="B79" s="14" t="str">
        <f>CONCATENATE("     ","Equipment Rental                                  ")</f>
        <v xml:space="preserve">     Equipment Rental                                  </v>
      </c>
      <c r="C79" s="14"/>
      <c r="D79" s="1">
        <f>SUM(OSRRefD22_5x_0)</f>
        <v>91.26</v>
      </c>
      <c r="E79" s="1"/>
      <c r="F79" s="5">
        <f t="shared" si="38"/>
        <v>1.1210451924690626E-4</v>
      </c>
      <c r="G79" s="1"/>
      <c r="H79" s="1">
        <f>SUM(OSRRefH22_5x_0)</f>
        <v>91.26</v>
      </c>
      <c r="I79" s="1"/>
      <c r="J79" s="5">
        <f t="shared" si="39"/>
        <v>6.2609129475830702E-5</v>
      </c>
      <c r="K79" s="1"/>
      <c r="L79" s="1">
        <f t="shared" si="40"/>
        <v>0</v>
      </c>
      <c r="M79" s="1"/>
      <c r="N79" s="5">
        <f t="shared" si="41"/>
        <v>0</v>
      </c>
      <c r="O79" s="14"/>
      <c r="P79" s="1">
        <f>SUM(OSRRefP22_5x_0)</f>
        <v>182.52</v>
      </c>
      <c r="Q79" s="1"/>
      <c r="R79" s="5">
        <f t="shared" si="42"/>
        <v>2.1352346639507742E-4</v>
      </c>
      <c r="S79" s="1"/>
      <c r="T79" s="1">
        <f>SUM(OSRRefT22_5x_0)</f>
        <v>182.52</v>
      </c>
      <c r="U79" s="1"/>
      <c r="V79" s="5">
        <f t="shared" si="43"/>
        <v>1.1889384636015011E-4</v>
      </c>
      <c r="W79" s="1"/>
      <c r="X79" s="1">
        <f t="shared" si="44"/>
        <v>0</v>
      </c>
      <c r="Y79" s="1"/>
      <c r="Z79" s="5">
        <f t="shared" si="45"/>
        <v>0</v>
      </c>
    </row>
    <row r="80" spans="1:26" s="24" customFormat="1" hidden="1" outlineLevel="2" x14ac:dyDescent="0.25">
      <c r="A80" s="29"/>
      <c r="B80" s="11" t="str">
        <f>CONCATENATE("          ", "6351", " - ", "EQUIPMENT RENTAL")</f>
        <v xml:space="preserve">          6351 - EQUIPMENT RENTAL</v>
      </c>
      <c r="C80" s="11"/>
      <c r="D80" s="7">
        <v>91.26</v>
      </c>
      <c r="E80" s="2"/>
      <c r="F80" s="6">
        <f t="shared" si="38"/>
        <v>1.1210451924690626E-4</v>
      </c>
      <c r="G80" s="2"/>
      <c r="H80" s="7">
        <v>91.26</v>
      </c>
      <c r="I80" s="2"/>
      <c r="J80" s="6">
        <f t="shared" si="39"/>
        <v>6.2609129475830702E-5</v>
      </c>
      <c r="K80" s="2"/>
      <c r="L80" s="7">
        <f t="shared" si="40"/>
        <v>0</v>
      </c>
      <c r="M80" s="2"/>
      <c r="N80" s="6">
        <f t="shared" si="41"/>
        <v>0</v>
      </c>
      <c r="O80" s="11"/>
      <c r="P80" s="7">
        <v>182.52</v>
      </c>
      <c r="Q80" s="2"/>
      <c r="R80" s="6">
        <f t="shared" si="42"/>
        <v>2.1352346639507742E-4</v>
      </c>
      <c r="S80" s="2"/>
      <c r="T80" s="7">
        <v>182.52</v>
      </c>
      <c r="U80" s="2"/>
      <c r="V80" s="6">
        <f t="shared" si="43"/>
        <v>1.1889384636015011E-4</v>
      </c>
      <c r="W80" s="2"/>
      <c r="X80" s="7">
        <f t="shared" si="44"/>
        <v>0</v>
      </c>
      <c r="Y80" s="2"/>
      <c r="Z80" s="6">
        <f t="shared" si="45"/>
        <v>0</v>
      </c>
    </row>
    <row r="81" spans="1:26" s="28" customFormat="1" outlineLevel="1" collapsed="1" x14ac:dyDescent="0.25">
      <c r="A81" s="27"/>
      <c r="B81" s="14" t="str">
        <f>CONCATENATE("     ","Freight out/Postage                               ")</f>
        <v xml:space="preserve">     Freight out/Postage                               </v>
      </c>
      <c r="C81" s="14"/>
      <c r="D81" s="1">
        <f>SUM(OSRRefD22_6x_0)</f>
        <v>333.31</v>
      </c>
      <c r="E81" s="1"/>
      <c r="F81" s="5">
        <f t="shared" si="38"/>
        <v>4.0944068935115413E-4</v>
      </c>
      <c r="G81" s="1"/>
      <c r="H81" s="1">
        <f>SUM(OSRRefH22_6x_0)</f>
        <v>299.74</v>
      </c>
      <c r="I81" s="1"/>
      <c r="J81" s="5">
        <f t="shared" si="39"/>
        <v>2.0563730516201507E-4</v>
      </c>
      <c r="K81" s="1"/>
      <c r="L81" s="1">
        <f t="shared" si="40"/>
        <v>33.569999999999993</v>
      </c>
      <c r="M81" s="1"/>
      <c r="N81" s="5">
        <f t="shared" si="41"/>
        <v>0.11199706412223925</v>
      </c>
      <c r="O81" s="14"/>
      <c r="P81" s="1">
        <f>SUM(OSRRefP22_6x_0)</f>
        <v>500.81</v>
      </c>
      <c r="Q81" s="1"/>
      <c r="R81" s="5">
        <f t="shared" si="42"/>
        <v>5.8587928558688756E-4</v>
      </c>
      <c r="S81" s="1"/>
      <c r="T81" s="1">
        <f>SUM(OSRRefT22_6x_0)</f>
        <v>664.33</v>
      </c>
      <c r="U81" s="1"/>
      <c r="V81" s="5">
        <f t="shared" si="43"/>
        <v>4.327457207562926E-4</v>
      </c>
      <c r="W81" s="1"/>
      <c r="X81" s="1">
        <f t="shared" si="44"/>
        <v>-163.52000000000004</v>
      </c>
      <c r="Y81" s="1"/>
      <c r="Z81" s="5">
        <f t="shared" si="45"/>
        <v>-0.24614273026959496</v>
      </c>
    </row>
    <row r="82" spans="1:26" s="24" customFormat="1" hidden="1" outlineLevel="2" x14ac:dyDescent="0.25">
      <c r="A82" s="29"/>
      <c r="B82" s="11" t="str">
        <f>CONCATENATE("          ", "6305", " - ", "FREIGHT OUT")</f>
        <v xml:space="preserve">          6305 - FREIGHT OUT</v>
      </c>
      <c r="C82" s="11"/>
      <c r="D82" s="7">
        <v>333.31</v>
      </c>
      <c r="E82" s="2"/>
      <c r="F82" s="6">
        <f t="shared" si="38"/>
        <v>4.0944068935115413E-4</v>
      </c>
      <c r="G82" s="2"/>
      <c r="H82" s="7">
        <v>299.74</v>
      </c>
      <c r="I82" s="2"/>
      <c r="J82" s="6">
        <f t="shared" si="39"/>
        <v>2.0563730516201507E-4</v>
      </c>
      <c r="K82" s="2"/>
      <c r="L82" s="7">
        <f t="shared" si="40"/>
        <v>33.569999999999993</v>
      </c>
      <c r="M82" s="2"/>
      <c r="N82" s="6">
        <f t="shared" si="41"/>
        <v>0.11199706412223925</v>
      </c>
      <c r="O82" s="11"/>
      <c r="P82" s="7">
        <v>500.81</v>
      </c>
      <c r="Q82" s="2"/>
      <c r="R82" s="6">
        <f t="shared" si="42"/>
        <v>5.8587928558688756E-4</v>
      </c>
      <c r="S82" s="2"/>
      <c r="T82" s="7">
        <v>664.33</v>
      </c>
      <c r="U82" s="2"/>
      <c r="V82" s="6">
        <f t="shared" si="43"/>
        <v>4.327457207562926E-4</v>
      </c>
      <c r="W82" s="2"/>
      <c r="X82" s="7">
        <f t="shared" si="44"/>
        <v>-163.52000000000004</v>
      </c>
      <c r="Y82" s="2"/>
      <c r="Z82" s="6">
        <f t="shared" si="45"/>
        <v>-0.24614273026959496</v>
      </c>
    </row>
    <row r="83" spans="1:26" s="28" customFormat="1" outlineLevel="1" collapsed="1" x14ac:dyDescent="0.25">
      <c r="A83" s="27"/>
      <c r="B83" s="14" t="str">
        <f>CONCATENATE("     ","General                                           ")</f>
        <v xml:space="preserve">     General                                           </v>
      </c>
      <c r="C83" s="14"/>
      <c r="D83" s="1">
        <f>SUM(OSRRefD22_7x_0)</f>
        <v>0</v>
      </c>
      <c r="E83" s="1"/>
      <c r="F83" s="5">
        <f t="shared" si="38"/>
        <v>0</v>
      </c>
      <c r="G83" s="1"/>
      <c r="H83" s="1">
        <f>SUM(OSRRefH22_7x_0)</f>
        <v>0</v>
      </c>
      <c r="I83" s="1"/>
      <c r="J83" s="5">
        <f t="shared" si="39"/>
        <v>0</v>
      </c>
      <c r="K83" s="1"/>
      <c r="L83" s="1">
        <f t="shared" si="40"/>
        <v>0</v>
      </c>
      <c r="M83" s="1"/>
      <c r="N83" s="5">
        <f t="shared" si="41"/>
        <v>0</v>
      </c>
      <c r="O83" s="14"/>
      <c r="P83" s="1">
        <f>SUM(OSRRefP22_7x_0)</f>
        <v>-4794.1899999999996</v>
      </c>
      <c r="Q83" s="1"/>
      <c r="R83" s="5">
        <f t="shared" si="42"/>
        <v>-5.6085473775839148E-3</v>
      </c>
      <c r="S83" s="1"/>
      <c r="T83" s="1">
        <f>SUM(OSRRefT22_7x_0)</f>
        <v>7.84</v>
      </c>
      <c r="U83" s="1"/>
      <c r="V83" s="5">
        <f t="shared" si="43"/>
        <v>5.1069896749045406E-6</v>
      </c>
      <c r="W83" s="1"/>
      <c r="X83" s="1">
        <f t="shared" si="44"/>
        <v>-4802.03</v>
      </c>
      <c r="Y83" s="1"/>
      <c r="Z83" s="5">
        <f t="shared" si="45"/>
        <v>-612.50382653061217</v>
      </c>
    </row>
    <row r="84" spans="1:26" s="24" customFormat="1" hidden="1" outlineLevel="2" x14ac:dyDescent="0.25">
      <c r="A84" s="29"/>
      <c r="B84" s="11" t="str">
        <f>CONCATENATE("          ", "6279", " - ", "GENERAL EXPENSE")</f>
        <v xml:space="preserve">          6279 - GENERAL EXPENSE</v>
      </c>
      <c r="C84" s="11"/>
      <c r="D84" s="7"/>
      <c r="E84" s="2"/>
      <c r="F84" s="6">
        <f t="shared" si="38"/>
        <v>0</v>
      </c>
      <c r="G84" s="2"/>
      <c r="H84" s="7"/>
      <c r="I84" s="2"/>
      <c r="J84" s="6">
        <f t="shared" si="39"/>
        <v>0</v>
      </c>
      <c r="K84" s="2"/>
      <c r="L84" s="7">
        <f t="shared" si="40"/>
        <v>0</v>
      </c>
      <c r="M84" s="2"/>
      <c r="N84" s="6">
        <f t="shared" si="41"/>
        <v>0</v>
      </c>
      <c r="O84" s="11"/>
      <c r="P84" s="7">
        <v>-4794.1899999999996</v>
      </c>
      <c r="Q84" s="2"/>
      <c r="R84" s="6">
        <f t="shared" si="42"/>
        <v>-5.6085473775839148E-3</v>
      </c>
      <c r="S84" s="2"/>
      <c r="T84" s="7">
        <v>7.84</v>
      </c>
      <c r="U84" s="2"/>
      <c r="V84" s="6">
        <f t="shared" si="43"/>
        <v>5.1069896749045406E-6</v>
      </c>
      <c r="W84" s="2"/>
      <c r="X84" s="7">
        <f t="shared" si="44"/>
        <v>-4802.03</v>
      </c>
      <c r="Y84" s="2"/>
      <c r="Z84" s="6">
        <f t="shared" si="45"/>
        <v>-612.50382653061217</v>
      </c>
    </row>
    <row r="85" spans="1:26" s="28" customFormat="1" outlineLevel="1" collapsed="1" x14ac:dyDescent="0.25">
      <c r="A85" s="27"/>
      <c r="B85" s="14" t="str">
        <f>CONCATENATE("     ","Inventory Adjustment                              ")</f>
        <v xml:space="preserve">     Inventory Adjustment                              </v>
      </c>
      <c r="C85" s="14"/>
      <c r="D85" s="1">
        <f>SUM(OSRRefD22_8x_0)</f>
        <v>1000</v>
      </c>
      <c r="E85" s="1"/>
      <c r="F85" s="5">
        <f t="shared" si="38"/>
        <v>1.2284080566174257E-3</v>
      </c>
      <c r="G85" s="1"/>
      <c r="H85" s="1">
        <f>SUM(OSRRefH22_8x_0)</f>
        <v>1000</v>
      </c>
      <c r="I85" s="1"/>
      <c r="J85" s="5">
        <f t="shared" si="39"/>
        <v>6.8605226250088435E-4</v>
      </c>
      <c r="K85" s="1"/>
      <c r="L85" s="1">
        <f t="shared" si="40"/>
        <v>0</v>
      </c>
      <c r="M85" s="1"/>
      <c r="N85" s="5">
        <f t="shared" si="41"/>
        <v>0</v>
      </c>
      <c r="O85" s="14"/>
      <c r="P85" s="1">
        <f>SUM(OSRRefP22_8x_0)</f>
        <v>2000</v>
      </c>
      <c r="Q85" s="1"/>
      <c r="R85" s="5">
        <f t="shared" si="42"/>
        <v>2.3397267849559217E-3</v>
      </c>
      <c r="S85" s="1"/>
      <c r="T85" s="1">
        <f>SUM(OSRRefT22_8x_0)</f>
        <v>2000</v>
      </c>
      <c r="U85" s="1"/>
      <c r="V85" s="5">
        <f t="shared" si="43"/>
        <v>1.3028034884960563E-3</v>
      </c>
      <c r="W85" s="1"/>
      <c r="X85" s="1">
        <f t="shared" si="44"/>
        <v>0</v>
      </c>
      <c r="Y85" s="1"/>
      <c r="Z85" s="5">
        <f t="shared" si="45"/>
        <v>0</v>
      </c>
    </row>
    <row r="86" spans="1:26" s="24" customFormat="1" hidden="1" outlineLevel="2" x14ac:dyDescent="0.25">
      <c r="A86" s="29"/>
      <c r="B86" s="11" t="str">
        <f>CONCATENATE("          ", "6408", " - ", "INVENTORY ADJUSTMENT")</f>
        <v xml:space="preserve">          6408 - INVENTORY ADJUSTMENT</v>
      </c>
      <c r="C86" s="11"/>
      <c r="D86" s="7">
        <v>1000</v>
      </c>
      <c r="E86" s="2"/>
      <c r="F86" s="6">
        <f t="shared" si="38"/>
        <v>1.2284080566174257E-3</v>
      </c>
      <c r="G86" s="2"/>
      <c r="H86" s="7">
        <v>1000</v>
      </c>
      <c r="I86" s="2"/>
      <c r="J86" s="6">
        <f t="shared" si="39"/>
        <v>6.8605226250088435E-4</v>
      </c>
      <c r="K86" s="2"/>
      <c r="L86" s="7">
        <f t="shared" si="40"/>
        <v>0</v>
      </c>
      <c r="M86" s="2"/>
      <c r="N86" s="6">
        <f t="shared" si="41"/>
        <v>0</v>
      </c>
      <c r="O86" s="11"/>
      <c r="P86" s="7">
        <v>2000</v>
      </c>
      <c r="Q86" s="2"/>
      <c r="R86" s="6">
        <f t="shared" si="42"/>
        <v>2.3397267849559217E-3</v>
      </c>
      <c r="S86" s="2"/>
      <c r="T86" s="7">
        <v>2000</v>
      </c>
      <c r="U86" s="2"/>
      <c r="V86" s="6">
        <f t="shared" si="43"/>
        <v>1.3028034884960563E-3</v>
      </c>
      <c r="W86" s="2"/>
      <c r="X86" s="7">
        <f t="shared" si="44"/>
        <v>0</v>
      </c>
      <c r="Y86" s="2"/>
      <c r="Z86" s="6">
        <f t="shared" si="45"/>
        <v>0</v>
      </c>
    </row>
    <row r="87" spans="1:26" s="28" customFormat="1" outlineLevel="1" collapsed="1" x14ac:dyDescent="0.25">
      <c r="A87" s="27"/>
      <c r="B87" s="14" t="str">
        <f>CONCATENATE("     ","Repair and Maintenance                            ")</f>
        <v xml:space="preserve">     Repair and Maintenance                            </v>
      </c>
      <c r="C87" s="14"/>
      <c r="D87" s="1">
        <f>SUM(OSRRefD22_9x_0)</f>
        <v>0</v>
      </c>
      <c r="E87" s="1"/>
      <c r="F87" s="5">
        <f t="shared" si="38"/>
        <v>0</v>
      </c>
      <c r="G87" s="1"/>
      <c r="H87" s="1">
        <f>SUM(OSRRefH22_9x_0)</f>
        <v>28.96</v>
      </c>
      <c r="I87" s="1"/>
      <c r="J87" s="5">
        <f t="shared" si="39"/>
        <v>1.9868073522025609E-5</v>
      </c>
      <c r="K87" s="1"/>
      <c r="L87" s="1">
        <f t="shared" si="40"/>
        <v>-28.96</v>
      </c>
      <c r="M87" s="1"/>
      <c r="N87" s="5">
        <f t="shared" si="41"/>
        <v>-1</v>
      </c>
      <c r="O87" s="14"/>
      <c r="P87" s="1">
        <f>SUM(OSRRefP22_9x_0)</f>
        <v>22.86</v>
      </c>
      <c r="Q87" s="1"/>
      <c r="R87" s="5">
        <f t="shared" si="42"/>
        <v>2.6743077152046184E-5</v>
      </c>
      <c r="S87" s="1"/>
      <c r="T87" s="1">
        <f>SUM(OSRRefT22_9x_0)</f>
        <v>49.42</v>
      </c>
      <c r="U87" s="1"/>
      <c r="V87" s="5">
        <f t="shared" si="43"/>
        <v>3.2192274200737554E-5</v>
      </c>
      <c r="W87" s="1"/>
      <c r="X87" s="1">
        <f t="shared" si="44"/>
        <v>-26.560000000000002</v>
      </c>
      <c r="Y87" s="1"/>
      <c r="Z87" s="5">
        <f t="shared" si="45"/>
        <v>-0.53743423715095107</v>
      </c>
    </row>
    <row r="88" spans="1:26" s="24" customFormat="1" hidden="1" outlineLevel="2" x14ac:dyDescent="0.25">
      <c r="A88" s="29"/>
      <c r="B88" s="11" t="str">
        <f>CONCATENATE("          ", "6373", " - ", "MAINTENANCE CONTRACTS")</f>
        <v xml:space="preserve">          6373 - MAINTENANCE CONTRACTS</v>
      </c>
      <c r="C88" s="11"/>
      <c r="D88" s="7"/>
      <c r="E88" s="2"/>
      <c r="F88" s="6">
        <f t="shared" si="38"/>
        <v>0</v>
      </c>
      <c r="G88" s="2"/>
      <c r="H88" s="7">
        <v>28.96</v>
      </c>
      <c r="I88" s="2"/>
      <c r="J88" s="6">
        <f t="shared" si="39"/>
        <v>1.9868073522025609E-5</v>
      </c>
      <c r="K88" s="2"/>
      <c r="L88" s="7">
        <f t="shared" si="40"/>
        <v>-28.96</v>
      </c>
      <c r="M88" s="2"/>
      <c r="N88" s="6">
        <f t="shared" si="41"/>
        <v>-1</v>
      </c>
      <c r="O88" s="11"/>
      <c r="P88" s="7">
        <v>22.86</v>
      </c>
      <c r="Q88" s="2"/>
      <c r="R88" s="6">
        <f t="shared" si="42"/>
        <v>2.6743077152046184E-5</v>
      </c>
      <c r="S88" s="2"/>
      <c r="T88" s="7">
        <v>49.42</v>
      </c>
      <c r="U88" s="2"/>
      <c r="V88" s="6">
        <f t="shared" si="43"/>
        <v>3.2192274200737554E-5</v>
      </c>
      <c r="W88" s="2"/>
      <c r="X88" s="7">
        <f t="shared" si="44"/>
        <v>-26.560000000000002</v>
      </c>
      <c r="Y88" s="2"/>
      <c r="Z88" s="6">
        <f t="shared" si="45"/>
        <v>-0.53743423715095107</v>
      </c>
    </row>
    <row r="89" spans="1:26" s="28" customFormat="1" outlineLevel="1" collapsed="1" x14ac:dyDescent="0.25">
      <c r="A89" s="27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SUM(OSRRefD22_10x_0)</f>
        <v>270</v>
      </c>
      <c r="E89" s="1"/>
      <c r="F89" s="5">
        <f t="shared" si="38"/>
        <v>3.3167017528670491E-4</v>
      </c>
      <c r="G89" s="1"/>
      <c r="H89" s="1">
        <f>SUM(OSRRefH22_10x_0)</f>
        <v>250</v>
      </c>
      <c r="I89" s="1"/>
      <c r="J89" s="5">
        <f t="shared" si="39"/>
        <v>1.7151306562522109E-4</v>
      </c>
      <c r="K89" s="1"/>
      <c r="L89" s="1">
        <f t="shared" si="40"/>
        <v>20</v>
      </c>
      <c r="M89" s="1"/>
      <c r="N89" s="5">
        <f t="shared" si="41"/>
        <v>0.08</v>
      </c>
      <c r="O89" s="14"/>
      <c r="P89" s="1">
        <f>SUM(OSRRefP22_10x_0)</f>
        <v>560</v>
      </c>
      <c r="Q89" s="1"/>
      <c r="R89" s="5">
        <f t="shared" si="42"/>
        <v>6.5512349978765806E-4</v>
      </c>
      <c r="S89" s="1"/>
      <c r="T89" s="1">
        <f>SUM(OSRRefT22_10x_0)</f>
        <v>538.85</v>
      </c>
      <c r="U89" s="1"/>
      <c r="V89" s="5">
        <f t="shared" si="43"/>
        <v>3.5100782988805001E-4</v>
      </c>
      <c r="W89" s="1"/>
      <c r="X89" s="1">
        <f t="shared" si="44"/>
        <v>21.149999999999977</v>
      </c>
      <c r="Y89" s="1"/>
      <c r="Z89" s="5">
        <f t="shared" si="45"/>
        <v>3.925025517305368E-2</v>
      </c>
    </row>
    <row r="90" spans="1:26" s="24" customFormat="1" hidden="1" outlineLevel="2" x14ac:dyDescent="0.25">
      <c r="A90" s="29"/>
      <c r="B90" s="11" t="str">
        <f>CONCATENATE("          ", "6258", " - ", "MEMBERSHIP DUES")</f>
        <v xml:space="preserve">          6258 - MEMBERSHIP DUES</v>
      </c>
      <c r="C90" s="11"/>
      <c r="D90" s="7">
        <v>270</v>
      </c>
      <c r="E90" s="2"/>
      <c r="F90" s="6">
        <f t="shared" si="38"/>
        <v>3.3167017528670491E-4</v>
      </c>
      <c r="G90" s="2"/>
      <c r="H90" s="7">
        <v>250</v>
      </c>
      <c r="I90" s="2"/>
      <c r="J90" s="6">
        <f t="shared" si="39"/>
        <v>1.7151306562522109E-4</v>
      </c>
      <c r="K90" s="2"/>
      <c r="L90" s="7">
        <f t="shared" si="40"/>
        <v>20</v>
      </c>
      <c r="M90" s="2"/>
      <c r="N90" s="6">
        <f t="shared" si="41"/>
        <v>0.08</v>
      </c>
      <c r="O90" s="11"/>
      <c r="P90" s="7">
        <v>560</v>
      </c>
      <c r="Q90" s="2"/>
      <c r="R90" s="6">
        <f t="shared" si="42"/>
        <v>6.5512349978765806E-4</v>
      </c>
      <c r="S90" s="2"/>
      <c r="T90" s="7">
        <v>538.85</v>
      </c>
      <c r="U90" s="2"/>
      <c r="V90" s="6">
        <f t="shared" si="43"/>
        <v>3.5100782988805001E-4</v>
      </c>
      <c r="W90" s="2"/>
      <c r="X90" s="7">
        <f t="shared" si="44"/>
        <v>21.149999999999977</v>
      </c>
      <c r="Y90" s="2"/>
      <c r="Z90" s="6">
        <f t="shared" si="45"/>
        <v>3.925025517305368E-2</v>
      </c>
    </row>
    <row r="91" spans="1:26" s="28" customFormat="1" outlineLevel="1" collapsed="1" x14ac:dyDescent="0.25">
      <c r="A91" s="27"/>
      <c r="B91" s="14" t="str">
        <f>CONCATENATE("     ","Supplies                                          ")</f>
        <v xml:space="preserve">     Supplies                                          </v>
      </c>
      <c r="C91" s="14"/>
      <c r="D91" s="1">
        <f>SUM(OSRRefD22_11x_0)</f>
        <v>197.4</v>
      </c>
      <c r="E91" s="1"/>
      <c r="F91" s="5">
        <f t="shared" si="38"/>
        <v>2.4248775037627983E-4</v>
      </c>
      <c r="G91" s="1"/>
      <c r="H91" s="1">
        <f>SUM(OSRRefH22_11x_0)</f>
        <v>6921.99</v>
      </c>
      <c r="I91" s="1"/>
      <c r="J91" s="5">
        <f t="shared" si="39"/>
        <v>4.748846900508496E-3</v>
      </c>
      <c r="K91" s="1"/>
      <c r="L91" s="1">
        <f t="shared" si="40"/>
        <v>-6724.59</v>
      </c>
      <c r="M91" s="1"/>
      <c r="N91" s="5">
        <f t="shared" si="41"/>
        <v>-0.97148218937039788</v>
      </c>
      <c r="O91" s="14"/>
      <c r="P91" s="1">
        <f>SUM(OSRRefP22_11x_0)</f>
        <v>990.16000000000008</v>
      </c>
      <c r="Q91" s="1"/>
      <c r="R91" s="5">
        <f t="shared" si="42"/>
        <v>1.1583519366959779E-3</v>
      </c>
      <c r="S91" s="1"/>
      <c r="T91" s="1">
        <f>SUM(OSRRefT22_11x_0)</f>
        <v>7199.55</v>
      </c>
      <c r="U91" s="1"/>
      <c r="V91" s="5">
        <f t="shared" si="43"/>
        <v>4.6897994278008916E-3</v>
      </c>
      <c r="W91" s="1"/>
      <c r="X91" s="1">
        <f t="shared" si="44"/>
        <v>-6209.39</v>
      </c>
      <c r="Y91" s="1"/>
      <c r="Z91" s="5">
        <f t="shared" si="45"/>
        <v>-0.86246918210165913</v>
      </c>
    </row>
    <row r="92" spans="1:26" s="24" customFormat="1" hidden="1" outlineLevel="2" x14ac:dyDescent="0.25">
      <c r="A92" s="29"/>
      <c r="B92" s="11" t="str">
        <f>CONCATENATE("          ", "6241", " - ", "OFFICE EXPENSE")</f>
        <v xml:space="preserve">          6241 - OFFICE EXPENSE</v>
      </c>
      <c r="C92" s="11"/>
      <c r="D92" s="7">
        <v>197.4</v>
      </c>
      <c r="E92" s="2"/>
      <c r="F92" s="6">
        <f t="shared" si="38"/>
        <v>2.4248775037627983E-4</v>
      </c>
      <c r="G92" s="2"/>
      <c r="H92" s="7">
        <v>1943.91</v>
      </c>
      <c r="I92" s="2"/>
      <c r="J92" s="6">
        <f t="shared" si="39"/>
        <v>1.333623853598094E-3</v>
      </c>
      <c r="K92" s="2"/>
      <c r="L92" s="7">
        <f t="shared" si="40"/>
        <v>-1746.51</v>
      </c>
      <c r="M92" s="2"/>
      <c r="N92" s="6">
        <f t="shared" si="41"/>
        <v>-0.89845208883127303</v>
      </c>
      <c r="O92" s="11"/>
      <c r="P92" s="7">
        <v>357.06</v>
      </c>
      <c r="Q92" s="2"/>
      <c r="R92" s="6">
        <f t="shared" si="42"/>
        <v>4.177114229181807E-4</v>
      </c>
      <c r="S92" s="2"/>
      <c r="T92" s="7">
        <v>2205.08</v>
      </c>
      <c r="U92" s="2"/>
      <c r="V92" s="6">
        <f t="shared" si="43"/>
        <v>1.4363929582064418E-3</v>
      </c>
      <c r="W92" s="2"/>
      <c r="X92" s="7">
        <f t="shared" si="44"/>
        <v>-1848.02</v>
      </c>
      <c r="Y92" s="2"/>
      <c r="Z92" s="6">
        <f t="shared" si="45"/>
        <v>-0.83807390208065013</v>
      </c>
    </row>
    <row r="93" spans="1:26" s="24" customFormat="1" hidden="1" outlineLevel="2" x14ac:dyDescent="0.25">
      <c r="A93" s="29"/>
      <c r="B93" s="11" t="str">
        <f>CONCATENATE("          ", "6245", " - ", "PRINTING")</f>
        <v xml:space="preserve">          6245 - PRINTING</v>
      </c>
      <c r="C93" s="11"/>
      <c r="D93" s="7"/>
      <c r="E93" s="2"/>
      <c r="F93" s="6">
        <f t="shared" si="38"/>
        <v>0</v>
      </c>
      <c r="G93" s="2"/>
      <c r="H93" s="7">
        <v>4978.08</v>
      </c>
      <c r="I93" s="2"/>
      <c r="J93" s="6">
        <f t="shared" si="39"/>
        <v>3.415223046910402E-3</v>
      </c>
      <c r="K93" s="2"/>
      <c r="L93" s="7">
        <f t="shared" si="40"/>
        <v>-4978.08</v>
      </c>
      <c r="M93" s="2"/>
      <c r="N93" s="6">
        <f t="shared" si="41"/>
        <v>-1</v>
      </c>
      <c r="O93" s="11"/>
      <c r="P93" s="7"/>
      <c r="Q93" s="2"/>
      <c r="R93" s="6">
        <f t="shared" si="42"/>
        <v>0</v>
      </c>
      <c r="S93" s="2"/>
      <c r="T93" s="7">
        <v>4978.08</v>
      </c>
      <c r="U93" s="2"/>
      <c r="V93" s="6">
        <f t="shared" si="43"/>
        <v>3.2427299950062239E-3</v>
      </c>
      <c r="W93" s="2"/>
      <c r="X93" s="7">
        <f t="shared" si="44"/>
        <v>-4978.08</v>
      </c>
      <c r="Y93" s="2"/>
      <c r="Z93" s="6">
        <f t="shared" si="45"/>
        <v>-1</v>
      </c>
    </row>
    <row r="94" spans="1:26" s="24" customFormat="1" hidden="1" outlineLevel="2" x14ac:dyDescent="0.25">
      <c r="A94" s="29"/>
      <c r="B94" s="11" t="str">
        <f>CONCATENATE("          ", "6247", " - ", "STORE SUPPLIES")</f>
        <v xml:space="preserve">          6247 - STORE SUPPLIES</v>
      </c>
      <c r="C94" s="11"/>
      <c r="D94" s="7"/>
      <c r="E94" s="2"/>
      <c r="F94" s="6">
        <f t="shared" si="38"/>
        <v>0</v>
      </c>
      <c r="G94" s="2"/>
      <c r="H94" s="7"/>
      <c r="I94" s="2"/>
      <c r="J94" s="6">
        <f t="shared" si="39"/>
        <v>0</v>
      </c>
      <c r="K94" s="2"/>
      <c r="L94" s="7">
        <f t="shared" si="40"/>
        <v>0</v>
      </c>
      <c r="M94" s="2"/>
      <c r="N94" s="6">
        <f t="shared" si="41"/>
        <v>0</v>
      </c>
      <c r="O94" s="11"/>
      <c r="P94" s="7">
        <v>633.1</v>
      </c>
      <c r="Q94" s="2"/>
      <c r="R94" s="6">
        <f t="shared" si="42"/>
        <v>7.4064051377779698E-4</v>
      </c>
      <c r="S94" s="2"/>
      <c r="T94" s="7">
        <v>16.39</v>
      </c>
      <c r="U94" s="2"/>
      <c r="V94" s="6">
        <f t="shared" si="43"/>
        <v>1.0676474588225182E-5</v>
      </c>
      <c r="W94" s="2"/>
      <c r="X94" s="7">
        <f t="shared" si="44"/>
        <v>616.71</v>
      </c>
      <c r="Y94" s="2"/>
      <c r="Z94" s="6">
        <f t="shared" si="45"/>
        <v>37.627211714460039</v>
      </c>
    </row>
    <row r="95" spans="1:26" s="28" customFormat="1" outlineLevel="1" collapsed="1" x14ac:dyDescent="0.25">
      <c r="A95" s="27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SUM(OSRRefD22_12x_0)</f>
        <v>472.8</v>
      </c>
      <c r="E95" s="1"/>
      <c r="F95" s="5">
        <f t="shared" ref="F95:F97" si="46">IF(D$12=0,0,D95/D$12)</f>
        <v>5.8079132916871886E-4</v>
      </c>
      <c r="G95" s="1"/>
      <c r="H95" s="1">
        <f>SUM(OSRRefH22_12x_0)</f>
        <v>830.15</v>
      </c>
      <c r="I95" s="1"/>
      <c r="J95" s="5">
        <f t="shared" ref="J95:J97" si="47">IF(H$12=0,0,H95/H$12)</f>
        <v>5.6952628571510912E-4</v>
      </c>
      <c r="K95" s="1"/>
      <c r="L95" s="1">
        <f t="shared" ref="L95:L97" si="48">+D95-H95</f>
        <v>-357.34999999999997</v>
      </c>
      <c r="M95" s="1"/>
      <c r="N95" s="5">
        <f t="shared" ref="N95:N97" si="49">IF(H95=0,0,L95/H95)</f>
        <v>-0.43046437390832981</v>
      </c>
      <c r="O95" s="14"/>
      <c r="P95" s="1">
        <f>SUM(OSRRefP22_12x_0)</f>
        <v>1233.3</v>
      </c>
      <c r="Q95" s="1"/>
      <c r="R95" s="5">
        <f t="shared" ref="R95:R97" si="50">IF(P$12=0,0,P95/P$12)</f>
        <v>1.4427925219430691E-3</v>
      </c>
      <c r="S95" s="1"/>
      <c r="T95" s="1">
        <f>SUM(OSRRefT22_12x_0)</f>
        <v>1354.5</v>
      </c>
      <c r="U95" s="1"/>
      <c r="V95" s="5">
        <f t="shared" ref="V95:V97" si="51">IF(T$12=0,0,T95/T$12)</f>
        <v>8.8232366258395414E-4</v>
      </c>
      <c r="W95" s="1"/>
      <c r="X95" s="1">
        <f t="shared" ref="X95:X97" si="52">+P95-T95</f>
        <v>-121.20000000000005</v>
      </c>
      <c r="Y95" s="1"/>
      <c r="Z95" s="5">
        <f t="shared" ref="Z95:Z97" si="53">IF(T95=0,0,X95/T95)</f>
        <v>-8.9479512735326727E-2</v>
      </c>
    </row>
    <row r="96" spans="1:26" s="24" customFormat="1" hidden="1" outlineLevel="2" x14ac:dyDescent="0.25">
      <c r="A96" s="29"/>
      <c r="B96" s="11" t="str">
        <f>CONCATENATE("          ", "6303", " - ", "DATA PHONE LINES")</f>
        <v xml:space="preserve">          6303 - DATA PHONE LINES</v>
      </c>
      <c r="C96" s="11"/>
      <c r="D96" s="7"/>
      <c r="E96" s="2"/>
      <c r="F96" s="6">
        <f t="shared" si="46"/>
        <v>0</v>
      </c>
      <c r="G96" s="2"/>
      <c r="H96" s="7">
        <v>295</v>
      </c>
      <c r="I96" s="2"/>
      <c r="J96" s="6">
        <f t="shared" si="47"/>
        <v>2.0238541743776087E-4</v>
      </c>
      <c r="K96" s="2"/>
      <c r="L96" s="7">
        <f t="shared" si="48"/>
        <v>-295</v>
      </c>
      <c r="M96" s="2"/>
      <c r="N96" s="6">
        <f t="shared" si="49"/>
        <v>-1</v>
      </c>
      <c r="O96" s="11"/>
      <c r="P96" s="7">
        <v>295</v>
      </c>
      <c r="Q96" s="2"/>
      <c r="R96" s="6">
        <f t="shared" si="50"/>
        <v>3.4510970078099846E-4</v>
      </c>
      <c r="S96" s="2"/>
      <c r="T96" s="7">
        <v>590</v>
      </c>
      <c r="U96" s="2"/>
      <c r="V96" s="6">
        <f t="shared" si="51"/>
        <v>3.843270291063366E-4</v>
      </c>
      <c r="W96" s="2"/>
      <c r="X96" s="7">
        <f t="shared" si="52"/>
        <v>-295</v>
      </c>
      <c r="Y96" s="2"/>
      <c r="Z96" s="6">
        <f t="shared" si="53"/>
        <v>-0.5</v>
      </c>
    </row>
    <row r="97" spans="1:26" s="24" customFormat="1" hidden="1" outlineLevel="2" x14ac:dyDescent="0.25">
      <c r="A97" s="29"/>
      <c r="B97" s="11" t="str">
        <f>CONCATENATE("          ", "6309", " - ", "TELEPHONE")</f>
        <v xml:space="preserve">          6309 - TELEPHONE</v>
      </c>
      <c r="C97" s="11"/>
      <c r="D97" s="7">
        <v>472.8</v>
      </c>
      <c r="E97" s="2"/>
      <c r="F97" s="6">
        <f t="shared" si="46"/>
        <v>5.8079132916871886E-4</v>
      </c>
      <c r="G97" s="2"/>
      <c r="H97" s="7">
        <v>535.15</v>
      </c>
      <c r="I97" s="2"/>
      <c r="J97" s="6">
        <f t="shared" si="47"/>
        <v>3.671408682773482E-4</v>
      </c>
      <c r="K97" s="2"/>
      <c r="L97" s="7">
        <f t="shared" si="48"/>
        <v>-62.349999999999966</v>
      </c>
      <c r="M97" s="2"/>
      <c r="N97" s="6">
        <f t="shared" si="49"/>
        <v>-0.11650938989068479</v>
      </c>
      <c r="O97" s="11"/>
      <c r="P97" s="7">
        <v>938.3</v>
      </c>
      <c r="Q97" s="2"/>
      <c r="R97" s="6">
        <f t="shared" si="50"/>
        <v>1.0976828211620706E-3</v>
      </c>
      <c r="S97" s="2"/>
      <c r="T97" s="7">
        <v>764.5</v>
      </c>
      <c r="U97" s="2"/>
      <c r="V97" s="6">
        <f t="shared" si="51"/>
        <v>4.9799663347761748E-4</v>
      </c>
      <c r="W97" s="2"/>
      <c r="X97" s="7">
        <f t="shared" si="52"/>
        <v>173.79999999999995</v>
      </c>
      <c r="Y97" s="2"/>
      <c r="Z97" s="6">
        <f t="shared" si="53"/>
        <v>0.22733812949640281</v>
      </c>
    </row>
    <row r="98" spans="1:26" s="28" customFormat="1" outlineLevel="1" collapsed="1" x14ac:dyDescent="0.25">
      <c r="A98" s="27"/>
      <c r="B98" s="14" t="str">
        <f>CONCATENATE("     ","Training                                          ")</f>
        <v xml:space="preserve">     Training                                          </v>
      </c>
      <c r="C98" s="14"/>
      <c r="D98" s="1">
        <f>SUM(OSRRefD22_13x_0)</f>
        <v>0</v>
      </c>
      <c r="E98" s="1"/>
      <c r="F98" s="5">
        <f t="shared" ref="F98:F101" si="54">IF(D$12=0,0,D98/D$12)</f>
        <v>0</v>
      </c>
      <c r="G98" s="1"/>
      <c r="H98" s="1">
        <f>SUM(OSRRefH22_13x_0)</f>
        <v>30.86</v>
      </c>
      <c r="I98" s="1"/>
      <c r="J98" s="5">
        <f t="shared" ref="J98:J101" si="55">IF(H$12=0,0,H98/H$12)</f>
        <v>2.117157282077729E-5</v>
      </c>
      <c r="K98" s="1"/>
      <c r="L98" s="1">
        <f t="shared" ref="L98:L101" si="56">+D98-H98</f>
        <v>-30.86</v>
      </c>
      <c r="M98" s="1"/>
      <c r="N98" s="5">
        <f t="shared" ref="N98:N101" si="57">IF(H98=0,0,L98/H98)</f>
        <v>-1</v>
      </c>
      <c r="O98" s="14"/>
      <c r="P98" s="1">
        <f>SUM(OSRRefP22_13x_0)</f>
        <v>0</v>
      </c>
      <c r="Q98" s="1"/>
      <c r="R98" s="5">
        <f t="shared" ref="R98:R101" si="58">IF(P$12=0,0,P98/P$12)</f>
        <v>0</v>
      </c>
      <c r="S98" s="1"/>
      <c r="T98" s="1">
        <f>SUM(OSRRefT22_13x_0)</f>
        <v>547.47</v>
      </c>
      <c r="U98" s="1"/>
      <c r="V98" s="5">
        <f t="shared" ref="V98:V101" si="59">IF(T$12=0,0,T98/T$12)</f>
        <v>3.5662291292346801E-4</v>
      </c>
      <c r="W98" s="1"/>
      <c r="X98" s="1">
        <f t="shared" ref="X98:X101" si="60">+P98-T98</f>
        <v>-547.47</v>
      </c>
      <c r="Y98" s="1"/>
      <c r="Z98" s="5">
        <f t="shared" ref="Z98:Z101" si="61">IF(T98=0,0,X98/T98)</f>
        <v>-1</v>
      </c>
    </row>
    <row r="99" spans="1:26" s="24" customFormat="1" hidden="1" outlineLevel="2" x14ac:dyDescent="0.25">
      <c r="A99" s="29"/>
      <c r="B99" s="11" t="str">
        <f>CONCATENATE("          ", "6376", " - ", "TRAINING")</f>
        <v xml:space="preserve">          6376 - TRAINING</v>
      </c>
      <c r="C99" s="11"/>
      <c r="D99" s="7"/>
      <c r="E99" s="2"/>
      <c r="F99" s="6">
        <f t="shared" si="54"/>
        <v>0</v>
      </c>
      <c r="G99" s="2"/>
      <c r="H99" s="7">
        <v>30.86</v>
      </c>
      <c r="I99" s="2"/>
      <c r="J99" s="6">
        <f t="shared" si="55"/>
        <v>2.117157282077729E-5</v>
      </c>
      <c r="K99" s="2"/>
      <c r="L99" s="7">
        <f t="shared" si="56"/>
        <v>-30.86</v>
      </c>
      <c r="M99" s="2"/>
      <c r="N99" s="6">
        <f t="shared" si="57"/>
        <v>-1</v>
      </c>
      <c r="O99" s="11"/>
      <c r="P99" s="7"/>
      <c r="Q99" s="2"/>
      <c r="R99" s="6">
        <f t="shared" si="58"/>
        <v>0</v>
      </c>
      <c r="S99" s="2"/>
      <c r="T99" s="7">
        <v>547.47</v>
      </c>
      <c r="U99" s="2"/>
      <c r="V99" s="6">
        <f t="shared" si="59"/>
        <v>3.5662291292346801E-4</v>
      </c>
      <c r="W99" s="2"/>
      <c r="X99" s="7">
        <f t="shared" si="60"/>
        <v>-547.47</v>
      </c>
      <c r="Y99" s="2"/>
      <c r="Z99" s="6">
        <f t="shared" si="61"/>
        <v>-1</v>
      </c>
    </row>
    <row r="100" spans="1:26" s="28" customFormat="1" outlineLevel="1" collapsed="1" x14ac:dyDescent="0.25">
      <c r="A100" s="27"/>
      <c r="B100" s="14" t="str">
        <f>CONCATENATE("     ","Travel                                            ")</f>
        <v xml:space="preserve">     Travel                                            </v>
      </c>
      <c r="C100" s="14"/>
      <c r="D100" s="1">
        <f>SUM(OSRRefD22_14x_0)</f>
        <v>0</v>
      </c>
      <c r="E100" s="1"/>
      <c r="F100" s="5">
        <f t="shared" si="54"/>
        <v>0</v>
      </c>
      <c r="G100" s="1"/>
      <c r="H100" s="1">
        <f>SUM(OSRRefH22_14x_0)</f>
        <v>0</v>
      </c>
      <c r="I100" s="1"/>
      <c r="J100" s="5">
        <f t="shared" si="55"/>
        <v>0</v>
      </c>
      <c r="K100" s="1"/>
      <c r="L100" s="1">
        <f t="shared" si="56"/>
        <v>0</v>
      </c>
      <c r="M100" s="1"/>
      <c r="N100" s="5">
        <f t="shared" si="57"/>
        <v>0</v>
      </c>
      <c r="O100" s="14"/>
      <c r="P100" s="1">
        <f>SUM(OSRRefP22_14x_0)</f>
        <v>0.16</v>
      </c>
      <c r="Q100" s="1"/>
      <c r="R100" s="5">
        <f t="shared" si="58"/>
        <v>1.8717814279647373E-7</v>
      </c>
      <c r="S100" s="1"/>
      <c r="T100" s="1">
        <f>SUM(OSRRefT22_14x_0)</f>
        <v>0</v>
      </c>
      <c r="U100" s="1"/>
      <c r="V100" s="5">
        <f t="shared" si="59"/>
        <v>0</v>
      </c>
      <c r="W100" s="1"/>
      <c r="X100" s="1">
        <f t="shared" si="60"/>
        <v>0.16</v>
      </c>
      <c r="Y100" s="1"/>
      <c r="Z100" s="5">
        <f t="shared" si="61"/>
        <v>0</v>
      </c>
    </row>
    <row r="101" spans="1:26" s="24" customFormat="1" hidden="1" outlineLevel="2" x14ac:dyDescent="0.25">
      <c r="A101" s="29"/>
      <c r="B101" s="11" t="str">
        <f>CONCATENATE("          ", "6292", " - ", "TRAVEL/CONFERENCE")</f>
        <v xml:space="preserve">          6292 - TRAVEL/CONFERENCE</v>
      </c>
      <c r="C101" s="11"/>
      <c r="D101" s="7"/>
      <c r="E101" s="2"/>
      <c r="F101" s="6">
        <f t="shared" si="54"/>
        <v>0</v>
      </c>
      <c r="G101" s="2"/>
      <c r="H101" s="7"/>
      <c r="I101" s="2"/>
      <c r="J101" s="6">
        <f t="shared" si="55"/>
        <v>0</v>
      </c>
      <c r="K101" s="2"/>
      <c r="L101" s="7">
        <f t="shared" si="56"/>
        <v>0</v>
      </c>
      <c r="M101" s="2"/>
      <c r="N101" s="6">
        <f t="shared" si="57"/>
        <v>0</v>
      </c>
      <c r="O101" s="11"/>
      <c r="P101" s="7">
        <v>0.16</v>
      </c>
      <c r="Q101" s="2"/>
      <c r="R101" s="6">
        <f t="shared" si="58"/>
        <v>1.8717814279647373E-7</v>
      </c>
      <c r="S101" s="2"/>
      <c r="T101" s="7"/>
      <c r="U101" s="2"/>
      <c r="V101" s="6">
        <f t="shared" si="59"/>
        <v>0</v>
      </c>
      <c r="W101" s="2"/>
      <c r="X101" s="7">
        <f t="shared" si="60"/>
        <v>0.16</v>
      </c>
      <c r="Y101" s="2"/>
      <c r="Z101" s="6">
        <f t="shared" si="61"/>
        <v>0</v>
      </c>
    </row>
    <row r="102" spans="1:26" s="52" customFormat="1" x14ac:dyDescent="0.25">
      <c r="A102" s="37"/>
      <c r="B102" s="37"/>
      <c r="C102" s="37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7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collapsed="1" x14ac:dyDescent="0.25">
      <c r="A103" s="10"/>
      <c r="B103" s="25" t="s">
        <v>0</v>
      </c>
      <c r="C103" s="10"/>
      <c r="D103" s="4">
        <f>SUM(OSRRefD25x_0)</f>
        <v>1890.48</v>
      </c>
      <c r="E103" s="4"/>
      <c r="F103" s="12">
        <f t="shared" ref="F103:F105" si="62">IF(D$12=0,0,D103/D$12)</f>
        <v>2.3222808628741106E-3</v>
      </c>
      <c r="G103" s="4"/>
      <c r="H103" s="4">
        <f>SUM(OSRRefH25x_0)</f>
        <v>1899.3400000000001</v>
      </c>
      <c r="I103" s="4"/>
      <c r="J103" s="12">
        <f t="shared" ref="J103:J105" si="63">IF(H$12=0,0,H103/H$12)</f>
        <v>1.3030465042584297E-3</v>
      </c>
      <c r="K103" s="4"/>
      <c r="L103" s="4">
        <f t="shared" ref="L103:L105" si="64">+D103-H103</f>
        <v>-8.8600000000001273</v>
      </c>
      <c r="M103" s="4"/>
      <c r="N103" s="12">
        <f t="shared" ref="N103:N105" si="65">IF(H103=0,0,L103/H103)</f>
        <v>-4.6647782914065556E-3</v>
      </c>
      <c r="O103" s="10"/>
      <c r="P103" s="4">
        <f>SUM(OSRRefP25x_0)</f>
        <v>3947.41</v>
      </c>
      <c r="Q103" s="4"/>
      <c r="R103" s="12">
        <f t="shared" ref="R103:R105" si="66">IF(P$12=0,0,P103/P$12)</f>
        <v>4.6179304541014276E-3</v>
      </c>
      <c r="S103" s="4"/>
      <c r="T103" s="4">
        <f>SUM(OSRRefT25x_0)</f>
        <v>2326.1</v>
      </c>
      <c r="U103" s="4"/>
      <c r="V103" s="12">
        <f t="shared" ref="V103:V105" si="67">IF(T$12=0,0,T103/T$12)</f>
        <v>1.5152255972953382E-3</v>
      </c>
      <c r="W103" s="4"/>
      <c r="X103" s="4">
        <f t="shared" ref="X103:X105" si="68">+P103-T103</f>
        <v>1621.31</v>
      </c>
      <c r="Y103" s="4"/>
      <c r="Z103" s="12">
        <f t="shared" ref="Z103:Z105" si="69">IF(T103=0,0,X103/T103)</f>
        <v>0.69700786724560426</v>
      </c>
    </row>
    <row r="104" spans="1:26" s="24" customFormat="1" hidden="1" outlineLevel="1" x14ac:dyDescent="0.25">
      <c r="A104" s="44"/>
      <c r="B104" s="11" t="str">
        <f>CONCATENATE("          ", "9150", " - ", "MISC. INCOME")</f>
        <v xml:space="preserve">          9150 - MISC. INCOME</v>
      </c>
      <c r="C104" s="11"/>
      <c r="D104" s="2">
        <f>--1818.48</f>
        <v>1818.48</v>
      </c>
      <c r="E104" s="2"/>
      <c r="F104" s="19">
        <f t="shared" si="62"/>
        <v>2.233835482797656E-3</v>
      </c>
      <c r="G104" s="2"/>
      <c r="H104" s="2">
        <f>--1891.91</f>
        <v>1891.91</v>
      </c>
      <c r="I104" s="2"/>
      <c r="J104" s="19">
        <f t="shared" si="63"/>
        <v>1.297949135948048E-3</v>
      </c>
      <c r="K104" s="2"/>
      <c r="L104" s="2">
        <f t="shared" si="64"/>
        <v>-73.430000000000064</v>
      </c>
      <c r="M104" s="2"/>
      <c r="N104" s="19">
        <f t="shared" si="65"/>
        <v>-3.88126285076986E-2</v>
      </c>
      <c r="O104" s="11"/>
      <c r="P104" s="2">
        <f>--2401.02</f>
        <v>2401.02</v>
      </c>
      <c r="Q104" s="2"/>
      <c r="R104" s="19">
        <f t="shared" si="66"/>
        <v>2.8088654026074333E-3</v>
      </c>
      <c r="S104" s="2"/>
      <c r="T104" s="2">
        <f>--2318.67</f>
        <v>2318.67</v>
      </c>
      <c r="U104" s="2"/>
      <c r="V104" s="19">
        <f t="shared" si="67"/>
        <v>1.5103856823355756E-3</v>
      </c>
      <c r="W104" s="2"/>
      <c r="X104" s="2">
        <f t="shared" si="68"/>
        <v>82.349999999999909</v>
      </c>
      <c r="Y104" s="2"/>
      <c r="Z104" s="19">
        <f t="shared" si="69"/>
        <v>3.551605014943908E-2</v>
      </c>
    </row>
    <row r="105" spans="1:26" s="24" customFormat="1" hidden="1" outlineLevel="1" x14ac:dyDescent="0.25">
      <c r="A105" s="44"/>
      <c r="B105" s="11" t="str">
        <f>CONCATENATE("          ", "9152", " - ", "MISC. INCOME")</f>
        <v xml:space="preserve">          9152 - MISC. INCOME</v>
      </c>
      <c r="C105" s="11"/>
      <c r="D105" s="2">
        <f>--72</f>
        <v>72</v>
      </c>
      <c r="E105" s="2"/>
      <c r="F105" s="19">
        <f t="shared" si="62"/>
        <v>8.8445380076454641E-5</v>
      </c>
      <c r="G105" s="2"/>
      <c r="H105" s="2">
        <f>--7.43</f>
        <v>7.43</v>
      </c>
      <c r="I105" s="2"/>
      <c r="J105" s="19">
        <f t="shared" si="63"/>
        <v>5.0973683103815698E-6</v>
      </c>
      <c r="K105" s="2"/>
      <c r="L105" s="2">
        <f t="shared" si="64"/>
        <v>64.569999999999993</v>
      </c>
      <c r="M105" s="2"/>
      <c r="N105" s="19">
        <f t="shared" si="65"/>
        <v>8.6904441453566612</v>
      </c>
      <c r="O105" s="11"/>
      <c r="P105" s="2">
        <f>--1546.39</f>
        <v>1546.39</v>
      </c>
      <c r="Q105" s="2"/>
      <c r="R105" s="19">
        <f t="shared" si="66"/>
        <v>1.8090650514939941E-3</v>
      </c>
      <c r="S105" s="2"/>
      <c r="T105" s="2">
        <f>--7.43</f>
        <v>7.43</v>
      </c>
      <c r="U105" s="2"/>
      <c r="V105" s="19">
        <f t="shared" si="67"/>
        <v>4.8399149597628495E-6</v>
      </c>
      <c r="W105" s="2"/>
      <c r="X105" s="2">
        <f t="shared" si="68"/>
        <v>1538.96</v>
      </c>
      <c r="Y105" s="2"/>
      <c r="Z105" s="19">
        <f t="shared" si="69"/>
        <v>207.12786002691792</v>
      </c>
    </row>
    <row r="106" spans="1:26" x14ac:dyDescent="0.25">
      <c r="A106" s="9"/>
      <c r="B106" s="10"/>
      <c r="C106" s="10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O106" s="10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10"/>
      <c r="B107" s="26" t="s">
        <v>3</v>
      </c>
      <c r="C107" s="26"/>
      <c r="D107" s="22">
        <f>+D52-D54+D103</f>
        <v>186193.67999999988</v>
      </c>
      <c r="E107" s="13"/>
      <c r="F107" s="21">
        <f>IF(D$12=0,0,D107/D$12)</f>
        <v>0.22872181660324667</v>
      </c>
      <c r="G107" s="13"/>
      <c r="H107" s="22">
        <f>+H52-H54+H103</f>
        <v>369234.57999999973</v>
      </c>
      <c r="I107" s="13"/>
      <c r="J107" s="21">
        <f>IF(H$12=0,0,H107/H$12)</f>
        <v>0.25331421900256357</v>
      </c>
      <c r="K107" s="16"/>
      <c r="L107" s="22">
        <f>+D107-H107</f>
        <v>-183040.89999999985</v>
      </c>
      <c r="M107" s="16"/>
      <c r="N107" s="21">
        <f>IF(H107=0,0,L107/H107)</f>
        <v>-0.49573065447987019</v>
      </c>
      <c r="O107" s="25"/>
      <c r="P107" s="22">
        <f>+P52-P54+P103</f>
        <v>162757.42000000001</v>
      </c>
      <c r="Q107" s="13"/>
      <c r="R107" s="21">
        <f>IF(P$12=0,0,P107/P$12)</f>
        <v>0.19040394751216033</v>
      </c>
      <c r="S107" s="13"/>
      <c r="T107" s="22">
        <f>+T52-T54+T103</f>
        <v>340918.56999999972</v>
      </c>
      <c r="U107" s="13"/>
      <c r="V107" s="21">
        <f>IF(T$12=0,0,T107/T$12)</f>
        <v>0.22207495114454331</v>
      </c>
      <c r="W107" s="16"/>
      <c r="X107" s="22">
        <f>+P107-T107</f>
        <v>-178161.1499999997</v>
      </c>
      <c r="Y107" s="16"/>
      <c r="Z107" s="21">
        <f>IF(T107=0,0,X107/T107)</f>
        <v>-0.52259150916888997</v>
      </c>
    </row>
    <row r="108" spans="1:26" x14ac:dyDescent="0.25">
      <c r="A108" s="9"/>
      <c r="B108" s="10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x14ac:dyDescent="0.25">
      <c r="A109" s="51"/>
      <c r="B109" s="10" t="s">
        <v>13</v>
      </c>
      <c r="C109" s="10"/>
      <c r="D109" s="4">
        <v>124358.11000000002</v>
      </c>
      <c r="E109" s="4"/>
      <c r="F109" s="12">
        <f>IF(D$12=0,0,D109/D$12)</f>
        <v>0.15276250422971607</v>
      </c>
      <c r="G109" s="4"/>
      <c r="H109" s="4">
        <v>175283.29</v>
      </c>
      <c r="I109" s="4"/>
      <c r="J109" s="12">
        <f>IF(H$12=0,0,H109/H$12)</f>
        <v>0.12025349768309863</v>
      </c>
      <c r="K109" s="4"/>
      <c r="L109" s="4">
        <f>+D109-H109</f>
        <v>-50925.179999999993</v>
      </c>
      <c r="M109" s="4"/>
      <c r="N109" s="12">
        <f>IF(H109=0,0,L109/H109)</f>
        <v>-0.29053071744602688</v>
      </c>
      <c r="O109" s="10"/>
      <c r="P109" s="4">
        <v>144321.72999999998</v>
      </c>
      <c r="Q109" s="4"/>
      <c r="R109" s="12">
        <f>IF(P$12=0,0,P109/P$12)</f>
        <v>0.16883670866608827</v>
      </c>
      <c r="S109" s="4"/>
      <c r="T109" s="4">
        <v>191405.32</v>
      </c>
      <c r="U109" s="4"/>
      <c r="V109" s="12">
        <f>IF(T$12=0,0,T109/T$12)</f>
        <v>0.124681759306352</v>
      </c>
      <c r="W109" s="4"/>
      <c r="X109" s="4">
        <f>+P109-T109</f>
        <v>-47083.590000000026</v>
      </c>
      <c r="Y109" s="4"/>
      <c r="Z109" s="12">
        <f>IF(T109=0,0,X109/T109)</f>
        <v>-0.24598893071519654</v>
      </c>
    </row>
    <row r="110" spans="1:26" x14ac:dyDescent="0.25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ht="15.75" thickBot="1" x14ac:dyDescent="0.3">
      <c r="A111" s="10"/>
      <c r="B111" s="26" t="s">
        <v>4</v>
      </c>
      <c r="C111" s="26"/>
      <c r="D111" s="36">
        <f>+D107-D109</f>
        <v>61835.569999999861</v>
      </c>
      <c r="E111" s="13"/>
      <c r="F111" s="34">
        <f>IF(D$12=0,0,D111/D$12)</f>
        <v>7.595931237353061E-2</v>
      </c>
      <c r="G111" s="13"/>
      <c r="H111" s="36">
        <f>+H107-H109</f>
        <v>193951.28999999972</v>
      </c>
      <c r="I111" s="13"/>
      <c r="J111" s="34">
        <f>IF(H$12=0,0,H111/H$12)</f>
        <v>0.13306072131946495</v>
      </c>
      <c r="K111" s="16"/>
      <c r="L111" s="36">
        <f>D111-H111</f>
        <v>-132115.71999999986</v>
      </c>
      <c r="M111" s="16"/>
      <c r="N111" s="34">
        <f>IF(H111=0,0,L111/H111)</f>
        <v>-0.68117989831364389</v>
      </c>
      <c r="O111" s="25"/>
      <c r="P111" s="36">
        <f>+P107-P109</f>
        <v>18435.690000000031</v>
      </c>
      <c r="Q111" s="13"/>
      <c r="R111" s="34">
        <f>IF(P$12=0,0,P111/P$12)</f>
        <v>2.1567238846072055E-2</v>
      </c>
      <c r="S111" s="13"/>
      <c r="T111" s="36">
        <f>+T107-T109</f>
        <v>149513.24999999971</v>
      </c>
      <c r="U111" s="13"/>
      <c r="V111" s="34">
        <f>IF(T$12=0,0,T111/T$12)</f>
        <v>9.7393191838191312E-2</v>
      </c>
      <c r="W111" s="16"/>
      <c r="X111" s="36">
        <f>P111-T111</f>
        <v>-131077.55999999968</v>
      </c>
      <c r="Y111" s="16"/>
      <c r="Z111" s="34">
        <f>IF(T111=0,0,X111/T111)</f>
        <v>-0.87669527617117504</v>
      </c>
    </row>
    <row r="112" spans="1:26" ht="15.75" thickTop="1" x14ac:dyDescent="0.25">
      <c r="A112" s="9"/>
      <c r="B112" s="9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x14ac:dyDescent="0.25">
      <c r="A113" s="9"/>
      <c r="B113" s="9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.75" thickBot="1" x14ac:dyDescent="0.3">
      <c r="A114" s="10"/>
      <c r="B114" s="26" t="s">
        <v>5</v>
      </c>
      <c r="C114" s="26"/>
      <c r="D114" s="30">
        <f>SUM(D111:D113)</f>
        <v>61835.569999999861</v>
      </c>
      <c r="E114" s="13"/>
      <c r="F114" s="31">
        <f>IF(D$12=0,0,D114/D$12)</f>
        <v>7.595931237353061E-2</v>
      </c>
      <c r="G114" s="13"/>
      <c r="H114" s="30">
        <f>SUM(H111:H113)</f>
        <v>193951.28999999972</v>
      </c>
      <c r="I114" s="13"/>
      <c r="J114" s="31">
        <f>IF(H$12=0,0,H114/H$12)</f>
        <v>0.13306072131946495</v>
      </c>
      <c r="K114" s="16"/>
      <c r="L114" s="30">
        <f>+D114-H114</f>
        <v>-132115.71999999986</v>
      </c>
      <c r="M114" s="16"/>
      <c r="N114" s="31">
        <f>IF(H114=0,0,L114/H114)</f>
        <v>-0.68117989831364389</v>
      </c>
      <c r="O114" s="25"/>
      <c r="P114" s="30">
        <f>SUM(P111:P113)</f>
        <v>18435.690000000031</v>
      </c>
      <c r="Q114" s="13"/>
      <c r="R114" s="31">
        <f>IF(P$12=0,0,P114/P$12)</f>
        <v>2.1567238846072055E-2</v>
      </c>
      <c r="S114" s="13"/>
      <c r="T114" s="30">
        <f>SUM(T111:T113)</f>
        <v>149513.24999999971</v>
      </c>
      <c r="U114" s="13"/>
      <c r="V114" s="31">
        <f>IF(T$12=0,0,T114/T$12)</f>
        <v>9.7393191838191312E-2</v>
      </c>
      <c r="W114" s="16"/>
      <c r="X114" s="30">
        <f>+P114-T114</f>
        <v>-131077.55999999968</v>
      </c>
      <c r="Y114" s="16"/>
      <c r="Z114" s="31">
        <f>IF(T114=0,0,X114/T114)</f>
        <v>-0.87669527617117504</v>
      </c>
    </row>
    <row r="115" spans="1:26" ht="15.75" thickTop="1" x14ac:dyDescent="0.25">
      <c r="A115" s="9"/>
      <c r="C115" s="9"/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6" x14ac:dyDescent="0.25">
      <c r="A116" s="9"/>
      <c r="B116" s="61">
        <v>44113.696215706019</v>
      </c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6" x14ac:dyDescent="0.25">
      <c r="A117" s="9"/>
      <c r="B117" s="56" t="s">
        <v>313</v>
      </c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  <row r="118" spans="1:26" x14ac:dyDescent="0.25">
      <c r="A118" s="9"/>
      <c r="B118" s="58"/>
      <c r="D118" s="18"/>
      <c r="E118" s="18"/>
      <c r="G118" s="18"/>
      <c r="H118" s="18"/>
      <c r="I118" s="18"/>
      <c r="J118" s="43"/>
      <c r="K118" s="18"/>
      <c r="L118" s="18"/>
      <c r="M118" s="18"/>
      <c r="P118" s="18"/>
      <c r="Q118" s="18"/>
      <c r="R118" s="43"/>
      <c r="S118" s="18"/>
      <c r="T118" s="18"/>
      <c r="U118" s="18"/>
      <c r="V118" s="43"/>
      <c r="W118" s="18"/>
      <c r="X118" s="18"/>
    </row>
    <row r="119" spans="1:26" x14ac:dyDescent="0.25">
      <c r="D119" s="18"/>
      <c r="E119" s="18"/>
      <c r="G119" s="18"/>
      <c r="H119" s="18"/>
      <c r="I119" s="18"/>
      <c r="J119" s="43"/>
      <c r="K119" s="18"/>
      <c r="L119" s="18"/>
      <c r="M119" s="18"/>
      <c r="P119" s="18"/>
      <c r="Q119" s="18"/>
      <c r="R119" s="43"/>
      <c r="S119" s="18"/>
      <c r="T119" s="18"/>
      <c r="U119" s="18"/>
      <c r="V119" s="43"/>
      <c r="W119" s="18"/>
      <c r="X119" s="18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1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","324", " - ", "Textbook Rental")</f>
        <v>Department 324 - Textbook Rental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412046.82</v>
      </c>
      <c r="E12" s="4"/>
      <c r="F12" s="12"/>
      <c r="G12" s="4"/>
      <c r="H12" s="4">
        <f>SUM(OSRRefH13x_0)</f>
        <v>692067.47</v>
      </c>
      <c r="I12" s="4"/>
      <c r="J12" s="12"/>
      <c r="K12" s="4"/>
      <c r="L12" s="4">
        <f t="shared" ref="L12:L15" si="0">+D12-H12</f>
        <v>-280020.64999999997</v>
      </c>
      <c r="M12" s="4"/>
      <c r="N12" s="12">
        <f t="shared" ref="N12:N15" si="1">IF(H12=0,0,L12/H12)</f>
        <v>-0.40461466856692452</v>
      </c>
      <c r="O12" s="10"/>
      <c r="P12" s="4">
        <f>SUM(OSRRefP13x_0)</f>
        <v>419346.45999999996</v>
      </c>
      <c r="Q12" s="4"/>
      <c r="R12" s="12"/>
      <c r="S12" s="4"/>
      <c r="T12" s="4">
        <f>SUM(OSRRefT13x_0)</f>
        <v>706664.63</v>
      </c>
      <c r="U12" s="4"/>
      <c r="V12" s="12"/>
      <c r="W12" s="4"/>
      <c r="X12" s="4">
        <f t="shared" ref="X12:X15" si="2">+P12-T12</f>
        <v>-287318.17000000004</v>
      </c>
      <c r="Y12" s="4"/>
      <c r="Z12" s="12">
        <f t="shared" ref="Z12:Z15" si="3">IF(T12=0,0,X12/T12)</f>
        <v>-0.40658348784203341</v>
      </c>
    </row>
    <row r="13" spans="1:26" s="24" customFormat="1" hidden="1" outlineLevel="1" x14ac:dyDescent="0.25">
      <c r="A13" s="44"/>
      <c r="B13" s="11" t="str">
        <f>CONCATENATE("          ", "4001", " - ", "TAXABLE SALES-NEW TEXT")</f>
        <v xml:space="preserve">          4001 - TAXABLE SALES-NEW TEXT</v>
      </c>
      <c r="C13" s="11"/>
      <c r="D13" s="2">
        <f>--145338.32</f>
        <v>145338.32</v>
      </c>
      <c r="E13" s="2"/>
      <c r="F13" s="19"/>
      <c r="G13" s="2"/>
      <c r="H13" s="2">
        <f>--179739.63</f>
        <v>179739.63</v>
      </c>
      <c r="I13" s="2"/>
      <c r="J13" s="19"/>
      <c r="K13" s="2"/>
      <c r="L13" s="2">
        <f t="shared" si="0"/>
        <v>-34401.31</v>
      </c>
      <c r="M13" s="2"/>
      <c r="N13" s="19">
        <f t="shared" si="1"/>
        <v>-0.19139524210659606</v>
      </c>
      <c r="O13" s="11"/>
      <c r="P13" s="2">
        <f>--147251.27</f>
        <v>147251.26999999999</v>
      </c>
      <c r="Q13" s="2"/>
      <c r="R13" s="19"/>
      <c r="S13" s="2"/>
      <c r="T13" s="2">
        <f>--182113.73</f>
        <v>182113.73</v>
      </c>
      <c r="U13" s="2"/>
      <c r="V13" s="19"/>
      <c r="W13" s="2"/>
      <c r="X13" s="2">
        <f t="shared" si="2"/>
        <v>-34862.460000000021</v>
      </c>
      <c r="Y13" s="2"/>
      <c r="Z13" s="19">
        <f t="shared" si="3"/>
        <v>-0.19143235383735219</v>
      </c>
    </row>
    <row r="14" spans="1:26" s="24" customFormat="1" hidden="1" outlineLevel="1" x14ac:dyDescent="0.25">
      <c r="A14" s="44"/>
      <c r="B14" s="11" t="str">
        <f>CONCATENATE("          ", "4002", " - ", "TAXABLE SALES-USED TEXT")</f>
        <v xml:space="preserve">          4002 - TAXABLE SALES-USED TEXT</v>
      </c>
      <c r="C14" s="11"/>
      <c r="D14" s="2">
        <f>--116348.47</f>
        <v>116348.47</v>
      </c>
      <c r="E14" s="2"/>
      <c r="F14" s="19"/>
      <c r="G14" s="2"/>
      <c r="H14" s="2">
        <f>--251075.61</f>
        <v>251075.61</v>
      </c>
      <c r="I14" s="2"/>
      <c r="J14" s="19"/>
      <c r="K14" s="2"/>
      <c r="L14" s="2">
        <f t="shared" si="0"/>
        <v>-134727.13999999998</v>
      </c>
      <c r="M14" s="2"/>
      <c r="N14" s="19">
        <f t="shared" si="1"/>
        <v>-0.53659987124993935</v>
      </c>
      <c r="O14" s="11"/>
      <c r="P14" s="2">
        <f>--118696.86</f>
        <v>118696.86</v>
      </c>
      <c r="Q14" s="2"/>
      <c r="R14" s="19"/>
      <c r="S14" s="2"/>
      <c r="T14" s="2">
        <f>--259036.47</f>
        <v>259036.47</v>
      </c>
      <c r="U14" s="2"/>
      <c r="V14" s="19"/>
      <c r="W14" s="2"/>
      <c r="X14" s="2">
        <f t="shared" si="2"/>
        <v>-140339.60999999999</v>
      </c>
      <c r="Y14" s="2"/>
      <c r="Z14" s="19">
        <f t="shared" si="3"/>
        <v>-0.54177548821600285</v>
      </c>
    </row>
    <row r="15" spans="1:26" s="24" customFormat="1" hidden="1" outlineLevel="1" x14ac:dyDescent="0.25">
      <c r="A15" s="44"/>
      <c r="B15" s="11" t="str">
        <f>CONCATENATE("          ", "4100", " - ", "NON-TAXABLE SALES")</f>
        <v xml:space="preserve">          4100 - NON-TAXABLE SALES</v>
      </c>
      <c r="C15" s="11"/>
      <c r="D15" s="2">
        <f>--150360.03</f>
        <v>150360.03</v>
      </c>
      <c r="E15" s="2"/>
      <c r="F15" s="19"/>
      <c r="G15" s="2"/>
      <c r="H15" s="2">
        <f>--261252.23</f>
        <v>261252.23</v>
      </c>
      <c r="I15" s="2"/>
      <c r="J15" s="19"/>
      <c r="K15" s="2"/>
      <c r="L15" s="2">
        <f t="shared" si="0"/>
        <v>-110892.20000000001</v>
      </c>
      <c r="M15" s="2"/>
      <c r="N15" s="19">
        <f t="shared" si="1"/>
        <v>-0.42446412801911781</v>
      </c>
      <c r="O15" s="11"/>
      <c r="P15" s="2">
        <f>--153398.33</f>
        <v>153398.32999999999</v>
      </c>
      <c r="Q15" s="2"/>
      <c r="R15" s="19"/>
      <c r="S15" s="2"/>
      <c r="T15" s="2">
        <f>--265514.43</f>
        <v>265514.43</v>
      </c>
      <c r="U15" s="2"/>
      <c r="V15" s="19"/>
      <c r="W15" s="2"/>
      <c r="X15" s="2">
        <f t="shared" si="2"/>
        <v>-112116.1</v>
      </c>
      <c r="Y15" s="2"/>
      <c r="Z15" s="19">
        <f t="shared" si="3"/>
        <v>-0.42225991257800943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310994.06</v>
      </c>
      <c r="E17" s="4"/>
      <c r="F17" s="12">
        <f t="shared" ref="F17:F19" si="4">IF(D$12=0,0,D17/D$12)</f>
        <v>0.75475418060500987</v>
      </c>
      <c r="G17" s="4"/>
      <c r="H17" s="4">
        <f>SUM(OSRRefH16x_0)</f>
        <v>522017.38</v>
      </c>
      <c r="I17" s="4"/>
      <c r="J17" s="12">
        <f t="shared" ref="J17:J19" si="5">IF(H$12=0,0,H17/H$12)</f>
        <v>0.75428683275634967</v>
      </c>
      <c r="K17" s="4"/>
      <c r="L17" s="4">
        <f t="shared" ref="L17:L19" si="6">+D17-H17</f>
        <v>-211023.32</v>
      </c>
      <c r="M17" s="4"/>
      <c r="N17" s="12">
        <f t="shared" ref="N17:N19" si="7">IF(H17=0,0,L17/H17)</f>
        <v>-0.4042457743456741</v>
      </c>
      <c r="O17" s="10"/>
      <c r="P17" s="4">
        <f>SUM(OSRRefP16x_0)</f>
        <v>315723.33999999997</v>
      </c>
      <c r="Q17" s="4"/>
      <c r="R17" s="12">
        <f t="shared" ref="R17:R19" si="8">IF(P$12=0,0,P17/P$12)</f>
        <v>0.75289377666381163</v>
      </c>
      <c r="S17" s="4"/>
      <c r="T17" s="4">
        <f>SUM(OSRRefT16x_0)</f>
        <v>534720.98</v>
      </c>
      <c r="U17" s="4"/>
      <c r="V17" s="12">
        <f t="shared" ref="V17:V19" si="9">IF(T$12=0,0,T17/T$12)</f>
        <v>0.75668281289244654</v>
      </c>
      <c r="W17" s="4"/>
      <c r="X17" s="4">
        <f t="shared" ref="X17:X19" si="10">+P17-T17</f>
        <v>-218997.64</v>
      </c>
      <c r="Y17" s="4"/>
      <c r="Z17" s="12">
        <f t="shared" ref="Z17:Z19" si="11">IF(T17=0,0,X17/T17)</f>
        <v>-0.40955497949603553</v>
      </c>
    </row>
    <row r="18" spans="1:26" s="24" customFormat="1" hidden="1" outlineLevel="1" x14ac:dyDescent="0.25">
      <c r="A18" s="44"/>
      <c r="B18" s="11" t="str">
        <f>CONCATENATE("          ", "5001", " - ", "PURCHASES @ COST-NEW TEXT")</f>
        <v xml:space="preserve">          5001 - PURCHASES @ COST-NEW TEXT</v>
      </c>
      <c r="C18" s="11"/>
      <c r="D18" s="2">
        <v>174735.64</v>
      </c>
      <c r="E18" s="2"/>
      <c r="F18" s="19">
        <f t="shared" si="4"/>
        <v>0.42406743971473926</v>
      </c>
      <c r="G18" s="2"/>
      <c r="H18" s="2">
        <v>215433.59</v>
      </c>
      <c r="I18" s="2"/>
      <c r="J18" s="19">
        <f t="shared" si="5"/>
        <v>0.31128986600107067</v>
      </c>
      <c r="K18" s="2"/>
      <c r="L18" s="2">
        <f t="shared" si="6"/>
        <v>-40697.949999999983</v>
      </c>
      <c r="M18" s="2"/>
      <c r="N18" s="19">
        <f t="shared" si="7"/>
        <v>-0.18891181268436358</v>
      </c>
      <c r="O18" s="11"/>
      <c r="P18" s="2">
        <v>176388.86</v>
      </c>
      <c r="Q18" s="2"/>
      <c r="R18" s="19">
        <f t="shared" si="8"/>
        <v>0.42062799337807694</v>
      </c>
      <c r="S18" s="2"/>
      <c r="T18" s="2">
        <v>218228.1</v>
      </c>
      <c r="U18" s="2"/>
      <c r="V18" s="19">
        <f t="shared" si="9"/>
        <v>0.30881423908254757</v>
      </c>
      <c r="W18" s="2"/>
      <c r="X18" s="2">
        <f t="shared" si="10"/>
        <v>-41839.24000000002</v>
      </c>
      <c r="Y18" s="2"/>
      <c r="Z18" s="19">
        <f t="shared" si="11"/>
        <v>-0.1917225141950098</v>
      </c>
    </row>
    <row r="19" spans="1:26" s="24" customFormat="1" hidden="1" outlineLevel="1" x14ac:dyDescent="0.25">
      <c r="A19" s="44"/>
      <c r="B19" s="11" t="str">
        <f>CONCATENATE("          ", "5002", " - ", "PURCHASES @ COST-USED TEXT")</f>
        <v xml:space="preserve">          5002 - PURCHASES @ COST-USED TEXT</v>
      </c>
      <c r="C19" s="11"/>
      <c r="D19" s="2">
        <v>136258.41999999998</v>
      </c>
      <c r="E19" s="2"/>
      <c r="F19" s="19">
        <f t="shared" si="4"/>
        <v>0.33068674089027061</v>
      </c>
      <c r="G19" s="2"/>
      <c r="H19" s="2">
        <v>306583.78999999998</v>
      </c>
      <c r="I19" s="2"/>
      <c r="J19" s="19">
        <f t="shared" si="5"/>
        <v>0.44299696675527894</v>
      </c>
      <c r="K19" s="2"/>
      <c r="L19" s="2">
        <f t="shared" si="6"/>
        <v>-170325.37</v>
      </c>
      <c r="M19" s="2"/>
      <c r="N19" s="19">
        <f t="shared" si="7"/>
        <v>-0.55555895502498687</v>
      </c>
      <c r="O19" s="11"/>
      <c r="P19" s="2">
        <v>139334.47999999998</v>
      </c>
      <c r="Q19" s="2"/>
      <c r="R19" s="19">
        <f t="shared" si="8"/>
        <v>0.33226578328573464</v>
      </c>
      <c r="S19" s="2"/>
      <c r="T19" s="2">
        <v>316492.88</v>
      </c>
      <c r="U19" s="2"/>
      <c r="V19" s="19">
        <f t="shared" si="9"/>
        <v>0.44786857380989903</v>
      </c>
      <c r="W19" s="2"/>
      <c r="X19" s="2">
        <f t="shared" si="10"/>
        <v>-177158.40000000002</v>
      </c>
      <c r="Y19" s="2"/>
      <c r="Z19" s="19">
        <f t="shared" si="11"/>
        <v>-0.55975477236644322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2">
        <f>D12-D17</f>
        <v>101052.76000000001</v>
      </c>
      <c r="E21" s="13"/>
      <c r="F21" s="21">
        <f>IF(D$12=0,0,D21/D$12)</f>
        <v>0.24524581939499013</v>
      </c>
      <c r="G21" s="13"/>
      <c r="H21" s="22">
        <f>H12-H17</f>
        <v>170050.08999999997</v>
      </c>
      <c r="I21" s="13"/>
      <c r="J21" s="21">
        <f>IF(H$12=0,0,H21/H$12)</f>
        <v>0.24571316724365036</v>
      </c>
      <c r="K21" s="16"/>
      <c r="L21" s="22">
        <f>+D21-H21</f>
        <v>-68997.329999999958</v>
      </c>
      <c r="M21" s="16"/>
      <c r="N21" s="21">
        <f>IF(H21=0,0,L21/H21)</f>
        <v>-0.40574709487069349</v>
      </c>
      <c r="O21" s="25"/>
      <c r="P21" s="22">
        <f>P12-P17</f>
        <v>103623.12</v>
      </c>
      <c r="Q21" s="13"/>
      <c r="R21" s="21">
        <f>IF(P$12=0,0,P21/P$12)</f>
        <v>0.24710622333618842</v>
      </c>
      <c r="S21" s="13"/>
      <c r="T21" s="22">
        <f>T12-T17</f>
        <v>171943.65000000002</v>
      </c>
      <c r="U21" s="13"/>
      <c r="V21" s="21">
        <f>IF(T$12=0,0,T21/T$12)</f>
        <v>0.24331718710755343</v>
      </c>
      <c r="W21" s="16"/>
      <c r="X21" s="22">
        <f>+P21-T21</f>
        <v>-68320.530000000028</v>
      </c>
      <c r="Y21" s="16"/>
      <c r="Z21" s="21">
        <f>IF(T21=0,0,X21/T21)</f>
        <v>-0.39734255961182641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0">
        <f>SUM(0)</f>
        <v>0</v>
      </c>
      <c r="E23" s="20"/>
      <c r="F23" s="35">
        <f>IF(D$12=0,0,D23/D$12)</f>
        <v>0</v>
      </c>
      <c r="G23" s="20"/>
      <c r="H23" s="20">
        <f>SUM(0)</f>
        <v>0</v>
      </c>
      <c r="I23" s="20"/>
      <c r="J23" s="35">
        <f>IF(H$12=0,0,H23/H$12)</f>
        <v>0</v>
      </c>
      <c r="K23" s="4"/>
      <c r="L23" s="20">
        <f>+D23-H23</f>
        <v>0</v>
      </c>
      <c r="M23" s="4"/>
      <c r="N23" s="35">
        <f>IF(H23=0,0,L23/H23)</f>
        <v>0</v>
      </c>
      <c r="O23" s="10"/>
      <c r="P23" s="20">
        <f>SUM(0)</f>
        <v>0</v>
      </c>
      <c r="Q23" s="20"/>
      <c r="R23" s="35">
        <f>IF(P$12=0,0,P23/P$12)</f>
        <v>0</v>
      </c>
      <c r="S23" s="20"/>
      <c r="T23" s="20">
        <f>SUM(0)</f>
        <v>0</v>
      </c>
      <c r="U23" s="20"/>
      <c r="V23" s="35">
        <f>IF(T$12=0,0,T23/T$12)</f>
        <v>0</v>
      </c>
      <c r="W23" s="4"/>
      <c r="X23" s="20">
        <f>+P23-T23</f>
        <v>0</v>
      </c>
      <c r="Y23" s="4"/>
      <c r="Z23" s="35">
        <f>IF(T23=0,0,X23/T23)</f>
        <v>0</v>
      </c>
    </row>
    <row r="24" spans="1:26" s="52" customFormat="1" x14ac:dyDescent="0.25">
      <c r="A24" s="37"/>
      <c r="B24" s="37"/>
      <c r="C24" s="37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0</v>
      </c>
      <c r="C25" s="10"/>
      <c r="D25" s="4">
        <f>SUM(0)</f>
        <v>0</v>
      </c>
      <c r="E25" s="4"/>
      <c r="F25" s="12">
        <f>IF(D$12=0,0,D25/D$12)</f>
        <v>0</v>
      </c>
      <c r="G25" s="4"/>
      <c r="H25" s="4">
        <f>SUM(0)</f>
        <v>0</v>
      </c>
      <c r="I25" s="4"/>
      <c r="J25" s="12">
        <f>IF(H$12=0,0,H25/H$12)</f>
        <v>0</v>
      </c>
      <c r="K25" s="4"/>
      <c r="L25" s="4">
        <f>+D25-H25</f>
        <v>0</v>
      </c>
      <c r="M25" s="4"/>
      <c r="N25" s="12">
        <f>IF(H25=0,0,L25/H25)</f>
        <v>0</v>
      </c>
      <c r="O25" s="10"/>
      <c r="P25" s="4">
        <f>SUM(0)</f>
        <v>0</v>
      </c>
      <c r="Q25" s="4"/>
      <c r="R25" s="12">
        <f>IF(P$12=0,0,P25/P$12)</f>
        <v>0</v>
      </c>
      <c r="S25" s="4"/>
      <c r="T25" s="4">
        <f>SUM(0)</f>
        <v>0</v>
      </c>
      <c r="U25" s="4"/>
      <c r="V25" s="12">
        <f>IF(T$12=0,0,T25/T$12)</f>
        <v>0</v>
      </c>
      <c r="W25" s="4"/>
      <c r="X25" s="4">
        <f>+P25-T25</f>
        <v>0</v>
      </c>
      <c r="Y25" s="4"/>
      <c r="Z25" s="12">
        <f>IF(T25=0,0,X25/T25)</f>
        <v>0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>
        <f>+D21-D23+D25</f>
        <v>101052.76000000001</v>
      </c>
      <c r="E27" s="13"/>
      <c r="F27" s="21">
        <f>IF(D$12=0,0,D27/D$12)</f>
        <v>0.24524581939499013</v>
      </c>
      <c r="G27" s="13"/>
      <c r="H27" s="22">
        <f>+H21-H23+H25</f>
        <v>170050.08999999997</v>
      </c>
      <c r="I27" s="13"/>
      <c r="J27" s="21">
        <f>IF(H$12=0,0,H27/H$12)</f>
        <v>0.24571316724365036</v>
      </c>
      <c r="K27" s="16"/>
      <c r="L27" s="22">
        <f>+D27-H27</f>
        <v>-68997.329999999958</v>
      </c>
      <c r="M27" s="16"/>
      <c r="N27" s="21">
        <f>IF(H27=0,0,L27/H27)</f>
        <v>-0.40574709487069349</v>
      </c>
      <c r="O27" s="25"/>
      <c r="P27" s="22">
        <f>+P21-P23+P25</f>
        <v>103623.12</v>
      </c>
      <c r="Q27" s="13"/>
      <c r="R27" s="21">
        <f>IF(P$12=0,0,P27/P$12)</f>
        <v>0.24710622333618842</v>
      </c>
      <c r="S27" s="13"/>
      <c r="T27" s="22">
        <f>+T21-T23+T25</f>
        <v>171943.65000000002</v>
      </c>
      <c r="U27" s="13"/>
      <c r="V27" s="21">
        <f>IF(T$12=0,0,T27/T$12)</f>
        <v>0.24331718710755343</v>
      </c>
      <c r="W27" s="16"/>
      <c r="X27" s="22">
        <f>+P27-T27</f>
        <v>-68320.530000000028</v>
      </c>
      <c r="Y27" s="16"/>
      <c r="Z27" s="21">
        <f>IF(T27=0,0,X27/T27)</f>
        <v>-0.39734255961182641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>
        <v>67290.34</v>
      </c>
      <c r="E29" s="4"/>
      <c r="F29" s="12">
        <f>IF(D$12=0,0,D29/D$12)</f>
        <v>0.16330750956893683</v>
      </c>
      <c r="G29" s="4"/>
      <c r="H29" s="4">
        <v>85073.010000000009</v>
      </c>
      <c r="I29" s="4"/>
      <c r="J29" s="12">
        <f>IF(H$12=0,0,H29/H$12)</f>
        <v>0.12292589044822468</v>
      </c>
      <c r="K29" s="4"/>
      <c r="L29" s="4">
        <f>+D29-H29</f>
        <v>-17782.670000000013</v>
      </c>
      <c r="M29" s="4"/>
      <c r="N29" s="12">
        <f>IF(H29=0,0,L29/H29)</f>
        <v>-0.20902833930526274</v>
      </c>
      <c r="O29" s="10"/>
      <c r="P29" s="4">
        <v>70801.08</v>
      </c>
      <c r="Q29" s="4"/>
      <c r="R29" s="12">
        <f>IF(P$12=0,0,P29/P$12)</f>
        <v>0.16883671797300973</v>
      </c>
      <c r="S29" s="4"/>
      <c r="T29" s="4">
        <v>88108.19</v>
      </c>
      <c r="U29" s="4"/>
      <c r="V29" s="12">
        <f>IF(T$12=0,0,T29/T$12)</f>
        <v>0.12468176028563932</v>
      </c>
      <c r="W29" s="4"/>
      <c r="X29" s="4">
        <f>+P29-T29</f>
        <v>-17307.11</v>
      </c>
      <c r="Y29" s="4"/>
      <c r="Z29" s="12">
        <f>IF(T29=0,0,X29/T29)</f>
        <v>-0.19643020699891803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>
        <f>+D27-D29</f>
        <v>33762.420000000013</v>
      </c>
      <c r="E31" s="13"/>
      <c r="F31" s="34">
        <f>IF(D$12=0,0,D31/D$12)</f>
        <v>8.1938309826053296E-2</v>
      </c>
      <c r="G31" s="13"/>
      <c r="H31" s="36">
        <f>+H27-H29</f>
        <v>84977.079999999958</v>
      </c>
      <c r="I31" s="13"/>
      <c r="J31" s="34">
        <f>IF(H$12=0,0,H31/H$12)</f>
        <v>0.12278727679542568</v>
      </c>
      <c r="K31" s="16"/>
      <c r="L31" s="36">
        <f>D31-H31</f>
        <v>-51214.659999999945</v>
      </c>
      <c r="M31" s="16"/>
      <c r="N31" s="34">
        <f>IF(H31=0,0,L31/H31)</f>
        <v>-0.60268792479101385</v>
      </c>
      <c r="O31" s="25"/>
      <c r="P31" s="36">
        <f>+P27-P29</f>
        <v>32822.039999999994</v>
      </c>
      <c r="Q31" s="13"/>
      <c r="R31" s="34">
        <f>IF(P$12=0,0,P31/P$12)</f>
        <v>7.8269505363178685E-2</v>
      </c>
      <c r="S31" s="13"/>
      <c r="T31" s="36">
        <f>+T27-T29</f>
        <v>83835.460000000021</v>
      </c>
      <c r="U31" s="13"/>
      <c r="V31" s="34">
        <f>IF(T$12=0,0,T31/T$12)</f>
        <v>0.11863542682191412</v>
      </c>
      <c r="W31" s="16"/>
      <c r="X31" s="36">
        <f>P31-T31</f>
        <v>-51013.420000000027</v>
      </c>
      <c r="Y31" s="16"/>
      <c r="Z31" s="34">
        <f>IF(T31=0,0,X31/T31)</f>
        <v>-0.6084945439555054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x14ac:dyDescent="0.25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.75" thickBot="1" x14ac:dyDescent="0.3">
      <c r="A34" s="10"/>
      <c r="B34" s="26" t="s">
        <v>5</v>
      </c>
      <c r="C34" s="26"/>
      <c r="D34" s="30">
        <f>SUM(D31:D33)</f>
        <v>33762.420000000013</v>
      </c>
      <c r="E34" s="13"/>
      <c r="F34" s="31">
        <f>IF(D$12=0,0,D34/D$12)</f>
        <v>8.1938309826053296E-2</v>
      </c>
      <c r="G34" s="13"/>
      <c r="H34" s="30">
        <f>SUM(H31:H33)</f>
        <v>84977.079999999958</v>
      </c>
      <c r="I34" s="13"/>
      <c r="J34" s="31">
        <f>IF(H$12=0,0,H34/H$12)</f>
        <v>0.12278727679542568</v>
      </c>
      <c r="K34" s="16"/>
      <c r="L34" s="30">
        <f>+D34-H34</f>
        <v>-51214.659999999945</v>
      </c>
      <c r="M34" s="16"/>
      <c r="N34" s="31">
        <f>IF(H34=0,0,L34/H34)</f>
        <v>-0.60268792479101385</v>
      </c>
      <c r="O34" s="25"/>
      <c r="P34" s="30">
        <f>SUM(P31:P33)</f>
        <v>32822.039999999994</v>
      </c>
      <c r="Q34" s="13"/>
      <c r="R34" s="31">
        <f>IF(P$12=0,0,P34/P$12)</f>
        <v>7.8269505363178685E-2</v>
      </c>
      <c r="S34" s="13"/>
      <c r="T34" s="30">
        <f>SUM(T31:T33)</f>
        <v>83835.460000000021</v>
      </c>
      <c r="U34" s="13"/>
      <c r="V34" s="31">
        <f>IF(T$12=0,0,T34/T$12)</f>
        <v>0.11863542682191412</v>
      </c>
      <c r="W34" s="16"/>
      <c r="X34" s="30">
        <f>+P34-T34</f>
        <v>-51013.420000000027</v>
      </c>
      <c r="Y34" s="16"/>
      <c r="Z34" s="31">
        <f>IF(T34=0,0,X34/T34)</f>
        <v>-0.6084945439555054</v>
      </c>
    </row>
    <row r="35" spans="1:26" ht="15.75" thickTop="1" x14ac:dyDescent="0.25">
      <c r="A35" s="9"/>
      <c r="C35" s="9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61">
        <v>44113.69642847222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6" t="s">
        <v>313</v>
      </c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58"/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","312", " - ", "General Books")</f>
        <v>Department 312 - General Books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SUM(0)</f>
        <v>0</v>
      </c>
      <c r="E18" s="20"/>
      <c r="F18" s="35">
        <f>IF(D$12=0,0,D18/D$12)</f>
        <v>0</v>
      </c>
      <c r="G18" s="20"/>
      <c r="H18" s="20">
        <f>SUM(0)</f>
        <v>0</v>
      </c>
      <c r="I18" s="20"/>
      <c r="J18" s="35">
        <f>IF(H$12=0,0,H18/H$12)</f>
        <v>0</v>
      </c>
      <c r="K18" s="4"/>
      <c r="L18" s="20">
        <f>+D18-H18</f>
        <v>0</v>
      </c>
      <c r="M18" s="4"/>
      <c r="N18" s="35">
        <f>IF(H18=0,0,L18/H18)</f>
        <v>0</v>
      </c>
      <c r="O18" s="10"/>
      <c r="P18" s="20">
        <f>SUM(0)</f>
        <v>0</v>
      </c>
      <c r="Q18" s="20"/>
      <c r="R18" s="35">
        <f>IF(P$12=0,0,P18/P$12)</f>
        <v>0</v>
      </c>
      <c r="S18" s="20"/>
      <c r="T18" s="20">
        <f>SUM(0)</f>
        <v>0</v>
      </c>
      <c r="U18" s="20"/>
      <c r="V18" s="35">
        <f>IF(T$12=0,0,T18/T$12)</f>
        <v>0</v>
      </c>
      <c r="W18" s="4"/>
      <c r="X18" s="20">
        <f>+P18-T18</f>
        <v>0</v>
      </c>
      <c r="Y18" s="4"/>
      <c r="Z18" s="35">
        <f>IF(T18=0,0,X18/T18)</f>
        <v>0</v>
      </c>
    </row>
    <row r="19" spans="1:26" s="5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2">
        <f>+D16-D18+D20</f>
        <v>0</v>
      </c>
      <c r="E22" s="13"/>
      <c r="F22" s="21">
        <f>IF(D$12=0,0,D22/D$12)</f>
        <v>0</v>
      </c>
      <c r="G22" s="13"/>
      <c r="H22" s="22">
        <f>+H16-H18+H20</f>
        <v>0</v>
      </c>
      <c r="I22" s="13"/>
      <c r="J22" s="21">
        <f>IF(H$12=0,0,H22/H$12)</f>
        <v>0</v>
      </c>
      <c r="K22" s="16"/>
      <c r="L22" s="22">
        <f>+D22-H22</f>
        <v>0</v>
      </c>
      <c r="M22" s="16"/>
      <c r="N22" s="21">
        <f>IF(H22=0,0,L22/H22)</f>
        <v>0</v>
      </c>
      <c r="O22" s="25"/>
      <c r="P22" s="22">
        <f>+P16-P18+P20</f>
        <v>0</v>
      </c>
      <c r="Q22" s="13"/>
      <c r="R22" s="21">
        <f>IF(P$12=0,0,P22/P$12)</f>
        <v>0</v>
      </c>
      <c r="S22" s="13"/>
      <c r="T22" s="22">
        <f>+T16-T18+T20</f>
        <v>0</v>
      </c>
      <c r="U22" s="13"/>
      <c r="V22" s="21">
        <f>IF(T$12=0,0,T22/T$12)</f>
        <v>0</v>
      </c>
      <c r="W22" s="16"/>
      <c r="X22" s="22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6">
        <f>+D22-D24</f>
        <v>0</v>
      </c>
      <c r="E26" s="13"/>
      <c r="F26" s="34">
        <f>IF(D$12=0,0,D26/D$12)</f>
        <v>0</v>
      </c>
      <c r="G26" s="13"/>
      <c r="H26" s="36">
        <f>+H22-H24</f>
        <v>0</v>
      </c>
      <c r="I26" s="13"/>
      <c r="J26" s="34">
        <f>IF(H$12=0,0,H26/H$12)</f>
        <v>0</v>
      </c>
      <c r="K26" s="16"/>
      <c r="L26" s="36">
        <f>D26-H26</f>
        <v>0</v>
      </c>
      <c r="M26" s="16"/>
      <c r="N26" s="34">
        <f>IF(H26=0,0,L26/H26)</f>
        <v>0</v>
      </c>
      <c r="O26" s="25"/>
      <c r="P26" s="36">
        <f>+P22-P24</f>
        <v>0</v>
      </c>
      <c r="Q26" s="13"/>
      <c r="R26" s="34">
        <f>IF(P$12=0,0,P26/P$12)</f>
        <v>0</v>
      </c>
      <c r="S26" s="13"/>
      <c r="T26" s="36">
        <f>+T22-T24</f>
        <v>0</v>
      </c>
      <c r="U26" s="13"/>
      <c r="V26" s="34">
        <f>IF(T$12=0,0,T26/T$12)</f>
        <v>0</v>
      </c>
      <c r="W26" s="16"/>
      <c r="X26" s="36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5</v>
      </c>
      <c r="C29" s="26"/>
      <c r="D29" s="30">
        <f>SUM(D26:D28)</f>
        <v>0</v>
      </c>
      <c r="E29" s="13"/>
      <c r="F29" s="31">
        <f>IF(D$12=0,0,D29/D$12)</f>
        <v>0</v>
      </c>
      <c r="G29" s="13"/>
      <c r="H29" s="30">
        <f>SUM(H26:H28)</f>
        <v>0</v>
      </c>
      <c r="I29" s="13"/>
      <c r="J29" s="31">
        <f>IF(H$12=0,0,H29/H$12)</f>
        <v>0</v>
      </c>
      <c r="K29" s="16"/>
      <c r="L29" s="30">
        <f>+D29-H29</f>
        <v>0</v>
      </c>
      <c r="M29" s="16"/>
      <c r="N29" s="31">
        <f>IF(H29=0,0,L29/H29)</f>
        <v>0</v>
      </c>
      <c r="O29" s="25"/>
      <c r="P29" s="30">
        <f>SUM(P26:P28)</f>
        <v>0</v>
      </c>
      <c r="Q29" s="13"/>
      <c r="R29" s="31">
        <f>IF(P$12=0,0,P29/P$12)</f>
        <v>0</v>
      </c>
      <c r="S29" s="13"/>
      <c r="T29" s="30">
        <f>SUM(T26:T28)</f>
        <v>0</v>
      </c>
      <c r="U29" s="13"/>
      <c r="V29" s="31">
        <f>IF(T$12=0,0,T29/T$12)</f>
        <v>0</v>
      </c>
      <c r="W29" s="16"/>
      <c r="X29" s="30">
        <f>+P29-T29</f>
        <v>0</v>
      </c>
      <c r="Y29" s="16"/>
      <c r="Z29" s="31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61">
        <v>44113.696236111115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56" t="s">
        <v>313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8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SUM(0)</f>
        <v>0</v>
      </c>
      <c r="E18" s="20"/>
      <c r="F18" s="35">
        <f>IF(D$12=0,0,D18/D$12)</f>
        <v>0</v>
      </c>
      <c r="G18" s="20"/>
      <c r="H18" s="20">
        <f>SUM(0)</f>
        <v>0</v>
      </c>
      <c r="I18" s="20"/>
      <c r="J18" s="35">
        <f>IF(H$12=0,0,H18/H$12)</f>
        <v>0</v>
      </c>
      <c r="K18" s="4"/>
      <c r="L18" s="20">
        <f>+D18-H18</f>
        <v>0</v>
      </c>
      <c r="M18" s="4"/>
      <c r="N18" s="35">
        <f>IF(H18=0,0,L18/H18)</f>
        <v>0</v>
      </c>
      <c r="O18" s="10"/>
      <c r="P18" s="20">
        <f>SUM(0)</f>
        <v>0</v>
      </c>
      <c r="Q18" s="20"/>
      <c r="R18" s="35">
        <f>IF(P$12=0,0,P18/P$12)</f>
        <v>0</v>
      </c>
      <c r="S18" s="20"/>
      <c r="T18" s="20">
        <f>SUM(0)</f>
        <v>0</v>
      </c>
      <c r="U18" s="20"/>
      <c r="V18" s="35">
        <f>IF(T$12=0,0,T18/T$12)</f>
        <v>0</v>
      </c>
      <c r="W18" s="4"/>
      <c r="X18" s="20">
        <f>+P18-T18</f>
        <v>0</v>
      </c>
      <c r="Y18" s="4"/>
      <c r="Z18" s="35">
        <f>IF(T18=0,0,X18/T18)</f>
        <v>0</v>
      </c>
    </row>
    <row r="19" spans="1:26" s="5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2">
        <f>+D16-D18+D20</f>
        <v>0</v>
      </c>
      <c r="E22" s="13"/>
      <c r="F22" s="21">
        <f>IF(D$12=0,0,D22/D$12)</f>
        <v>0</v>
      </c>
      <c r="G22" s="13"/>
      <c r="H22" s="22">
        <f>+H16-H18+H20</f>
        <v>0</v>
      </c>
      <c r="I22" s="13"/>
      <c r="J22" s="21">
        <f>IF(H$12=0,0,H22/H$12)</f>
        <v>0</v>
      </c>
      <c r="K22" s="16"/>
      <c r="L22" s="22">
        <f>+D22-H22</f>
        <v>0</v>
      </c>
      <c r="M22" s="16"/>
      <c r="N22" s="21">
        <f>IF(H22=0,0,L22/H22)</f>
        <v>0</v>
      </c>
      <c r="O22" s="25"/>
      <c r="P22" s="22">
        <f>+P16-P18+P20</f>
        <v>0</v>
      </c>
      <c r="Q22" s="13"/>
      <c r="R22" s="21">
        <f>IF(P$12=0,0,P22/P$12)</f>
        <v>0</v>
      </c>
      <c r="S22" s="13"/>
      <c r="T22" s="22">
        <f>+T16-T18+T20</f>
        <v>0</v>
      </c>
      <c r="U22" s="13"/>
      <c r="V22" s="21">
        <f>IF(T$12=0,0,T22/T$12)</f>
        <v>0</v>
      </c>
      <c r="W22" s="16"/>
      <c r="X22" s="22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6">
        <f>+D22-D24</f>
        <v>0</v>
      </c>
      <c r="E26" s="13"/>
      <c r="F26" s="34">
        <f>IF(D$12=0,0,D26/D$12)</f>
        <v>0</v>
      </c>
      <c r="G26" s="13"/>
      <c r="H26" s="36">
        <f>+H22-H24</f>
        <v>0</v>
      </c>
      <c r="I26" s="13"/>
      <c r="J26" s="34">
        <f>IF(H$12=0,0,H26/H$12)</f>
        <v>0</v>
      </c>
      <c r="K26" s="16"/>
      <c r="L26" s="36">
        <f>D26-H26</f>
        <v>0</v>
      </c>
      <c r="M26" s="16"/>
      <c r="N26" s="34">
        <f>IF(H26=0,0,L26/H26)</f>
        <v>0</v>
      </c>
      <c r="O26" s="25"/>
      <c r="P26" s="36">
        <f>+P22-P24</f>
        <v>0</v>
      </c>
      <c r="Q26" s="13"/>
      <c r="R26" s="34">
        <f>IF(P$12=0,0,P26/P$12)</f>
        <v>0</v>
      </c>
      <c r="S26" s="13"/>
      <c r="T26" s="36">
        <f>+T22-T24</f>
        <v>0</v>
      </c>
      <c r="U26" s="13"/>
      <c r="V26" s="34">
        <f>IF(T$12=0,0,T26/T$12)</f>
        <v>0</v>
      </c>
      <c r="W26" s="16"/>
      <c r="X26" s="36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2</v>
      </c>
      <c r="C28" s="10"/>
      <c r="D28" s="4">
        <f>--487459.55</f>
        <v>487459.55</v>
      </c>
      <c r="E28" s="4"/>
      <c r="F28" s="12">
        <f t="shared" ref="F28:F29" si="0">IF(D$12=0,0,D28/D$12)</f>
        <v>0</v>
      </c>
      <c r="G28" s="4"/>
      <c r="H28" s="4">
        <f>-209613.95</f>
        <v>-209613.95</v>
      </c>
      <c r="I28" s="4"/>
      <c r="J28" s="12">
        <f t="shared" ref="J28:J29" si="1">IF(H$12=0,0,H28/H$12)</f>
        <v>0</v>
      </c>
      <c r="K28" s="4"/>
      <c r="L28" s="4">
        <f t="shared" ref="L28:L29" si="2">+D28-H28</f>
        <v>697073.5</v>
      </c>
      <c r="M28" s="4"/>
      <c r="N28" s="12">
        <f t="shared" ref="N28:N29" si="3">IF(H28=0,0,L28/H28)</f>
        <v>-3.3255110168001698</v>
      </c>
      <c r="O28" s="10"/>
      <c r="P28" s="4">
        <f>--951342.71</f>
        <v>951342.71</v>
      </c>
      <c r="Q28" s="4"/>
      <c r="R28" s="12">
        <f t="shared" ref="R28:R29" si="4">IF(P$12=0,0,P28/P$12)</f>
        <v>0</v>
      </c>
      <c r="S28" s="4"/>
      <c r="T28" s="4">
        <f>-180605.81</f>
        <v>-180605.81</v>
      </c>
      <c r="U28" s="4"/>
      <c r="V28" s="12">
        <f t="shared" ref="V28:V29" si="5">IF(T$12=0,0,T28/T$12)</f>
        <v>0</v>
      </c>
      <c r="W28" s="4"/>
      <c r="X28" s="4">
        <f t="shared" ref="X28:X29" si="6">+P28-T28</f>
        <v>1131948.52</v>
      </c>
      <c r="Y28" s="4"/>
      <c r="Z28" s="12">
        <f t="shared" ref="Z28:Z29" si="7">IF(T28=0,0,X28/T28)</f>
        <v>-6.2675088913252575</v>
      </c>
    </row>
    <row r="29" spans="1:26" s="23" customFormat="1" x14ac:dyDescent="0.25">
      <c r="A29" s="51"/>
      <c r="B29" s="10" t="s">
        <v>1</v>
      </c>
      <c r="C29" s="10"/>
      <c r="D29" s="4">
        <f>--25064.99</f>
        <v>25064.99</v>
      </c>
      <c r="E29" s="4"/>
      <c r="F29" s="12">
        <f t="shared" si="0"/>
        <v>0</v>
      </c>
      <c r="G29" s="4"/>
      <c r="H29" s="4">
        <f>--15286.66</f>
        <v>15286.66</v>
      </c>
      <c r="I29" s="4"/>
      <c r="J29" s="12">
        <f t="shared" si="1"/>
        <v>0</v>
      </c>
      <c r="K29" s="4"/>
      <c r="L29" s="4">
        <f t="shared" si="2"/>
        <v>9778.3300000000017</v>
      </c>
      <c r="M29" s="4"/>
      <c r="N29" s="12">
        <f t="shared" si="3"/>
        <v>0.63966425628619994</v>
      </c>
      <c r="O29" s="10"/>
      <c r="P29" s="4">
        <f>-56563.28</f>
        <v>-56563.28</v>
      </c>
      <c r="Q29" s="4"/>
      <c r="R29" s="12">
        <f t="shared" si="4"/>
        <v>0</v>
      </c>
      <c r="S29" s="4"/>
      <c r="T29" s="4">
        <f>--31820.95</f>
        <v>31820.95</v>
      </c>
      <c r="U29" s="4"/>
      <c r="V29" s="12">
        <f t="shared" si="5"/>
        <v>0</v>
      </c>
      <c r="W29" s="4"/>
      <c r="X29" s="4">
        <f t="shared" si="6"/>
        <v>-88384.23</v>
      </c>
      <c r="Y29" s="4"/>
      <c r="Z29" s="12">
        <f t="shared" si="7"/>
        <v>-2.7775484390000926</v>
      </c>
    </row>
    <row r="30" spans="1:26" x14ac:dyDescent="0.25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5</v>
      </c>
      <c r="C31" s="26"/>
      <c r="D31" s="30">
        <f>SUM(D26:D30)</f>
        <v>512524.54</v>
      </c>
      <c r="E31" s="13"/>
      <c r="F31" s="31">
        <f>IF(D$12=0,0,D31/D$12)</f>
        <v>0</v>
      </c>
      <c r="G31" s="13"/>
      <c r="H31" s="30">
        <f>SUM(H26:H30)</f>
        <v>-194327.29</v>
      </c>
      <c r="I31" s="13"/>
      <c r="J31" s="31">
        <f>IF(H$12=0,0,H31/H$12)</f>
        <v>0</v>
      </c>
      <c r="K31" s="16"/>
      <c r="L31" s="30">
        <f>+D31-H31</f>
        <v>706851.83</v>
      </c>
      <c r="M31" s="16"/>
      <c r="N31" s="31">
        <f>IF(H31=0,0,L31/H31)</f>
        <v>-3.6374295653482327</v>
      </c>
      <c r="O31" s="25"/>
      <c r="P31" s="30">
        <f>SUM(P26:P30)</f>
        <v>894779.42999999993</v>
      </c>
      <c r="Q31" s="13"/>
      <c r="R31" s="31">
        <f>IF(P$12=0,0,P31/P$12)</f>
        <v>0</v>
      </c>
      <c r="S31" s="13"/>
      <c r="T31" s="30">
        <f>SUM(T26:T30)</f>
        <v>-148784.85999999999</v>
      </c>
      <c r="U31" s="13"/>
      <c r="V31" s="31">
        <f>IF(T$12=0,0,T31/T$12)</f>
        <v>0</v>
      </c>
      <c r="W31" s="16"/>
      <c r="X31" s="30">
        <f>+P31-T31</f>
        <v>1043564.2899999999</v>
      </c>
      <c r="Y31" s="16"/>
      <c r="Z31" s="31">
        <f>IF(T31=0,0,X31/T31)</f>
        <v>-7.0139145206037767</v>
      </c>
    </row>
    <row r="32" spans="1:26" ht="15.75" thickTop="1" x14ac:dyDescent="0.25">
      <c r="A32" s="9"/>
      <c r="C32" s="9"/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61">
        <v>44113.695563506946</v>
      </c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A34" s="9"/>
      <c r="B34" s="56" t="s">
        <v>313</v>
      </c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4" x14ac:dyDescent="0.25">
      <c r="A35" s="9"/>
      <c r="B35" s="58"/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4" x14ac:dyDescent="0.25"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5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311058.33999999991</v>
      </c>
      <c r="E12" s="4"/>
      <c r="F12" s="12"/>
      <c r="G12" s="4"/>
      <c r="H12" s="4">
        <f>SUM(OSRRefH13x_0)</f>
        <v>322624.52999999991</v>
      </c>
      <c r="I12" s="4"/>
      <c r="J12" s="12"/>
      <c r="K12" s="4"/>
      <c r="L12" s="4">
        <f t="shared" ref="L12:L51" si="0">+D12-H12</f>
        <v>-11566.190000000002</v>
      </c>
      <c r="M12" s="4"/>
      <c r="N12" s="12">
        <f t="shared" ref="N12:N51" si="1">IF(H12=0,0,L12/H12)</f>
        <v>-3.5850311816029629E-2</v>
      </c>
      <c r="O12" s="10"/>
      <c r="P12" s="4">
        <f>SUM(OSRRefP13x_0)</f>
        <v>485839.16000000003</v>
      </c>
      <c r="Q12" s="4"/>
      <c r="R12" s="12"/>
      <c r="S12" s="4"/>
      <c r="T12" s="4">
        <f>SUM(OSRRefT13x_0)</f>
        <v>554751.84</v>
      </c>
      <c r="U12" s="4"/>
      <c r="V12" s="12"/>
      <c r="W12" s="4"/>
      <c r="X12" s="4">
        <f t="shared" ref="X12:X51" si="2">+P12-T12</f>
        <v>-68912.679999999935</v>
      </c>
      <c r="Y12" s="4"/>
      <c r="Z12" s="12">
        <f t="shared" ref="Z12:Z51" si="3">IF(T12=0,0,X12/T12)</f>
        <v>-0.1242225352510772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-12895.37</f>
        <v>-12895.37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-12895.37</v>
      </c>
      <c r="M13" s="2"/>
      <c r="N13" s="19">
        <f t="shared" si="1"/>
        <v>0</v>
      </c>
      <c r="O13" s="11"/>
      <c r="P13" s="2">
        <f>-22848.76</f>
        <v>-22848.76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-22848.76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>
        <f>--26</f>
        <v>26</v>
      </c>
      <c r="I14" s="2"/>
      <c r="J14" s="19"/>
      <c r="K14" s="2"/>
      <c r="L14" s="2">
        <f t="shared" si="0"/>
        <v>-26</v>
      </c>
      <c r="M14" s="2"/>
      <c r="N14" s="19">
        <f t="shared" si="1"/>
        <v>-1</v>
      </c>
      <c r="O14" s="11"/>
      <c r="P14" s="2">
        <f>--236.56</f>
        <v>236.56</v>
      </c>
      <c r="Q14" s="2"/>
      <c r="R14" s="19"/>
      <c r="S14" s="2"/>
      <c r="T14" s="2">
        <f>--64.56</f>
        <v>64.56</v>
      </c>
      <c r="U14" s="2"/>
      <c r="V14" s="19"/>
      <c r="W14" s="2"/>
      <c r="X14" s="2">
        <f t="shared" si="2"/>
        <v>172</v>
      </c>
      <c r="Y14" s="2"/>
      <c r="Z14" s="19">
        <f t="shared" si="3"/>
        <v>2.6641883519206937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--16859.02</f>
        <v>16859.02</v>
      </c>
      <c r="E15" s="2"/>
      <c r="F15" s="19"/>
      <c r="G15" s="2"/>
      <c r="H15" s="2">
        <f>--40.43</f>
        <v>40.43</v>
      </c>
      <c r="I15" s="2"/>
      <c r="J15" s="19"/>
      <c r="K15" s="2"/>
      <c r="L15" s="2">
        <f t="shared" si="0"/>
        <v>16818.59</v>
      </c>
      <c r="M15" s="2"/>
      <c r="N15" s="19">
        <f t="shared" si="1"/>
        <v>415.99282710858273</v>
      </c>
      <c r="O15" s="11"/>
      <c r="P15" s="2">
        <f>--18512.19</f>
        <v>18512.189999999999</v>
      </c>
      <c r="Q15" s="2"/>
      <c r="R15" s="19"/>
      <c r="S15" s="2"/>
      <c r="T15" s="2">
        <f>--40.43</f>
        <v>40.43</v>
      </c>
      <c r="U15" s="2"/>
      <c r="V15" s="19"/>
      <c r="W15" s="2"/>
      <c r="X15" s="2">
        <f t="shared" si="2"/>
        <v>18471.759999999998</v>
      </c>
      <c r="Y15" s="2"/>
      <c r="Z15" s="19">
        <f t="shared" si="3"/>
        <v>456.88251298540683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19"/>
      <c r="G16" s="2"/>
      <c r="H16" s="2">
        <f t="shared" ref="H16:H18" si="4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--19.85</f>
        <v>19.850000000000001</v>
      </c>
      <c r="Q16" s="2"/>
      <c r="R16" s="19"/>
      <c r="S16" s="2"/>
      <c r="T16" s="2">
        <f t="shared" ref="T16:T18" si="5">0</f>
        <v>0</v>
      </c>
      <c r="U16" s="2"/>
      <c r="V16" s="19"/>
      <c r="W16" s="2"/>
      <c r="X16" s="2">
        <f t="shared" si="2"/>
        <v>19.850000000000001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--407.47</f>
        <v>407.47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407.47</v>
      </c>
      <c r="M17" s="2"/>
      <c r="N17" s="19">
        <f t="shared" si="1"/>
        <v>0</v>
      </c>
      <c r="O17" s="11"/>
      <c r="P17" s="2">
        <f>--427.22</f>
        <v>427.22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427.22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--177286.09</f>
        <v>177286.09</v>
      </c>
      <c r="E19" s="2"/>
      <c r="F19" s="19"/>
      <c r="G19" s="2"/>
      <c r="H19" s="2">
        <f>--219441.66</f>
        <v>219441.66</v>
      </c>
      <c r="I19" s="2"/>
      <c r="J19" s="19"/>
      <c r="K19" s="2"/>
      <c r="L19" s="2">
        <f t="shared" si="0"/>
        <v>-42155.570000000007</v>
      </c>
      <c r="M19" s="2"/>
      <c r="N19" s="19">
        <f t="shared" si="1"/>
        <v>-0.19210376917491423</v>
      </c>
      <c r="O19" s="11"/>
      <c r="P19" s="2">
        <f>--249578.35</f>
        <v>249578.35</v>
      </c>
      <c r="Q19" s="2"/>
      <c r="R19" s="19"/>
      <c r="S19" s="2"/>
      <c r="T19" s="2">
        <f>--389753.68</f>
        <v>389753.68</v>
      </c>
      <c r="U19" s="2"/>
      <c r="V19" s="19"/>
      <c r="W19" s="2"/>
      <c r="X19" s="2">
        <f t="shared" si="2"/>
        <v>-140175.32999999999</v>
      </c>
      <c r="Y19" s="2"/>
      <c r="Z19" s="19">
        <f t="shared" si="3"/>
        <v>-0.35965107500716859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--39770.2</f>
        <v>39770.199999999997</v>
      </c>
      <c r="E20" s="2"/>
      <c r="F20" s="19"/>
      <c r="G20" s="2"/>
      <c r="H20" s="2">
        <f>--46746.72</f>
        <v>46746.720000000001</v>
      </c>
      <c r="I20" s="2"/>
      <c r="J20" s="19"/>
      <c r="K20" s="2"/>
      <c r="L20" s="2">
        <f t="shared" si="0"/>
        <v>-6976.5200000000041</v>
      </c>
      <c r="M20" s="2"/>
      <c r="N20" s="19">
        <f t="shared" si="1"/>
        <v>-0.14924084513309177</v>
      </c>
      <c r="O20" s="11"/>
      <c r="P20" s="2">
        <f>--59873.51</f>
        <v>59873.51</v>
      </c>
      <c r="Q20" s="2"/>
      <c r="R20" s="19"/>
      <c r="S20" s="2"/>
      <c r="T20" s="2">
        <f>--77324.61</f>
        <v>77324.61</v>
      </c>
      <c r="U20" s="2"/>
      <c r="V20" s="19"/>
      <c r="W20" s="2"/>
      <c r="X20" s="2">
        <f t="shared" si="2"/>
        <v>-17451.099999999999</v>
      </c>
      <c r="Y20" s="2"/>
      <c r="Z20" s="19">
        <f t="shared" si="3"/>
        <v>-0.22568623365833981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--25214.79</f>
        <v>25214.79</v>
      </c>
      <c r="E21" s="2"/>
      <c r="F21" s="19"/>
      <c r="G21" s="2"/>
      <c r="H21" s="2">
        <f>--36428.85</f>
        <v>36428.85</v>
      </c>
      <c r="I21" s="2"/>
      <c r="J21" s="19"/>
      <c r="K21" s="2"/>
      <c r="L21" s="2">
        <f t="shared" si="0"/>
        <v>-11214.059999999998</v>
      </c>
      <c r="M21" s="2"/>
      <c r="N21" s="19">
        <f t="shared" si="1"/>
        <v>-0.30783458714727469</v>
      </c>
      <c r="O21" s="11"/>
      <c r="P21" s="2">
        <f>--30968.17</f>
        <v>30968.17</v>
      </c>
      <c r="Q21" s="2"/>
      <c r="R21" s="19"/>
      <c r="S21" s="2"/>
      <c r="T21" s="2">
        <f>--47961.98</f>
        <v>47961.98</v>
      </c>
      <c r="U21" s="2"/>
      <c r="V21" s="19"/>
      <c r="W21" s="2"/>
      <c r="X21" s="2">
        <f t="shared" si="2"/>
        <v>-16993.810000000005</v>
      </c>
      <c r="Y21" s="2"/>
      <c r="Z21" s="19">
        <f t="shared" si="3"/>
        <v>-0.35431835799939876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--6763.28</f>
        <v>6763.28</v>
      </c>
      <c r="E22" s="2"/>
      <c r="F22" s="19"/>
      <c r="G22" s="2"/>
      <c r="H22" s="2">
        <f>--67.34</f>
        <v>67.34</v>
      </c>
      <c r="I22" s="2"/>
      <c r="J22" s="19"/>
      <c r="K22" s="2"/>
      <c r="L22" s="2">
        <f t="shared" si="0"/>
        <v>6695.94</v>
      </c>
      <c r="M22" s="2"/>
      <c r="N22" s="19">
        <f t="shared" si="1"/>
        <v>99.434808434808417</v>
      </c>
      <c r="O22" s="11"/>
      <c r="P22" s="2">
        <f>--6980.64</f>
        <v>6980.64</v>
      </c>
      <c r="Q22" s="2"/>
      <c r="R22" s="19"/>
      <c r="S22" s="2"/>
      <c r="T22" s="2">
        <f>--108.19</f>
        <v>108.19</v>
      </c>
      <c r="U22" s="2"/>
      <c r="V22" s="19"/>
      <c r="W22" s="2"/>
      <c r="X22" s="2">
        <f t="shared" si="2"/>
        <v>6872.4500000000007</v>
      </c>
      <c r="Y22" s="2"/>
      <c r="Z22" s="19">
        <f t="shared" si="3"/>
        <v>63.522044551252435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--6568.52</f>
        <v>6568.52</v>
      </c>
      <c r="E23" s="2"/>
      <c r="F23" s="19"/>
      <c r="G23" s="2"/>
      <c r="H23" s="2">
        <f>--19434.42</f>
        <v>19434.419999999998</v>
      </c>
      <c r="I23" s="2"/>
      <c r="J23" s="19"/>
      <c r="K23" s="2"/>
      <c r="L23" s="2">
        <f t="shared" si="0"/>
        <v>-12865.899999999998</v>
      </c>
      <c r="M23" s="2"/>
      <c r="N23" s="19">
        <f t="shared" si="1"/>
        <v>-0.66201615484279952</v>
      </c>
      <c r="O23" s="11"/>
      <c r="P23" s="2">
        <f>--8369.2</f>
        <v>8369.2000000000007</v>
      </c>
      <c r="Q23" s="2"/>
      <c r="R23" s="19"/>
      <c r="S23" s="2"/>
      <c r="T23" s="2">
        <f>--21777.07</f>
        <v>21777.07</v>
      </c>
      <c r="U23" s="2"/>
      <c r="V23" s="19"/>
      <c r="W23" s="2"/>
      <c r="X23" s="2">
        <f t="shared" si="2"/>
        <v>-13407.869999999999</v>
      </c>
      <c r="Y23" s="2"/>
      <c r="Z23" s="19">
        <f t="shared" si="3"/>
        <v>-0.61568750984406995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--46004.35</f>
        <v>46004.35</v>
      </c>
      <c r="E24" s="2"/>
      <c r="F24" s="19"/>
      <c r="G24" s="2"/>
      <c r="H24" s="2">
        <f>--6103.32</f>
        <v>6103.32</v>
      </c>
      <c r="I24" s="2"/>
      <c r="J24" s="19"/>
      <c r="K24" s="2"/>
      <c r="L24" s="2">
        <f t="shared" si="0"/>
        <v>39901.03</v>
      </c>
      <c r="M24" s="2"/>
      <c r="N24" s="19">
        <f t="shared" si="1"/>
        <v>6.5375942929422024</v>
      </c>
      <c r="O24" s="11"/>
      <c r="P24" s="2">
        <f>--89431.08</f>
        <v>89431.08</v>
      </c>
      <c r="Q24" s="2"/>
      <c r="R24" s="19"/>
      <c r="S24" s="2"/>
      <c r="T24" s="2">
        <f>--25524.04</f>
        <v>25524.04</v>
      </c>
      <c r="U24" s="2"/>
      <c r="V24" s="19"/>
      <c r="W24" s="2"/>
      <c r="X24" s="2">
        <f t="shared" si="2"/>
        <v>63907.040000000001</v>
      </c>
      <c r="Y24" s="2"/>
      <c r="Z24" s="19">
        <f t="shared" si="3"/>
        <v>2.5037979880927939</v>
      </c>
    </row>
    <row r="25" spans="1:26" s="24" customFormat="1" hidden="1" outlineLevel="1" x14ac:dyDescent="0.25">
      <c r="A25" s="44"/>
      <c r="B25" s="11" t="str">
        <f>CONCATENATE("          ", "4092", " - ", "TAXABLE SALES-GRAD MERCH")</f>
        <v xml:space="preserve">          4092 - TAXABLE SALES-GRAD MERCH</v>
      </c>
      <c r="C25" s="11"/>
      <c r="D25" s="2">
        <f t="shared" ref="D25:D27" si="6">0</f>
        <v>0</v>
      </c>
      <c r="E25" s="2"/>
      <c r="F25" s="19"/>
      <c r="G25" s="2"/>
      <c r="H25" s="2">
        <f>-39.95</f>
        <v>-39.950000000000003</v>
      </c>
      <c r="I25" s="2"/>
      <c r="J25" s="19"/>
      <c r="K25" s="2"/>
      <c r="L25" s="2">
        <f t="shared" si="0"/>
        <v>39.950000000000003</v>
      </c>
      <c r="M25" s="2"/>
      <c r="N25" s="19">
        <f t="shared" si="1"/>
        <v>-1</v>
      </c>
      <c r="O25" s="11"/>
      <c r="P25" s="2">
        <f t="shared" ref="P25:P26" si="7">0</f>
        <v>0</v>
      </c>
      <c r="Q25" s="2"/>
      <c r="R25" s="19"/>
      <c r="S25" s="2"/>
      <c r="T25" s="2">
        <f>-39.95</f>
        <v>-39.950000000000003</v>
      </c>
      <c r="U25" s="2"/>
      <c r="V25" s="19"/>
      <c r="W25" s="2"/>
      <c r="X25" s="2">
        <f t="shared" si="2"/>
        <v>39.950000000000003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"4095", " - ", "TAXABLE SALES-CUSTOMER SERVICE")</f>
        <v xml:space="preserve">          4095 - TAXABLE SALES-CUSTOMER SERVICE</v>
      </c>
      <c r="C26" s="11"/>
      <c r="D26" s="2">
        <f t="shared" si="6"/>
        <v>0</v>
      </c>
      <c r="E26" s="2"/>
      <c r="F26" s="19"/>
      <c r="G26" s="2"/>
      <c r="H26" s="2">
        <f>--5.94</f>
        <v>5.94</v>
      </c>
      <c r="I26" s="2"/>
      <c r="J26" s="19"/>
      <c r="K26" s="2"/>
      <c r="L26" s="2">
        <f t="shared" si="0"/>
        <v>-5.94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--16.83</f>
        <v>16.829999999999998</v>
      </c>
      <c r="U26" s="2"/>
      <c r="V26" s="19"/>
      <c r="W26" s="2"/>
      <c r="X26" s="2">
        <f t="shared" si="2"/>
        <v>-16.829999999999998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"4126", " - ", "NON-TAXABLE SALES-WRITING INST")</f>
        <v xml:space="preserve">          4126 - NON-TAXABLE SALES-WRITING INST</v>
      </c>
      <c r="C27" s="11"/>
      <c r="D27" s="2">
        <f t="shared" si="6"/>
        <v>0</v>
      </c>
      <c r="E27" s="2"/>
      <c r="F27" s="19"/>
      <c r="G27" s="2"/>
      <c r="H27" s="2">
        <f t="shared" ref="H27:H32" si="8"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--52.68</f>
        <v>52.68</v>
      </c>
      <c r="Q27" s="2"/>
      <c r="R27" s="19"/>
      <c r="S27" s="2"/>
      <c r="T27" s="2">
        <f t="shared" ref="T27:T32" si="9">0</f>
        <v>0</v>
      </c>
      <c r="U27" s="2"/>
      <c r="V27" s="19"/>
      <c r="W27" s="2"/>
      <c r="X27" s="2">
        <f t="shared" si="2"/>
        <v>52.68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"4127", " - ", "NON-TAXABLE SALES-SCHOOL SUPPL")</f>
        <v xml:space="preserve">          4127 - NON-TAXABLE SALES-SCHOOL SUPPL</v>
      </c>
      <c r="C28" s="11"/>
      <c r="D28" s="2">
        <f>--1788.16</f>
        <v>1788.16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1788.16</v>
      </c>
      <c r="M28" s="2"/>
      <c r="N28" s="19">
        <f t="shared" si="1"/>
        <v>0</v>
      </c>
      <c r="O28" s="11"/>
      <c r="P28" s="2">
        <f>--1860.41</f>
        <v>1860.41</v>
      </c>
      <c r="Q28" s="2"/>
      <c r="R28" s="19"/>
      <c r="S28" s="2"/>
      <c r="T28" s="2">
        <f t="shared" si="9"/>
        <v>0</v>
      </c>
      <c r="U28" s="2"/>
      <c r="V28" s="19"/>
      <c r="W28" s="2"/>
      <c r="X28" s="2">
        <f t="shared" si="2"/>
        <v>1860.41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"4131", " - ", "NON-TAXABLE SALES-FOOD")</f>
        <v xml:space="preserve">          4131 - NON-TAXABLE SALES-FOOD</v>
      </c>
      <c r="C29" s="11"/>
      <c r="D29" s="2">
        <f>--988.65</f>
        <v>988.65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988.65</v>
      </c>
      <c r="M29" s="2"/>
      <c r="N29" s="19">
        <f t="shared" si="1"/>
        <v>0</v>
      </c>
      <c r="O29" s="11"/>
      <c r="P29" s="2">
        <f>--1248.08</f>
        <v>1248.08</v>
      </c>
      <c r="Q29" s="2"/>
      <c r="R29" s="19"/>
      <c r="S29" s="2"/>
      <c r="T29" s="2">
        <f t="shared" si="9"/>
        <v>0</v>
      </c>
      <c r="U29" s="2"/>
      <c r="V29" s="19"/>
      <c r="W29" s="2"/>
      <c r="X29" s="2">
        <f t="shared" si="2"/>
        <v>1248.08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"4132", " - ", "NON-TAXABLE SALES-JUICE")</f>
        <v xml:space="preserve">          4132 - NON-TAXABLE SALES-JUICE</v>
      </c>
      <c r="C30" s="11"/>
      <c r="D30" s="2">
        <f>0</f>
        <v>0</v>
      </c>
      <c r="E30" s="2"/>
      <c r="F30" s="19"/>
      <c r="G30" s="2"/>
      <c r="H30" s="2">
        <f t="shared" si="8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--22.49</f>
        <v>22.49</v>
      </c>
      <c r="Q30" s="2"/>
      <c r="R30" s="19"/>
      <c r="S30" s="2"/>
      <c r="T30" s="2">
        <f t="shared" si="9"/>
        <v>0</v>
      </c>
      <c r="U30" s="2"/>
      <c r="V30" s="19"/>
      <c r="W30" s="2"/>
      <c r="X30" s="2">
        <f t="shared" si="2"/>
        <v>22.49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"4133", " - ", "NON-TAXABLE SALES-CANDY")</f>
        <v xml:space="preserve">          4133 - NON-TAXABLE SALES-CANDY</v>
      </c>
      <c r="C31" s="11"/>
      <c r="D31" s="2">
        <f>--12.43</f>
        <v>12.43</v>
      </c>
      <c r="E31" s="2"/>
      <c r="F31" s="19"/>
      <c r="G31" s="2"/>
      <c r="H31" s="2">
        <f t="shared" si="8"/>
        <v>0</v>
      </c>
      <c r="I31" s="2"/>
      <c r="J31" s="19"/>
      <c r="K31" s="2"/>
      <c r="L31" s="2">
        <f t="shared" si="0"/>
        <v>12.43</v>
      </c>
      <c r="M31" s="2"/>
      <c r="N31" s="19">
        <f t="shared" si="1"/>
        <v>0</v>
      </c>
      <c r="O31" s="11"/>
      <c r="P31" s="2">
        <f>--80.71</f>
        <v>80.709999999999994</v>
      </c>
      <c r="Q31" s="2"/>
      <c r="R31" s="19"/>
      <c r="S31" s="2"/>
      <c r="T31" s="2">
        <f t="shared" si="9"/>
        <v>0</v>
      </c>
      <c r="U31" s="2"/>
      <c r="V31" s="19"/>
      <c r="W31" s="2"/>
      <c r="X31" s="2">
        <f t="shared" si="2"/>
        <v>80.709999999999994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"4134", " - ", "NON-TAXABLE SALES-SODA")</f>
        <v xml:space="preserve">          4134 - NON-TAXABLE SALES-SODA</v>
      </c>
      <c r="C32" s="11"/>
      <c r="D32" s="2">
        <f t="shared" ref="D32:D33" si="10">0</f>
        <v>0</v>
      </c>
      <c r="E32" s="2"/>
      <c r="F32" s="19"/>
      <c r="G32" s="2"/>
      <c r="H32" s="2">
        <f t="shared" si="8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--45.53</f>
        <v>45.53</v>
      </c>
      <c r="Q32" s="2"/>
      <c r="R32" s="19"/>
      <c r="S32" s="2"/>
      <c r="T32" s="2">
        <f t="shared" si="9"/>
        <v>0</v>
      </c>
      <c r="U32" s="2"/>
      <c r="V32" s="19"/>
      <c r="W32" s="2"/>
      <c r="X32" s="2">
        <f t="shared" si="2"/>
        <v>45.53</v>
      </c>
      <c r="Y32" s="2"/>
      <c r="Z32" s="19">
        <f t="shared" si="3"/>
        <v>0</v>
      </c>
    </row>
    <row r="33" spans="1:26" s="24" customFormat="1" hidden="1" outlineLevel="1" x14ac:dyDescent="0.25">
      <c r="A33" s="44"/>
      <c r="B33" s="11" t="str">
        <f>CONCATENATE("          ", "4137", " - ", "NON-TAXABLE SALES-WATER")</f>
        <v xml:space="preserve">          4137 - NON-TAXABLE SALES-WATER</v>
      </c>
      <c r="C33" s="11"/>
      <c r="D33" s="2">
        <f t="shared" si="10"/>
        <v>0</v>
      </c>
      <c r="E33" s="2"/>
      <c r="F33" s="19"/>
      <c r="G33" s="2"/>
      <c r="H33" s="2">
        <f>--31.5</f>
        <v>31.5</v>
      </c>
      <c r="I33" s="2"/>
      <c r="J33" s="19"/>
      <c r="K33" s="2"/>
      <c r="L33" s="2">
        <f t="shared" si="0"/>
        <v>-31.5</v>
      </c>
      <c r="M33" s="2"/>
      <c r="N33" s="19">
        <f t="shared" si="1"/>
        <v>-1</v>
      </c>
      <c r="O33" s="11"/>
      <c r="P33" s="2">
        <f>--68.25</f>
        <v>68.25</v>
      </c>
      <c r="Q33" s="2"/>
      <c r="R33" s="19"/>
      <c r="S33" s="2"/>
      <c r="T33" s="2">
        <f>--54</f>
        <v>54</v>
      </c>
      <c r="U33" s="2"/>
      <c r="V33" s="19"/>
      <c r="W33" s="2"/>
      <c r="X33" s="2">
        <f t="shared" si="2"/>
        <v>14.25</v>
      </c>
      <c r="Y33" s="2"/>
      <c r="Z33" s="19">
        <f t="shared" si="3"/>
        <v>0.2638888888888889</v>
      </c>
    </row>
    <row r="34" spans="1:26" s="24" customFormat="1" hidden="1" outlineLevel="1" x14ac:dyDescent="0.25">
      <c r="A34" s="44"/>
      <c r="B34" s="11" t="str">
        <f>CONCATENATE("          ", "4140", " - ", "NON-TAXABLE SALES-LOGO CLOTHIN")</f>
        <v xml:space="preserve">          4140 - NON-TAXABLE SALES-LOGO CLOTHIN</v>
      </c>
      <c r="C34" s="11"/>
      <c r="D34" s="2">
        <f>--7266.5</f>
        <v>7266.5</v>
      </c>
      <c r="E34" s="2"/>
      <c r="F34" s="19"/>
      <c r="G34" s="2"/>
      <c r="H34" s="2">
        <f>--1979.29</f>
        <v>1979.29</v>
      </c>
      <c r="I34" s="2"/>
      <c r="J34" s="19"/>
      <c r="K34" s="2"/>
      <c r="L34" s="2">
        <f t="shared" si="0"/>
        <v>5287.21</v>
      </c>
      <c r="M34" s="2"/>
      <c r="N34" s="19">
        <f t="shared" si="1"/>
        <v>2.6712659590055021</v>
      </c>
      <c r="O34" s="11"/>
      <c r="P34" s="2">
        <f>--14112.74</f>
        <v>14112.74</v>
      </c>
      <c r="Q34" s="2"/>
      <c r="R34" s="19"/>
      <c r="S34" s="2"/>
      <c r="T34" s="2">
        <f>--5142.96</f>
        <v>5142.96</v>
      </c>
      <c r="U34" s="2"/>
      <c r="V34" s="19"/>
      <c r="W34" s="2"/>
      <c r="X34" s="2">
        <f t="shared" si="2"/>
        <v>8969.7799999999988</v>
      </c>
      <c r="Y34" s="2"/>
      <c r="Z34" s="19">
        <f t="shared" si="3"/>
        <v>1.7440890071087465</v>
      </c>
    </row>
    <row r="35" spans="1:26" s="24" customFormat="1" hidden="1" outlineLevel="1" x14ac:dyDescent="0.25">
      <c r="A35" s="44"/>
      <c r="B35" s="11" t="str">
        <f>CONCATENATE("          ", "4141", " - ", "NON-TAXABLE SALES-LOGO GIFTS")</f>
        <v xml:space="preserve">          4141 - NON-TAXABLE SALES-LOGO GIFTS</v>
      </c>
      <c r="C35" s="11"/>
      <c r="D35" s="2">
        <f>--742.31</f>
        <v>742.31</v>
      </c>
      <c r="E35" s="2"/>
      <c r="F35" s="19"/>
      <c r="G35" s="2"/>
      <c r="H35" s="2">
        <f>--262.7</f>
        <v>262.7</v>
      </c>
      <c r="I35" s="2"/>
      <c r="J35" s="19"/>
      <c r="K35" s="2"/>
      <c r="L35" s="2">
        <f t="shared" si="0"/>
        <v>479.60999999999996</v>
      </c>
      <c r="M35" s="2"/>
      <c r="N35" s="19">
        <f t="shared" si="1"/>
        <v>1.8256947087933002</v>
      </c>
      <c r="O35" s="11"/>
      <c r="P35" s="2">
        <f>--1931.75</f>
        <v>1931.75</v>
      </c>
      <c r="Q35" s="2"/>
      <c r="R35" s="19"/>
      <c r="S35" s="2"/>
      <c r="T35" s="2">
        <f>--516.9</f>
        <v>516.9</v>
      </c>
      <c r="U35" s="2"/>
      <c r="V35" s="19"/>
      <c r="W35" s="2"/>
      <c r="X35" s="2">
        <f t="shared" si="2"/>
        <v>1414.85</v>
      </c>
      <c r="Y35" s="2"/>
      <c r="Z35" s="19">
        <f t="shared" si="3"/>
        <v>2.737183207583672</v>
      </c>
    </row>
    <row r="36" spans="1:26" s="24" customFormat="1" hidden="1" outlineLevel="1" x14ac:dyDescent="0.25">
      <c r="A36" s="44"/>
      <c r="B36" s="11" t="str">
        <f>CONCATENATE("          ", "4142", " - ", "NON-TAXABLE SALES-EVERYDAY GIF")</f>
        <v xml:space="preserve">          4142 - NON-TAXABLE SALES-EVERYDAY GIF</v>
      </c>
      <c r="C36" s="11"/>
      <c r="D36" s="2">
        <f>--333.42</f>
        <v>333.42</v>
      </c>
      <c r="E36" s="2"/>
      <c r="F36" s="19"/>
      <c r="G36" s="2"/>
      <c r="H36" s="2">
        <f>--176.66</f>
        <v>176.66</v>
      </c>
      <c r="I36" s="2"/>
      <c r="J36" s="19"/>
      <c r="K36" s="2"/>
      <c r="L36" s="2">
        <f t="shared" si="0"/>
        <v>156.76000000000002</v>
      </c>
      <c r="M36" s="2"/>
      <c r="N36" s="19">
        <f t="shared" si="1"/>
        <v>0.88735423978263339</v>
      </c>
      <c r="O36" s="11"/>
      <c r="P36" s="2">
        <f>--973.59</f>
        <v>973.59</v>
      </c>
      <c r="Q36" s="2"/>
      <c r="R36" s="19"/>
      <c r="S36" s="2"/>
      <c r="T36" s="2">
        <f>--408.1</f>
        <v>408.1</v>
      </c>
      <c r="U36" s="2"/>
      <c r="V36" s="19"/>
      <c r="W36" s="2"/>
      <c r="X36" s="2">
        <f t="shared" si="2"/>
        <v>565.49</v>
      </c>
      <c r="Y36" s="2"/>
      <c r="Z36" s="19">
        <f t="shared" si="3"/>
        <v>1.3856652781181082</v>
      </c>
    </row>
    <row r="37" spans="1:26" s="24" customFormat="1" hidden="1" outlineLevel="1" x14ac:dyDescent="0.25">
      <c r="A37" s="44"/>
      <c r="B37" s="11" t="str">
        <f>CONCATENATE("          ", "4143", " - ", "NON-TAXABLE SALES-CARDS")</f>
        <v xml:space="preserve">          4143 - NON-TAXABLE SALES-CARDS</v>
      </c>
      <c r="C37" s="11"/>
      <c r="D37" s="2">
        <f>--19.98</f>
        <v>19.98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19.98</v>
      </c>
      <c r="M37" s="2"/>
      <c r="N37" s="19">
        <f t="shared" si="1"/>
        <v>0</v>
      </c>
      <c r="O37" s="11"/>
      <c r="P37" s="2">
        <f>--19.98</f>
        <v>19.98</v>
      </c>
      <c r="Q37" s="2"/>
      <c r="R37" s="19"/>
      <c r="S37" s="2"/>
      <c r="T37" s="2">
        <f>0</f>
        <v>0</v>
      </c>
      <c r="U37" s="2"/>
      <c r="V37" s="19"/>
      <c r="W37" s="2"/>
      <c r="X37" s="2">
        <f t="shared" si="2"/>
        <v>19.98</v>
      </c>
      <c r="Y37" s="2"/>
      <c r="Z37" s="19">
        <f t="shared" si="3"/>
        <v>0</v>
      </c>
    </row>
    <row r="38" spans="1:26" s="24" customFormat="1" hidden="1" outlineLevel="1" x14ac:dyDescent="0.25">
      <c r="A38" s="44"/>
      <c r="B38" s="11" t="str">
        <f>CONCATENATE("          ", "4144", " - ", "NON-TAXABLE SALES-ACCESSORIES")</f>
        <v xml:space="preserve">          4144 - NON-TAXABLE SALES-ACCESSORIES</v>
      </c>
      <c r="C38" s="11"/>
      <c r="D38" s="2">
        <f>--107.95</f>
        <v>107.95</v>
      </c>
      <c r="E38" s="2"/>
      <c r="F38" s="19"/>
      <c r="G38" s="2"/>
      <c r="H38" s="2">
        <f>--117.86</f>
        <v>117.86</v>
      </c>
      <c r="I38" s="2"/>
      <c r="J38" s="19"/>
      <c r="K38" s="2"/>
      <c r="L38" s="2">
        <f t="shared" si="0"/>
        <v>-9.9099999999999966</v>
      </c>
      <c r="M38" s="2"/>
      <c r="N38" s="19">
        <f t="shared" si="1"/>
        <v>-8.4082810113694187E-2</v>
      </c>
      <c r="O38" s="11"/>
      <c r="P38" s="2">
        <f>--155.8</f>
        <v>155.80000000000001</v>
      </c>
      <c r="Q38" s="2"/>
      <c r="R38" s="19"/>
      <c r="S38" s="2"/>
      <c r="T38" s="2">
        <f>--139.76</f>
        <v>139.76</v>
      </c>
      <c r="U38" s="2"/>
      <c r="V38" s="19"/>
      <c r="W38" s="2"/>
      <c r="X38" s="2">
        <f t="shared" si="2"/>
        <v>16.04000000000002</v>
      </c>
      <c r="Y38" s="2"/>
      <c r="Z38" s="19">
        <f t="shared" si="3"/>
        <v>0.11476817401259318</v>
      </c>
    </row>
    <row r="39" spans="1:26" s="24" customFormat="1" hidden="1" outlineLevel="1" x14ac:dyDescent="0.25">
      <c r="A39" s="44"/>
      <c r="B39" s="11" t="str">
        <f>CONCATENATE("          ", "4145", " - ", "NON-TAXABLE SALES-SPECIAL ORDE")</f>
        <v xml:space="preserve">          4145 - NON-TAXABLE SALES-SPECIAL ORDE</v>
      </c>
      <c r="C39" s="11"/>
      <c r="D39" s="2">
        <f>--350</f>
        <v>350</v>
      </c>
      <c r="E39" s="2"/>
      <c r="F39" s="19"/>
      <c r="G39" s="2"/>
      <c r="H39" s="2">
        <f>--90</f>
        <v>90</v>
      </c>
      <c r="I39" s="2"/>
      <c r="J39" s="19"/>
      <c r="K39" s="2"/>
      <c r="L39" s="2">
        <f t="shared" si="0"/>
        <v>260</v>
      </c>
      <c r="M39" s="2"/>
      <c r="N39" s="19">
        <f t="shared" si="1"/>
        <v>2.8888888888888888</v>
      </c>
      <c r="O39" s="11"/>
      <c r="P39" s="2">
        <f>--35846</f>
        <v>35846</v>
      </c>
      <c r="Q39" s="2"/>
      <c r="R39" s="19"/>
      <c r="S39" s="2"/>
      <c r="T39" s="2">
        <f>--90</f>
        <v>90</v>
      </c>
      <c r="U39" s="2"/>
      <c r="V39" s="19"/>
      <c r="W39" s="2"/>
      <c r="X39" s="2">
        <f t="shared" si="2"/>
        <v>35756</v>
      </c>
      <c r="Y39" s="2"/>
      <c r="Z39" s="19">
        <f t="shared" si="3"/>
        <v>397.28888888888889</v>
      </c>
    </row>
    <row r="40" spans="1:26" s="24" customFormat="1" hidden="1" outlineLevel="1" x14ac:dyDescent="0.25">
      <c r="A40" s="44"/>
      <c r="B40" s="11" t="str">
        <f>CONCATENATE("          ", "4226", " - ", "SALES RETURN TAXABLE-WRITING I")</f>
        <v xml:space="preserve">          4226 - SALES RETURN TAXABLE-WRITING I</v>
      </c>
      <c r="C40" s="11"/>
      <c r="D40" s="2">
        <f>0</f>
        <v>0</v>
      </c>
      <c r="E40" s="2"/>
      <c r="F40" s="19"/>
      <c r="G40" s="2"/>
      <c r="H40" s="2">
        <f t="shared" ref="H40:H41" si="11"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>-6.38</f>
        <v>-6.38</v>
      </c>
      <c r="Q40" s="2"/>
      <c r="R40" s="19"/>
      <c r="S40" s="2"/>
      <c r="T40" s="2">
        <f t="shared" ref="T40:T41" si="12">0</f>
        <v>0</v>
      </c>
      <c r="U40" s="2"/>
      <c r="V40" s="19"/>
      <c r="W40" s="2"/>
      <c r="X40" s="2">
        <f t="shared" si="2"/>
        <v>-6.38</v>
      </c>
      <c r="Y40" s="2"/>
      <c r="Z40" s="19">
        <f t="shared" si="3"/>
        <v>0</v>
      </c>
    </row>
    <row r="41" spans="1:26" s="24" customFormat="1" hidden="1" outlineLevel="1" x14ac:dyDescent="0.25">
      <c r="A41" s="44"/>
      <c r="B41" s="11" t="str">
        <f>CONCATENATE("          ", "4227", " - ", "SALES RETURN TAXABLE-SCHOOL SU")</f>
        <v xml:space="preserve">          4227 - SALES RETURN TAXABLE-SCHOOL SU</v>
      </c>
      <c r="C41" s="11"/>
      <c r="D41" s="2">
        <f>-219.22</f>
        <v>-219.22</v>
      </c>
      <c r="E41" s="2"/>
      <c r="F41" s="19"/>
      <c r="G41" s="2"/>
      <c r="H41" s="2">
        <f t="shared" si="11"/>
        <v>0</v>
      </c>
      <c r="I41" s="2"/>
      <c r="J41" s="19"/>
      <c r="K41" s="2"/>
      <c r="L41" s="2">
        <f t="shared" si="0"/>
        <v>-219.22</v>
      </c>
      <c r="M41" s="2"/>
      <c r="N41" s="19">
        <f t="shared" si="1"/>
        <v>0</v>
      </c>
      <c r="O41" s="11"/>
      <c r="P41" s="2">
        <f>-275.99</f>
        <v>-275.99</v>
      </c>
      <c r="Q41" s="2"/>
      <c r="R41" s="19"/>
      <c r="S41" s="2"/>
      <c r="T41" s="2">
        <f t="shared" si="12"/>
        <v>0</v>
      </c>
      <c r="U41" s="2"/>
      <c r="V41" s="19"/>
      <c r="W41" s="2"/>
      <c r="X41" s="2">
        <f t="shared" si="2"/>
        <v>-275.99</v>
      </c>
      <c r="Y41" s="2"/>
      <c r="Z41" s="19">
        <f t="shared" si="3"/>
        <v>0</v>
      </c>
    </row>
    <row r="42" spans="1:26" s="24" customFormat="1" hidden="1" outlineLevel="1" x14ac:dyDescent="0.25">
      <c r="A42" s="44"/>
      <c r="B42" s="11" t="str">
        <f>CONCATENATE("          ", "4240", " - ", "SALES RETURN TAXABLE-LOGO CLOT")</f>
        <v xml:space="preserve">          4240 - SALES RETURN TAXABLE-LOGO CLOT</v>
      </c>
      <c r="C42" s="11"/>
      <c r="D42" s="2">
        <f>-4788.72</f>
        <v>-4788.72</v>
      </c>
      <c r="E42" s="2"/>
      <c r="F42" s="19"/>
      <c r="G42" s="2"/>
      <c r="H42" s="2">
        <f>-6807.65</f>
        <v>-6807.65</v>
      </c>
      <c r="I42" s="2"/>
      <c r="J42" s="19"/>
      <c r="K42" s="2"/>
      <c r="L42" s="2">
        <f t="shared" si="0"/>
        <v>2018.9299999999994</v>
      </c>
      <c r="M42" s="2"/>
      <c r="N42" s="19">
        <f t="shared" si="1"/>
        <v>-0.29656783177748552</v>
      </c>
      <c r="O42" s="11"/>
      <c r="P42" s="2">
        <f>-8156.82</f>
        <v>-8156.82</v>
      </c>
      <c r="Q42" s="2"/>
      <c r="R42" s="19"/>
      <c r="S42" s="2"/>
      <c r="T42" s="2">
        <f>-11254.49</f>
        <v>-11254.49</v>
      </c>
      <c r="U42" s="2"/>
      <c r="V42" s="19"/>
      <c r="W42" s="2"/>
      <c r="X42" s="2">
        <f t="shared" si="2"/>
        <v>3097.67</v>
      </c>
      <c r="Y42" s="2"/>
      <c r="Z42" s="19">
        <f t="shared" si="3"/>
        <v>-0.27523859366350678</v>
      </c>
    </row>
    <row r="43" spans="1:26" s="24" customFormat="1" hidden="1" outlineLevel="1" x14ac:dyDescent="0.25">
      <c r="A43" s="44"/>
      <c r="B43" s="11" t="str">
        <f>CONCATENATE("          ", "4241", " - ", "SALES RETURN TAXABLE-LOGO GIFT")</f>
        <v xml:space="preserve">          4241 - SALES RETURN TAXABLE-LOGO GIFT</v>
      </c>
      <c r="C43" s="11"/>
      <c r="D43" s="2">
        <f>-464.76</f>
        <v>-464.76</v>
      </c>
      <c r="E43" s="2"/>
      <c r="F43" s="19"/>
      <c r="G43" s="2"/>
      <c r="H43" s="2">
        <f>-518.16</f>
        <v>-518.16</v>
      </c>
      <c r="I43" s="2"/>
      <c r="J43" s="19"/>
      <c r="K43" s="2"/>
      <c r="L43" s="2">
        <f t="shared" si="0"/>
        <v>53.399999999999977</v>
      </c>
      <c r="M43" s="2"/>
      <c r="N43" s="19">
        <f t="shared" si="1"/>
        <v>-0.10305697081982396</v>
      </c>
      <c r="O43" s="11"/>
      <c r="P43" s="2">
        <f>-806.74</f>
        <v>-806.74</v>
      </c>
      <c r="Q43" s="2"/>
      <c r="R43" s="19"/>
      <c r="S43" s="2"/>
      <c r="T43" s="2">
        <f>-1226.31</f>
        <v>-1226.31</v>
      </c>
      <c r="U43" s="2"/>
      <c r="V43" s="19"/>
      <c r="W43" s="2"/>
      <c r="X43" s="2">
        <f t="shared" si="2"/>
        <v>419.56999999999994</v>
      </c>
      <c r="Y43" s="2"/>
      <c r="Z43" s="19">
        <f t="shared" si="3"/>
        <v>-0.34214024186380276</v>
      </c>
    </row>
    <row r="44" spans="1:26" s="24" customFormat="1" hidden="1" outlineLevel="1" x14ac:dyDescent="0.25">
      <c r="A44" s="44"/>
      <c r="B44" s="11" t="str">
        <f>CONCATENATE("          ", "4242", " - ", "SALES RETURN TAXABLE-EVERYDAY")</f>
        <v xml:space="preserve">          4242 - SALES RETURN TAXABLE-EVERYDAY</v>
      </c>
      <c r="C44" s="11"/>
      <c r="D44" s="2">
        <f>-470.53</f>
        <v>-470.53</v>
      </c>
      <c r="E44" s="2"/>
      <c r="F44" s="19"/>
      <c r="G44" s="2"/>
      <c r="H44" s="2">
        <f>-450.83</f>
        <v>-450.83</v>
      </c>
      <c r="I44" s="2"/>
      <c r="J44" s="19"/>
      <c r="K44" s="2"/>
      <c r="L44" s="2">
        <f t="shared" si="0"/>
        <v>-19.699999999999989</v>
      </c>
      <c r="M44" s="2"/>
      <c r="N44" s="19">
        <f t="shared" si="1"/>
        <v>4.3697180755495398E-2</v>
      </c>
      <c r="O44" s="11"/>
      <c r="P44" s="2">
        <f>-649.49</f>
        <v>-649.49</v>
      </c>
      <c r="Q44" s="2"/>
      <c r="R44" s="19"/>
      <c r="S44" s="2"/>
      <c r="T44" s="2">
        <f>-808.61</f>
        <v>-808.61</v>
      </c>
      <c r="U44" s="2"/>
      <c r="V44" s="19"/>
      <c r="W44" s="2"/>
      <c r="X44" s="2">
        <f t="shared" si="2"/>
        <v>159.12</v>
      </c>
      <c r="Y44" s="2"/>
      <c r="Z44" s="19">
        <f t="shared" si="3"/>
        <v>-0.1967821323011093</v>
      </c>
    </row>
    <row r="45" spans="1:26" s="24" customFormat="1" hidden="1" outlineLevel="1" x14ac:dyDescent="0.25">
      <c r="A45" s="44"/>
      <c r="B45" s="11" t="str">
        <f>CONCATENATE("          ", "4243", " - ", "SALES RETURN TAXABLE-CARDS")</f>
        <v xml:space="preserve">          4243 - SALES RETURN TAXABLE-CARDS</v>
      </c>
      <c r="C45" s="11"/>
      <c r="D45" s="2">
        <f>-93.43</f>
        <v>-93.43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-93.43</v>
      </c>
      <c r="M45" s="2"/>
      <c r="N45" s="19">
        <f t="shared" si="1"/>
        <v>0</v>
      </c>
      <c r="O45" s="11"/>
      <c r="P45" s="2">
        <f>-93.43</f>
        <v>-93.43</v>
      </c>
      <c r="Q45" s="2"/>
      <c r="R45" s="19"/>
      <c r="S45" s="2"/>
      <c r="T45" s="2">
        <f>0</f>
        <v>0</v>
      </c>
      <c r="U45" s="2"/>
      <c r="V45" s="19"/>
      <c r="W45" s="2"/>
      <c r="X45" s="2">
        <f t="shared" si="2"/>
        <v>-93.43</v>
      </c>
      <c r="Y45" s="2"/>
      <c r="Z45" s="19">
        <f t="shared" si="3"/>
        <v>0</v>
      </c>
    </row>
    <row r="46" spans="1:26" s="24" customFormat="1" hidden="1" outlineLevel="1" x14ac:dyDescent="0.25">
      <c r="A46" s="44"/>
      <c r="B46" s="11" t="str">
        <f>CONCATENATE("          ", "4244", " - ", "SALES RETURN TAXABLE-ACCESSORI")</f>
        <v xml:space="preserve">          4244 - SALES RETURN TAXABLE-ACCESSORI</v>
      </c>
      <c r="C46" s="11"/>
      <c r="D46" s="2">
        <f>-350.99</f>
        <v>-350.99</v>
      </c>
      <c r="E46" s="2"/>
      <c r="F46" s="19"/>
      <c r="G46" s="2"/>
      <c r="H46" s="2">
        <f>-443.68</f>
        <v>-443.68</v>
      </c>
      <c r="I46" s="2"/>
      <c r="J46" s="19"/>
      <c r="K46" s="2"/>
      <c r="L46" s="2">
        <f t="shared" si="0"/>
        <v>92.69</v>
      </c>
      <c r="M46" s="2"/>
      <c r="N46" s="19">
        <f t="shared" si="1"/>
        <v>-0.20891182834475297</v>
      </c>
      <c r="O46" s="11"/>
      <c r="P46" s="2">
        <f>-350.99</f>
        <v>-350.99</v>
      </c>
      <c r="Q46" s="2"/>
      <c r="R46" s="19"/>
      <c r="S46" s="2"/>
      <c r="T46" s="2">
        <f>-550.47</f>
        <v>-550.47</v>
      </c>
      <c r="U46" s="2"/>
      <c r="V46" s="19"/>
      <c r="W46" s="2"/>
      <c r="X46" s="2">
        <f t="shared" si="2"/>
        <v>199.48000000000002</v>
      </c>
      <c r="Y46" s="2"/>
      <c r="Z46" s="19">
        <f t="shared" si="3"/>
        <v>-0.36238123785129073</v>
      </c>
    </row>
    <row r="47" spans="1:26" s="24" customFormat="1" hidden="1" outlineLevel="1" x14ac:dyDescent="0.25">
      <c r="A47" s="44"/>
      <c r="B47" s="11" t="str">
        <f>CONCATENATE("          ", "4245", " - ", "SALES RETURN TAXABLE-SPECIAL O")</f>
        <v xml:space="preserve">          4245 - SALES RETURN TAXABLE-SPECIAL O</v>
      </c>
      <c r="C47" s="11"/>
      <c r="D47" s="2">
        <f>-57.96</f>
        <v>-57.96</v>
      </c>
      <c r="E47" s="2"/>
      <c r="F47" s="19"/>
      <c r="G47" s="2"/>
      <c r="H47" s="2">
        <f>-19.98</f>
        <v>-19.98</v>
      </c>
      <c r="I47" s="2"/>
      <c r="J47" s="19"/>
      <c r="K47" s="2"/>
      <c r="L47" s="2">
        <f t="shared" si="0"/>
        <v>-37.980000000000004</v>
      </c>
      <c r="M47" s="2"/>
      <c r="N47" s="19">
        <f t="shared" si="1"/>
        <v>1.900900900900901</v>
      </c>
      <c r="O47" s="11"/>
      <c r="P47" s="2">
        <f>-1178.96</f>
        <v>-1178.96</v>
      </c>
      <c r="Q47" s="2"/>
      <c r="R47" s="19"/>
      <c r="S47" s="2"/>
      <c r="T47" s="2">
        <f>-19.98</f>
        <v>-19.98</v>
      </c>
      <c r="U47" s="2"/>
      <c r="V47" s="19"/>
      <c r="W47" s="2"/>
      <c r="X47" s="2">
        <f t="shared" si="2"/>
        <v>-1158.98</v>
      </c>
      <c r="Y47" s="2"/>
      <c r="Z47" s="19">
        <f t="shared" si="3"/>
        <v>58.007007007007005</v>
      </c>
    </row>
    <row r="48" spans="1:26" s="24" customFormat="1" hidden="1" outlineLevel="1" x14ac:dyDescent="0.25">
      <c r="A48" s="44"/>
      <c r="B48" s="11" t="str">
        <f>CONCATENATE("          ", "4295", " - ", "SALES RETURN TAXABLE-CUSTOMER")</f>
        <v xml:space="preserve">          4295 - SALES RETURN TAXABLE-CUSTOMER</v>
      </c>
      <c r="C48" s="11"/>
      <c r="D48" s="2">
        <f>0</f>
        <v>0</v>
      </c>
      <c r="E48" s="2"/>
      <c r="F48" s="19"/>
      <c r="G48" s="2"/>
      <c r="H48" s="2">
        <f>--0.99</f>
        <v>0.99</v>
      </c>
      <c r="I48" s="2"/>
      <c r="J48" s="19"/>
      <c r="K48" s="2"/>
      <c r="L48" s="2">
        <f t="shared" si="0"/>
        <v>-0.99</v>
      </c>
      <c r="M48" s="2"/>
      <c r="N48" s="19">
        <f t="shared" si="1"/>
        <v>-1</v>
      </c>
      <c r="O48" s="11"/>
      <c r="P48" s="2">
        <f>0</f>
        <v>0</v>
      </c>
      <c r="Q48" s="2"/>
      <c r="R48" s="19"/>
      <c r="S48" s="2"/>
      <c r="T48" s="2">
        <f>--0.99</f>
        <v>0.99</v>
      </c>
      <c r="U48" s="2"/>
      <c r="V48" s="19"/>
      <c r="W48" s="2"/>
      <c r="X48" s="2">
        <f t="shared" si="2"/>
        <v>-0.99</v>
      </c>
      <c r="Y48" s="2"/>
      <c r="Z48" s="19">
        <f t="shared" si="3"/>
        <v>-1</v>
      </c>
    </row>
    <row r="49" spans="1:26" s="24" customFormat="1" hidden="1" outlineLevel="1" x14ac:dyDescent="0.25">
      <c r="A49" s="44"/>
      <c r="B49" s="11" t="str">
        <f>CONCATENATE("          ", "4340", " - ", "SALES RETURN NON TAXABLE-LOGO")</f>
        <v xml:space="preserve">          4340 - SALES RETURN NON TAXABLE-LOGO</v>
      </c>
      <c r="C49" s="11"/>
      <c r="D49" s="2">
        <f>-69.9</f>
        <v>-69.900000000000006</v>
      </c>
      <c r="E49" s="2"/>
      <c r="F49" s="19"/>
      <c r="G49" s="2"/>
      <c r="H49" s="2">
        <f>-44.95</f>
        <v>-44.95</v>
      </c>
      <c r="I49" s="2"/>
      <c r="J49" s="19"/>
      <c r="K49" s="2"/>
      <c r="L49" s="2">
        <f t="shared" si="0"/>
        <v>-24.950000000000003</v>
      </c>
      <c r="M49" s="2"/>
      <c r="N49" s="19">
        <f t="shared" si="1"/>
        <v>0.55506117908787544</v>
      </c>
      <c r="O49" s="11"/>
      <c r="P49" s="2">
        <f>-504.14</f>
        <v>-504.14</v>
      </c>
      <c r="Q49" s="2"/>
      <c r="R49" s="19"/>
      <c r="S49" s="2"/>
      <c r="T49" s="2">
        <f>-268.5</f>
        <v>-268.5</v>
      </c>
      <c r="U49" s="2"/>
      <c r="V49" s="19"/>
      <c r="W49" s="2"/>
      <c r="X49" s="2">
        <f t="shared" si="2"/>
        <v>-235.64</v>
      </c>
      <c r="Y49" s="2"/>
      <c r="Z49" s="19">
        <f t="shared" si="3"/>
        <v>0.87761638733705771</v>
      </c>
    </row>
    <row r="50" spans="1:26" s="24" customFormat="1" hidden="1" outlineLevel="1" x14ac:dyDescent="0.25">
      <c r="A50" s="44"/>
      <c r="B50" s="11" t="str">
        <f>CONCATENATE("          ", "4341", " - ", "SALES RETURN NON TAXABLE-LOGO")</f>
        <v xml:space="preserve">          4341 - SALES RETURN NON TAXABLE-LOGO</v>
      </c>
      <c r="C50" s="11"/>
      <c r="D50" s="2">
        <f>0</f>
        <v>0</v>
      </c>
      <c r="E50" s="2"/>
      <c r="F50" s="19"/>
      <c r="G50" s="2"/>
      <c r="H50" s="2">
        <f>-3.95</f>
        <v>-3.95</v>
      </c>
      <c r="I50" s="2"/>
      <c r="J50" s="19"/>
      <c r="K50" s="2"/>
      <c r="L50" s="2">
        <f t="shared" si="0"/>
        <v>3.95</v>
      </c>
      <c r="M50" s="2"/>
      <c r="N50" s="19">
        <f t="shared" si="1"/>
        <v>-1</v>
      </c>
      <c r="O50" s="11"/>
      <c r="P50" s="2">
        <f>-16.95</f>
        <v>-16.95</v>
      </c>
      <c r="Q50" s="2"/>
      <c r="R50" s="19"/>
      <c r="S50" s="2"/>
      <c r="T50" s="2">
        <f>-3.95</f>
        <v>-3.95</v>
      </c>
      <c r="U50" s="2"/>
      <c r="V50" s="19"/>
      <c r="W50" s="2"/>
      <c r="X50" s="2">
        <f t="shared" si="2"/>
        <v>-13</v>
      </c>
      <c r="Y50" s="2"/>
      <c r="Z50" s="19">
        <f t="shared" si="3"/>
        <v>3.2911392405063289</v>
      </c>
    </row>
    <row r="51" spans="1:26" s="24" customFormat="1" hidden="1" outlineLevel="1" x14ac:dyDescent="0.25">
      <c r="A51" s="44"/>
      <c r="B51" s="11" t="str">
        <f>CONCATENATE("          ", "4342", " - ", "SALES RETURN NON TAXABLE-EVERY")</f>
        <v xml:space="preserve">          4342 - SALES RETURN NON TAXABLE-EVERY</v>
      </c>
      <c r="C51" s="11"/>
      <c r="D51" s="2">
        <f>-13.9</f>
        <v>-13.9</v>
      </c>
      <c r="E51" s="2"/>
      <c r="F51" s="19"/>
      <c r="G51" s="2"/>
      <c r="H51" s="2">
        <f>0</f>
        <v>0</v>
      </c>
      <c r="I51" s="2"/>
      <c r="J51" s="19"/>
      <c r="K51" s="2"/>
      <c r="L51" s="2">
        <f t="shared" si="0"/>
        <v>-13.9</v>
      </c>
      <c r="M51" s="2"/>
      <c r="N51" s="19">
        <f t="shared" si="1"/>
        <v>0</v>
      </c>
      <c r="O51" s="11"/>
      <c r="P51" s="2">
        <f>-93.75</f>
        <v>-93.75</v>
      </c>
      <c r="Q51" s="2"/>
      <c r="R51" s="19"/>
      <c r="S51" s="2"/>
      <c r="T51" s="2">
        <f>0</f>
        <v>0</v>
      </c>
      <c r="U51" s="2"/>
      <c r="V51" s="19"/>
      <c r="W51" s="2"/>
      <c r="X51" s="2">
        <f t="shared" si="2"/>
        <v>-93.75</v>
      </c>
      <c r="Y51" s="2"/>
      <c r="Z51" s="19">
        <f t="shared" si="3"/>
        <v>0</v>
      </c>
    </row>
    <row r="52" spans="1:26" x14ac:dyDescent="0.25">
      <c r="A52" s="9"/>
      <c r="B52" s="10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collapsed="1" x14ac:dyDescent="0.25">
      <c r="A53" s="10"/>
      <c r="B53" s="25" t="s">
        <v>8</v>
      </c>
      <c r="C53" s="10"/>
      <c r="D53" s="4">
        <f>SUM(OSRRefD16x_0)</f>
        <v>180056</v>
      </c>
      <c r="E53" s="4"/>
      <c r="F53" s="12">
        <f t="shared" ref="F53:F72" si="13">IF(D$12=0,0,D53/D$12)</f>
        <v>0.57884961386986133</v>
      </c>
      <c r="G53" s="4"/>
      <c r="H53" s="4">
        <f>SUM(OSRRefH16x_0)</f>
        <v>145243.32999999996</v>
      </c>
      <c r="I53" s="4"/>
      <c r="J53" s="12">
        <f t="shared" ref="J53:J72" si="14">IF(H$12=0,0,H53/H$12)</f>
        <v>0.45019307738317355</v>
      </c>
      <c r="K53" s="4"/>
      <c r="L53" s="4">
        <f t="shared" ref="L53:L72" si="15">+D53-H53</f>
        <v>34812.670000000042</v>
      </c>
      <c r="M53" s="4"/>
      <c r="N53" s="12">
        <f t="shared" ref="N53:N72" si="16">IF(H53=0,0,L53/H53)</f>
        <v>0.23968515456097056</v>
      </c>
      <c r="O53" s="10"/>
      <c r="P53" s="4">
        <f>SUM(OSRRefP16x_0)</f>
        <v>290595.94000000006</v>
      </c>
      <c r="Q53" s="4"/>
      <c r="R53" s="12">
        <f t="shared" ref="R53:R72" si="17">IF(P$12=0,0,P53/P$12)</f>
        <v>0.59813198260922407</v>
      </c>
      <c r="S53" s="4"/>
      <c r="T53" s="4">
        <f>SUM(OSRRefT16x_0)</f>
        <v>252616.67000000004</v>
      </c>
      <c r="U53" s="4"/>
      <c r="V53" s="12">
        <f t="shared" ref="V53:V72" si="18">IF(T$12=0,0,T53/T$12)</f>
        <v>0.45536878255329455</v>
      </c>
      <c r="W53" s="4"/>
      <c r="X53" s="4">
        <f t="shared" ref="X53:X72" si="19">+P53-T53</f>
        <v>37979.270000000019</v>
      </c>
      <c r="Y53" s="4"/>
      <c r="Z53" s="12">
        <f t="shared" ref="Z53:Z72" si="20">IF(T53=0,0,X53/T53)</f>
        <v>0.15034348287466545</v>
      </c>
    </row>
    <row r="54" spans="1:26" s="24" customFormat="1" hidden="1" outlineLevel="1" x14ac:dyDescent="0.25">
      <c r="A54" s="44"/>
      <c r="B54" s="11" t="str">
        <f>CONCATENATE("          ", "5026", " - ", "PURCHASES @ COST-WRITING INSTR")</f>
        <v xml:space="preserve">          5026 - PURCHASES @ COST-WRITING INSTR</v>
      </c>
      <c r="C54" s="11"/>
      <c r="D54" s="2"/>
      <c r="E54" s="2"/>
      <c r="F54" s="19">
        <f t="shared" si="13"/>
        <v>0</v>
      </c>
      <c r="G54" s="2"/>
      <c r="H54" s="2">
        <v>21.1</v>
      </c>
      <c r="I54" s="2"/>
      <c r="J54" s="19">
        <f t="shared" si="14"/>
        <v>6.5401102637793873E-5</v>
      </c>
      <c r="K54" s="2"/>
      <c r="L54" s="2">
        <f t="shared" si="15"/>
        <v>-21.1</v>
      </c>
      <c r="M54" s="2"/>
      <c r="N54" s="19">
        <f t="shared" si="16"/>
        <v>-1</v>
      </c>
      <c r="O54" s="11"/>
      <c r="P54" s="2"/>
      <c r="Q54" s="2"/>
      <c r="R54" s="19">
        <f t="shared" si="17"/>
        <v>0</v>
      </c>
      <c r="S54" s="2"/>
      <c r="T54" s="2">
        <v>-53.62</v>
      </c>
      <c r="U54" s="2"/>
      <c r="V54" s="19">
        <f t="shared" si="18"/>
        <v>-9.6655830830592654E-5</v>
      </c>
      <c r="W54" s="2"/>
      <c r="X54" s="2">
        <f t="shared" si="19"/>
        <v>53.62</v>
      </c>
      <c r="Y54" s="2"/>
      <c r="Z54" s="19">
        <f t="shared" si="20"/>
        <v>-1</v>
      </c>
    </row>
    <row r="55" spans="1:26" s="24" customFormat="1" hidden="1" outlineLevel="1" x14ac:dyDescent="0.25">
      <c r="A55" s="44"/>
      <c r="B55" s="11" t="str">
        <f>CONCATENATE("          ", "5027", " - ", "PURCHASES @ COST-SCHOOL SUPPLI")</f>
        <v xml:space="preserve">          5027 - PURCHASES @ COST-SCHOOL SUPPLI</v>
      </c>
      <c r="C55" s="11"/>
      <c r="D55" s="2"/>
      <c r="E55" s="2"/>
      <c r="F55" s="19">
        <f t="shared" si="13"/>
        <v>0</v>
      </c>
      <c r="G55" s="2"/>
      <c r="H55" s="2">
        <v>62.2</v>
      </c>
      <c r="I55" s="2"/>
      <c r="J55" s="19">
        <f t="shared" si="14"/>
        <v>1.9279377175690894E-4</v>
      </c>
      <c r="K55" s="2"/>
      <c r="L55" s="2">
        <f t="shared" si="15"/>
        <v>-62.2</v>
      </c>
      <c r="M55" s="2"/>
      <c r="N55" s="19">
        <f t="shared" si="16"/>
        <v>-1</v>
      </c>
      <c r="O55" s="11"/>
      <c r="P55" s="2">
        <v>8503.4</v>
      </c>
      <c r="Q55" s="2"/>
      <c r="R55" s="19">
        <f t="shared" si="17"/>
        <v>1.7502500210151851E-2</v>
      </c>
      <c r="S55" s="2"/>
      <c r="T55" s="2">
        <v>63.52</v>
      </c>
      <c r="U55" s="2"/>
      <c r="V55" s="19">
        <f t="shared" si="18"/>
        <v>1.1450164816037385E-4</v>
      </c>
      <c r="W55" s="2"/>
      <c r="X55" s="2">
        <f t="shared" si="19"/>
        <v>8439.8799999999992</v>
      </c>
      <c r="Y55" s="2"/>
      <c r="Z55" s="19">
        <f t="shared" si="20"/>
        <v>132.86964735516372</v>
      </c>
    </row>
    <row r="56" spans="1:26" s="24" customFormat="1" hidden="1" outlineLevel="1" x14ac:dyDescent="0.25">
      <c r="A56" s="44"/>
      <c r="B56" s="11" t="str">
        <f>CONCATENATE("          ", "5037", " - ", "PURCHASES @ COST-WATER")</f>
        <v xml:space="preserve">          5037 - PURCHASES @ COST-WATER</v>
      </c>
      <c r="C56" s="11"/>
      <c r="D56" s="2"/>
      <c r="E56" s="2"/>
      <c r="F56" s="19">
        <f t="shared" si="13"/>
        <v>0</v>
      </c>
      <c r="G56" s="2"/>
      <c r="H56" s="2">
        <v>12.72</v>
      </c>
      <c r="I56" s="2"/>
      <c r="J56" s="19">
        <f t="shared" si="14"/>
        <v>3.9426636282120286E-5</v>
      </c>
      <c r="K56" s="2"/>
      <c r="L56" s="2">
        <f t="shared" si="15"/>
        <v>-12.72</v>
      </c>
      <c r="M56" s="2"/>
      <c r="N56" s="19">
        <f t="shared" si="16"/>
        <v>-1</v>
      </c>
      <c r="O56" s="11"/>
      <c r="P56" s="2"/>
      <c r="Q56" s="2"/>
      <c r="R56" s="19">
        <f t="shared" si="17"/>
        <v>0</v>
      </c>
      <c r="S56" s="2"/>
      <c r="T56" s="2">
        <v>29.76</v>
      </c>
      <c r="U56" s="2"/>
      <c r="V56" s="19">
        <f t="shared" si="18"/>
        <v>5.3645608458008904E-5</v>
      </c>
      <c r="W56" s="2"/>
      <c r="X56" s="2">
        <f t="shared" si="19"/>
        <v>-29.76</v>
      </c>
      <c r="Y56" s="2"/>
      <c r="Z56" s="19">
        <f t="shared" si="20"/>
        <v>-1</v>
      </c>
    </row>
    <row r="57" spans="1:26" s="24" customFormat="1" hidden="1" outlineLevel="1" x14ac:dyDescent="0.25">
      <c r="A57" s="44"/>
      <c r="B57" s="11" t="str">
        <f>CONCATENATE("          ", "5040", " - ", "PURCHASES @ COST-LOGO CLOTHING")</f>
        <v xml:space="preserve">          5040 - PURCHASES @ COST-LOGO CLOTHING</v>
      </c>
      <c r="C57" s="11"/>
      <c r="D57" s="2">
        <v>7628.83</v>
      </c>
      <c r="E57" s="2"/>
      <c r="F57" s="19">
        <f t="shared" si="13"/>
        <v>2.4525399318983062E-2</v>
      </c>
      <c r="G57" s="2"/>
      <c r="H57" s="2">
        <v>106647.4</v>
      </c>
      <c r="I57" s="2"/>
      <c r="J57" s="19">
        <f t="shared" si="14"/>
        <v>0.33056196935800269</v>
      </c>
      <c r="K57" s="2"/>
      <c r="L57" s="2">
        <f t="shared" si="15"/>
        <v>-99018.569999999992</v>
      </c>
      <c r="M57" s="2"/>
      <c r="N57" s="19">
        <f t="shared" si="16"/>
        <v>-0.92846679806540056</v>
      </c>
      <c r="O57" s="11"/>
      <c r="P57" s="2">
        <v>9351.9</v>
      </c>
      <c r="Q57" s="2"/>
      <c r="R57" s="19">
        <f t="shared" si="17"/>
        <v>1.92489629695556E-2</v>
      </c>
      <c r="S57" s="2"/>
      <c r="T57" s="2">
        <v>185568.97</v>
      </c>
      <c r="U57" s="2"/>
      <c r="V57" s="19">
        <f t="shared" si="18"/>
        <v>0.33450807481774197</v>
      </c>
      <c r="W57" s="2"/>
      <c r="X57" s="2">
        <f t="shared" si="19"/>
        <v>-176217.07</v>
      </c>
      <c r="Y57" s="2"/>
      <c r="Z57" s="19">
        <f t="shared" si="20"/>
        <v>-0.9496041822078336</v>
      </c>
    </row>
    <row r="58" spans="1:26" s="24" customFormat="1" hidden="1" outlineLevel="1" x14ac:dyDescent="0.25">
      <c r="A58" s="44"/>
      <c r="B58" s="11" t="str">
        <f>CONCATENATE("          ", "5041", " - ", "PURCHASES @ COST-LOGO GIFTS")</f>
        <v xml:space="preserve">          5041 - PURCHASES @ COST-LOGO GIFTS</v>
      </c>
      <c r="C58" s="11"/>
      <c r="D58" s="2">
        <v>1843.29</v>
      </c>
      <c r="E58" s="2"/>
      <c r="F58" s="19">
        <f t="shared" si="13"/>
        <v>5.9258658681197894E-3</v>
      </c>
      <c r="G58" s="2"/>
      <c r="H58" s="2">
        <v>16578.89</v>
      </c>
      <c r="I58" s="2"/>
      <c r="J58" s="19">
        <f t="shared" si="14"/>
        <v>5.1387568081075558E-2</v>
      </c>
      <c r="K58" s="2"/>
      <c r="L58" s="2">
        <f t="shared" si="15"/>
        <v>-14735.599999999999</v>
      </c>
      <c r="M58" s="2"/>
      <c r="N58" s="19">
        <f t="shared" si="16"/>
        <v>-0.888817043843104</v>
      </c>
      <c r="O58" s="11"/>
      <c r="P58" s="2">
        <v>1129.54</v>
      </c>
      <c r="Q58" s="2"/>
      <c r="R58" s="19">
        <f t="shared" si="17"/>
        <v>2.3249258046634195E-3</v>
      </c>
      <c r="S58" s="2"/>
      <c r="T58" s="2">
        <v>28529.16</v>
      </c>
      <c r="U58" s="2"/>
      <c r="V58" s="19">
        <f t="shared" si="18"/>
        <v>5.1426886659808109E-2</v>
      </c>
      <c r="W58" s="2"/>
      <c r="X58" s="2">
        <f t="shared" si="19"/>
        <v>-27399.62</v>
      </c>
      <c r="Y58" s="2"/>
      <c r="Z58" s="19">
        <f t="shared" si="20"/>
        <v>-0.96040752689528885</v>
      </c>
    </row>
    <row r="59" spans="1:26" s="24" customFormat="1" hidden="1" outlineLevel="1" x14ac:dyDescent="0.25">
      <c r="A59" s="44"/>
      <c r="B59" s="11" t="str">
        <f>CONCATENATE("          ", "5042", " - ", "PURCHASES @ COST-EVERYDAY GIFT")</f>
        <v xml:space="preserve">          5042 - PURCHASES @ COST-EVERYDAY GIFT</v>
      </c>
      <c r="C59" s="11"/>
      <c r="D59" s="2">
        <v>732.99</v>
      </c>
      <c r="E59" s="2"/>
      <c r="F59" s="19">
        <f t="shared" si="13"/>
        <v>2.3564389882618168E-3</v>
      </c>
      <c r="G59" s="2"/>
      <c r="H59" s="2">
        <v>15979.86</v>
      </c>
      <c r="I59" s="2"/>
      <c r="J59" s="19">
        <f t="shared" si="14"/>
        <v>4.9530827677610273E-2</v>
      </c>
      <c r="K59" s="2"/>
      <c r="L59" s="2">
        <f t="shared" si="15"/>
        <v>-15246.87</v>
      </c>
      <c r="M59" s="2"/>
      <c r="N59" s="19">
        <f t="shared" si="16"/>
        <v>-0.95413038662416316</v>
      </c>
      <c r="O59" s="11"/>
      <c r="P59" s="2">
        <v>969.15</v>
      </c>
      <c r="Q59" s="2"/>
      <c r="R59" s="19">
        <f t="shared" si="17"/>
        <v>1.9947959732187909E-3</v>
      </c>
      <c r="S59" s="2"/>
      <c r="T59" s="2">
        <v>23732.22</v>
      </c>
      <c r="U59" s="2"/>
      <c r="V59" s="19">
        <f t="shared" si="18"/>
        <v>4.2779885146482802E-2</v>
      </c>
      <c r="W59" s="2"/>
      <c r="X59" s="2">
        <f t="shared" si="19"/>
        <v>-22763.07</v>
      </c>
      <c r="Y59" s="2"/>
      <c r="Z59" s="19">
        <f t="shared" si="20"/>
        <v>-0.95916311242690311</v>
      </c>
    </row>
    <row r="60" spans="1:26" s="24" customFormat="1" hidden="1" outlineLevel="1" x14ac:dyDescent="0.25">
      <c r="A60" s="44"/>
      <c r="B60" s="11" t="str">
        <f>CONCATENATE("          ", "5043", " - ", "PURCHASES @ COST-CARDS")</f>
        <v xml:space="preserve">          5043 - PURCHASES @ COST-CARDS</v>
      </c>
      <c r="C60" s="11"/>
      <c r="D60" s="2">
        <v>1406.55</v>
      </c>
      <c r="E60" s="2"/>
      <c r="F60" s="19">
        <f t="shared" si="13"/>
        <v>4.5218205690932458E-3</v>
      </c>
      <c r="G60" s="2"/>
      <c r="H60" s="2">
        <v>15.24</v>
      </c>
      <c r="I60" s="2"/>
      <c r="J60" s="19">
        <f t="shared" si="14"/>
        <v>4.7237573658766752E-5</v>
      </c>
      <c r="K60" s="2"/>
      <c r="L60" s="2">
        <f t="shared" si="15"/>
        <v>1391.31</v>
      </c>
      <c r="M60" s="2"/>
      <c r="N60" s="19">
        <f t="shared" si="16"/>
        <v>91.293307086614163</v>
      </c>
      <c r="O60" s="11"/>
      <c r="P60" s="2">
        <v>1715.25</v>
      </c>
      <c r="Q60" s="2"/>
      <c r="R60" s="19">
        <f t="shared" si="17"/>
        <v>3.5304893907687472E-3</v>
      </c>
      <c r="S60" s="2"/>
      <c r="T60" s="2">
        <v>513.5</v>
      </c>
      <c r="U60" s="2"/>
      <c r="V60" s="19">
        <f t="shared" si="18"/>
        <v>9.2563911099420603E-4</v>
      </c>
      <c r="W60" s="2"/>
      <c r="X60" s="2">
        <f t="shared" si="19"/>
        <v>1201.75</v>
      </c>
      <c r="Y60" s="2"/>
      <c r="Z60" s="19">
        <f t="shared" si="20"/>
        <v>2.3403115871470304</v>
      </c>
    </row>
    <row r="61" spans="1:26" s="24" customFormat="1" hidden="1" outlineLevel="1" x14ac:dyDescent="0.25">
      <c r="A61" s="44"/>
      <c r="B61" s="11" t="str">
        <f>CONCATENATE("          ", "5044", " - ", "PURCHASES @ COST-ACCESSORIES")</f>
        <v xml:space="preserve">          5044 - PURCHASES @ COST-ACCESSORIES</v>
      </c>
      <c r="C61" s="11"/>
      <c r="D61" s="2"/>
      <c r="E61" s="2"/>
      <c r="F61" s="19">
        <f t="shared" si="13"/>
        <v>0</v>
      </c>
      <c r="G61" s="2"/>
      <c r="H61" s="2">
        <v>13249.12</v>
      </c>
      <c r="I61" s="2"/>
      <c r="J61" s="19">
        <f t="shared" si="14"/>
        <v>4.1066685164950122E-2</v>
      </c>
      <c r="K61" s="2"/>
      <c r="L61" s="2">
        <f t="shared" si="15"/>
        <v>-13249.12</v>
      </c>
      <c r="M61" s="2"/>
      <c r="N61" s="19">
        <f t="shared" si="16"/>
        <v>-1</v>
      </c>
      <c r="O61" s="11"/>
      <c r="P61" s="2"/>
      <c r="Q61" s="2"/>
      <c r="R61" s="19">
        <f t="shared" si="17"/>
        <v>0</v>
      </c>
      <c r="S61" s="2"/>
      <c r="T61" s="2">
        <v>18088.12</v>
      </c>
      <c r="U61" s="2"/>
      <c r="V61" s="19">
        <f t="shared" si="18"/>
        <v>3.2605786399915321E-2</v>
      </c>
      <c r="W61" s="2"/>
      <c r="X61" s="2">
        <f t="shared" si="19"/>
        <v>-18088.12</v>
      </c>
      <c r="Y61" s="2"/>
      <c r="Z61" s="19">
        <f t="shared" si="20"/>
        <v>-1</v>
      </c>
    </row>
    <row r="62" spans="1:26" s="24" customFormat="1" hidden="1" outlineLevel="1" x14ac:dyDescent="0.25">
      <c r="A62" s="44"/>
      <c r="B62" s="11" t="str">
        <f>CONCATENATE("          ", "5045", " - ", "PURCHASES @ COST-SPECIAL ORDER")</f>
        <v xml:space="preserve">          5045 - PURCHASES @ COST-SPECIAL ORDER</v>
      </c>
      <c r="C62" s="11"/>
      <c r="D62" s="2">
        <v>5633.96</v>
      </c>
      <c r="E62" s="2"/>
      <c r="F62" s="19">
        <f t="shared" si="13"/>
        <v>1.8112229365076667E-2</v>
      </c>
      <c r="G62" s="2"/>
      <c r="H62" s="2">
        <v>4152.78</v>
      </c>
      <c r="I62" s="2"/>
      <c r="J62" s="19">
        <f t="shared" si="14"/>
        <v>1.2871866872615052E-2</v>
      </c>
      <c r="K62" s="2"/>
      <c r="L62" s="2">
        <f t="shared" si="15"/>
        <v>1481.1800000000003</v>
      </c>
      <c r="M62" s="2"/>
      <c r="N62" s="19">
        <f t="shared" si="16"/>
        <v>0.35667191616218541</v>
      </c>
      <c r="O62" s="11"/>
      <c r="P62" s="2">
        <v>8390.17</v>
      </c>
      <c r="Q62" s="2"/>
      <c r="R62" s="19">
        <f t="shared" si="17"/>
        <v>1.7269439540443795E-2</v>
      </c>
      <c r="S62" s="2"/>
      <c r="T62" s="2">
        <v>20145.63</v>
      </c>
      <c r="U62" s="2"/>
      <c r="V62" s="19">
        <f t="shared" si="18"/>
        <v>3.6314669997309069E-2</v>
      </c>
      <c r="W62" s="2"/>
      <c r="X62" s="2">
        <f t="shared" si="19"/>
        <v>-11755.460000000001</v>
      </c>
      <c r="Y62" s="2"/>
      <c r="Z62" s="19">
        <f t="shared" si="20"/>
        <v>-0.58352406948802293</v>
      </c>
    </row>
    <row r="63" spans="1:26" s="24" customFormat="1" hidden="1" outlineLevel="1" x14ac:dyDescent="0.25">
      <c r="A63" s="44"/>
      <c r="B63" s="11" t="str">
        <f>CONCATENATE("          ", "5083", " - ", "PURCHASES @ COST-COMPUTER EQUI")</f>
        <v xml:space="preserve">          5083 - PURCHASES @ COST-COMPUTER EQUI</v>
      </c>
      <c r="C63" s="11"/>
      <c r="D63" s="2"/>
      <c r="E63" s="2"/>
      <c r="F63" s="19">
        <f t="shared" si="13"/>
        <v>0</v>
      </c>
      <c r="G63" s="2"/>
      <c r="H63" s="2">
        <v>39.950000000000003</v>
      </c>
      <c r="I63" s="2"/>
      <c r="J63" s="19">
        <f t="shared" si="14"/>
        <v>1.2382815404643911E-4</v>
      </c>
      <c r="K63" s="2"/>
      <c r="L63" s="2">
        <f t="shared" si="15"/>
        <v>-39.950000000000003</v>
      </c>
      <c r="M63" s="2"/>
      <c r="N63" s="19">
        <f t="shared" si="16"/>
        <v>-1</v>
      </c>
      <c r="O63" s="11"/>
      <c r="P63" s="2"/>
      <c r="Q63" s="2"/>
      <c r="R63" s="19">
        <f t="shared" si="17"/>
        <v>0</v>
      </c>
      <c r="S63" s="2"/>
      <c r="T63" s="2">
        <v>39.950000000000003</v>
      </c>
      <c r="U63" s="2"/>
      <c r="V63" s="19">
        <f t="shared" si="18"/>
        <v>7.2014182053005909E-5</v>
      </c>
      <c r="W63" s="2"/>
      <c r="X63" s="2">
        <f t="shared" si="19"/>
        <v>-39.950000000000003</v>
      </c>
      <c r="Y63" s="2"/>
      <c r="Z63" s="19">
        <f t="shared" si="20"/>
        <v>-1</v>
      </c>
    </row>
    <row r="64" spans="1:26" s="24" customFormat="1" hidden="1" outlineLevel="1" x14ac:dyDescent="0.25">
      <c r="A64" s="44"/>
      <c r="B64" s="11" t="str">
        <f>CONCATENATE("          ", "5095", " - ", "PURCHASES @ COST-CUSTOMER SERV")</f>
        <v xml:space="preserve">          5095 - PURCHASES @ COST-CUSTOMER SERV</v>
      </c>
      <c r="C64" s="11"/>
      <c r="D64" s="2"/>
      <c r="E64" s="2"/>
      <c r="F64" s="19">
        <f t="shared" si="13"/>
        <v>0</v>
      </c>
      <c r="G64" s="2"/>
      <c r="H64" s="2"/>
      <c r="I64" s="2"/>
      <c r="J64" s="19">
        <f t="shared" si="14"/>
        <v>0</v>
      </c>
      <c r="K64" s="2"/>
      <c r="L64" s="2">
        <f t="shared" si="15"/>
        <v>0</v>
      </c>
      <c r="M64" s="2"/>
      <c r="N64" s="19">
        <f t="shared" si="16"/>
        <v>0</v>
      </c>
      <c r="O64" s="11"/>
      <c r="P64" s="2"/>
      <c r="Q64" s="2"/>
      <c r="R64" s="19">
        <f t="shared" si="17"/>
        <v>0</v>
      </c>
      <c r="S64" s="2"/>
      <c r="T64" s="2">
        <v>-11.85</v>
      </c>
      <c r="U64" s="2"/>
      <c r="V64" s="19">
        <f t="shared" si="18"/>
        <v>-2.1360902561404753E-5</v>
      </c>
      <c r="W64" s="2"/>
      <c r="X64" s="2">
        <f t="shared" si="19"/>
        <v>11.85</v>
      </c>
      <c r="Y64" s="2"/>
      <c r="Z64" s="19">
        <f t="shared" si="20"/>
        <v>-1</v>
      </c>
    </row>
    <row r="65" spans="1:26" s="24" customFormat="1" hidden="1" outlineLevel="1" x14ac:dyDescent="0.25">
      <c r="A65" s="44"/>
      <c r="B65" s="11" t="str">
        <f>CONCATENATE("          ", "5200", " - ", "PURCHASES OFFSET")</f>
        <v xml:space="preserve">          5200 - PURCHASES OFFSET</v>
      </c>
      <c r="C65" s="11"/>
      <c r="D65" s="2">
        <v>-18536.04</v>
      </c>
      <c r="E65" s="2"/>
      <c r="F65" s="19">
        <f t="shared" si="13"/>
        <v>-5.9590236352447604E-2</v>
      </c>
      <c r="G65" s="2"/>
      <c r="H65" s="2">
        <v>-159285</v>
      </c>
      <c r="I65" s="2"/>
      <c r="J65" s="19">
        <f t="shared" si="14"/>
        <v>-0.49371633334886234</v>
      </c>
      <c r="K65" s="2"/>
      <c r="L65" s="2">
        <f t="shared" si="15"/>
        <v>140748.96</v>
      </c>
      <c r="M65" s="2"/>
      <c r="N65" s="19">
        <f t="shared" si="16"/>
        <v>-0.88362972031264708</v>
      </c>
      <c r="O65" s="11"/>
      <c r="P65" s="2">
        <v>-31649.64</v>
      </c>
      <c r="Q65" s="2"/>
      <c r="R65" s="19">
        <f t="shared" si="17"/>
        <v>-6.5144275319428749E-2</v>
      </c>
      <c r="S65" s="2"/>
      <c r="T65" s="2">
        <v>-280154</v>
      </c>
      <c r="U65" s="2"/>
      <c r="V65" s="19">
        <f t="shared" si="18"/>
        <v>-0.50500778870783014</v>
      </c>
      <c r="W65" s="2"/>
      <c r="X65" s="2">
        <f t="shared" si="19"/>
        <v>248504.36</v>
      </c>
      <c r="Y65" s="2"/>
      <c r="Z65" s="19">
        <f t="shared" si="20"/>
        <v>-0.8870277061901668</v>
      </c>
    </row>
    <row r="66" spans="1:26" s="24" customFormat="1" hidden="1" outlineLevel="1" x14ac:dyDescent="0.25">
      <c r="A66" s="44"/>
      <c r="B66" s="11" t="str">
        <f>CONCATENATE("          ", "5300", " - ", "COG$ OFFSET")</f>
        <v xml:space="preserve">          5300 - COG$ OFFSET</v>
      </c>
      <c r="C66" s="11"/>
      <c r="D66" s="2">
        <v>180056</v>
      </c>
      <c r="E66" s="2"/>
      <c r="F66" s="19">
        <f t="shared" si="13"/>
        <v>0.57884961386986133</v>
      </c>
      <c r="G66" s="2"/>
      <c r="H66" s="2">
        <v>145245</v>
      </c>
      <c r="I66" s="2"/>
      <c r="J66" s="19">
        <f t="shared" si="14"/>
        <v>0.45019825367897487</v>
      </c>
      <c r="K66" s="2"/>
      <c r="L66" s="2">
        <f t="shared" si="15"/>
        <v>34811</v>
      </c>
      <c r="M66" s="2"/>
      <c r="N66" s="19">
        <f t="shared" si="16"/>
        <v>0.23967090089159696</v>
      </c>
      <c r="O66" s="11"/>
      <c r="P66" s="2">
        <v>289596</v>
      </c>
      <c r="Q66" s="2"/>
      <c r="R66" s="19">
        <f t="shared" si="17"/>
        <v>0.59607381175284424</v>
      </c>
      <c r="S66" s="2"/>
      <c r="T66" s="2">
        <v>252618</v>
      </c>
      <c r="U66" s="2"/>
      <c r="V66" s="19">
        <f t="shared" si="18"/>
        <v>0.45537118002168325</v>
      </c>
      <c r="W66" s="2"/>
      <c r="X66" s="2">
        <f t="shared" si="19"/>
        <v>36978</v>
      </c>
      <c r="Y66" s="2"/>
      <c r="Z66" s="19">
        <f t="shared" si="20"/>
        <v>0.14637911787758592</v>
      </c>
    </row>
    <row r="67" spans="1:26" s="24" customFormat="1" hidden="1" outlineLevel="1" x14ac:dyDescent="0.25">
      <c r="A67" s="44"/>
      <c r="B67" s="11" t="str">
        <f>CONCATENATE("          ", "5540", " - ", "FREIGHT-IN-LOGO CLOTHING")</f>
        <v xml:space="preserve">          5540 - FREIGHT-IN-LOGO CLOTHING</v>
      </c>
      <c r="C67" s="11"/>
      <c r="D67" s="2">
        <v>1021.7</v>
      </c>
      <c r="E67" s="2"/>
      <c r="F67" s="19">
        <f t="shared" si="13"/>
        <v>3.2845928516174821E-3</v>
      </c>
      <c r="G67" s="2"/>
      <c r="H67" s="2">
        <v>1936.72</v>
      </c>
      <c r="I67" s="2"/>
      <c r="J67" s="19">
        <f t="shared" si="14"/>
        <v>6.0030153317852195E-3</v>
      </c>
      <c r="K67" s="2"/>
      <c r="L67" s="2">
        <f t="shared" si="15"/>
        <v>-915.02</v>
      </c>
      <c r="M67" s="2"/>
      <c r="N67" s="19">
        <f t="shared" si="16"/>
        <v>-0.47245858978066008</v>
      </c>
      <c r="O67" s="11"/>
      <c r="P67" s="2">
        <v>1931.53</v>
      </c>
      <c r="Q67" s="2"/>
      <c r="R67" s="19">
        <f t="shared" si="17"/>
        <v>3.9756572936607247E-3</v>
      </c>
      <c r="S67" s="2"/>
      <c r="T67" s="2">
        <v>2331.94</v>
      </c>
      <c r="U67" s="2"/>
      <c r="V67" s="19">
        <f t="shared" si="18"/>
        <v>4.2035732589909038E-3</v>
      </c>
      <c r="W67" s="2"/>
      <c r="X67" s="2">
        <f t="shared" si="19"/>
        <v>-400.41000000000008</v>
      </c>
      <c r="Y67" s="2"/>
      <c r="Z67" s="19">
        <f t="shared" si="20"/>
        <v>-0.17170681921490263</v>
      </c>
    </row>
    <row r="68" spans="1:26" s="24" customFormat="1" hidden="1" outlineLevel="1" x14ac:dyDescent="0.25">
      <c r="A68" s="44"/>
      <c r="B68" s="11" t="str">
        <f>CONCATENATE("          ", "5541", " - ", "FREIGHT-IN-LOGO GIFTS")</f>
        <v xml:space="preserve">          5541 - FREIGHT-IN-LOGO GIFTS</v>
      </c>
      <c r="C68" s="11"/>
      <c r="D68" s="2">
        <v>123.12</v>
      </c>
      <c r="E68" s="2"/>
      <c r="F68" s="19">
        <f t="shared" si="13"/>
        <v>3.9580999499965196E-4</v>
      </c>
      <c r="G68" s="2"/>
      <c r="H68" s="2">
        <v>405.92</v>
      </c>
      <c r="I68" s="2"/>
      <c r="J68" s="19">
        <f t="shared" si="14"/>
        <v>1.2581808333048952E-3</v>
      </c>
      <c r="K68" s="2"/>
      <c r="L68" s="2">
        <f t="shared" si="15"/>
        <v>-282.8</v>
      </c>
      <c r="M68" s="2"/>
      <c r="N68" s="19">
        <f t="shared" si="16"/>
        <v>-0.69668900275916434</v>
      </c>
      <c r="O68" s="11"/>
      <c r="P68" s="2">
        <v>206.7</v>
      </c>
      <c r="Q68" s="2"/>
      <c r="R68" s="19">
        <f t="shared" si="17"/>
        <v>4.2544944298026526E-4</v>
      </c>
      <c r="S68" s="2"/>
      <c r="T68" s="2">
        <v>720.41</v>
      </c>
      <c r="U68" s="2"/>
      <c r="V68" s="19">
        <f t="shared" si="18"/>
        <v>1.2986166931866327E-3</v>
      </c>
      <c r="W68" s="2"/>
      <c r="X68" s="2">
        <f t="shared" si="19"/>
        <v>-513.71</v>
      </c>
      <c r="Y68" s="2"/>
      <c r="Z68" s="19">
        <f t="shared" si="20"/>
        <v>-0.71308005163726218</v>
      </c>
    </row>
    <row r="69" spans="1:26" s="24" customFormat="1" hidden="1" outlineLevel="1" x14ac:dyDescent="0.25">
      <c r="A69" s="44"/>
      <c r="B69" s="11" t="str">
        <f>CONCATENATE("          ", "5542", " - ", "FREIGHT-IN-EVERYDAY GIFTS")</f>
        <v xml:space="preserve">          5542 - FREIGHT-IN-EVERYDAY GIFTS</v>
      </c>
      <c r="C69" s="11"/>
      <c r="D69" s="2"/>
      <c r="E69" s="2"/>
      <c r="F69" s="19">
        <f t="shared" si="13"/>
        <v>0</v>
      </c>
      <c r="G69" s="2"/>
      <c r="H69" s="2">
        <v>83.05</v>
      </c>
      <c r="I69" s="2"/>
      <c r="J69" s="19">
        <f t="shared" si="14"/>
        <v>2.5741997981368629E-4</v>
      </c>
      <c r="K69" s="2"/>
      <c r="L69" s="2">
        <f t="shared" si="15"/>
        <v>-83.05</v>
      </c>
      <c r="M69" s="2"/>
      <c r="N69" s="19">
        <f t="shared" si="16"/>
        <v>-1</v>
      </c>
      <c r="O69" s="11"/>
      <c r="P69" s="2">
        <v>5.94</v>
      </c>
      <c r="Q69" s="2"/>
      <c r="R69" s="19">
        <f t="shared" si="17"/>
        <v>1.222626846300327E-5</v>
      </c>
      <c r="S69" s="2"/>
      <c r="T69" s="2">
        <v>112.77</v>
      </c>
      <c r="U69" s="2"/>
      <c r="V69" s="19">
        <f t="shared" si="18"/>
        <v>2.0328008285650751E-4</v>
      </c>
      <c r="W69" s="2"/>
      <c r="X69" s="2">
        <f t="shared" si="19"/>
        <v>-106.83</v>
      </c>
      <c r="Y69" s="2"/>
      <c r="Z69" s="19">
        <f t="shared" si="20"/>
        <v>-0.94732641660015959</v>
      </c>
    </row>
    <row r="70" spans="1:26" s="24" customFormat="1" hidden="1" outlineLevel="1" x14ac:dyDescent="0.25">
      <c r="A70" s="44"/>
      <c r="B70" s="11" t="str">
        <f>CONCATENATE("          ", "5543", " - ", "FREIGHT-IN-CARDS")</f>
        <v xml:space="preserve">          5543 - FREIGHT-IN-CARDS</v>
      </c>
      <c r="C70" s="11"/>
      <c r="D70" s="2"/>
      <c r="E70" s="2"/>
      <c r="F70" s="19">
        <f t="shared" si="13"/>
        <v>0</v>
      </c>
      <c r="G70" s="2"/>
      <c r="H70" s="2">
        <v>4.58</v>
      </c>
      <c r="I70" s="2"/>
      <c r="J70" s="19">
        <f t="shared" si="14"/>
        <v>1.4196068724222555E-5</v>
      </c>
      <c r="K70" s="2"/>
      <c r="L70" s="2">
        <f t="shared" si="15"/>
        <v>-4.58</v>
      </c>
      <c r="M70" s="2"/>
      <c r="N70" s="19">
        <f t="shared" si="16"/>
        <v>-1</v>
      </c>
      <c r="O70" s="11"/>
      <c r="P70" s="2"/>
      <c r="Q70" s="2"/>
      <c r="R70" s="19">
        <f t="shared" si="17"/>
        <v>0</v>
      </c>
      <c r="S70" s="2"/>
      <c r="T70" s="2">
        <v>4.58</v>
      </c>
      <c r="U70" s="2"/>
      <c r="V70" s="19">
        <f t="shared" si="18"/>
        <v>8.2559437747876599E-6</v>
      </c>
      <c r="W70" s="2"/>
      <c r="X70" s="2">
        <f t="shared" si="19"/>
        <v>-4.58</v>
      </c>
      <c r="Y70" s="2"/>
      <c r="Z70" s="19">
        <f t="shared" si="20"/>
        <v>-1</v>
      </c>
    </row>
    <row r="71" spans="1:26" s="24" customFormat="1" hidden="1" outlineLevel="1" x14ac:dyDescent="0.25">
      <c r="A71" s="44"/>
      <c r="B71" s="11" t="str">
        <f>CONCATENATE("          ", "5544", " - ", "FREIGHT-IN-ACCESSORIES")</f>
        <v xml:space="preserve">          5544 - FREIGHT-IN-ACCESSORIES</v>
      </c>
      <c r="C71" s="11"/>
      <c r="D71" s="2"/>
      <c r="E71" s="2"/>
      <c r="F71" s="19">
        <f t="shared" si="13"/>
        <v>0</v>
      </c>
      <c r="G71" s="2"/>
      <c r="H71" s="2">
        <v>84.93</v>
      </c>
      <c r="I71" s="2"/>
      <c r="J71" s="19">
        <f t="shared" si="14"/>
        <v>2.632471870629305E-4</v>
      </c>
      <c r="K71" s="2"/>
      <c r="L71" s="2">
        <f t="shared" si="15"/>
        <v>-84.93</v>
      </c>
      <c r="M71" s="2"/>
      <c r="N71" s="19">
        <f t="shared" si="16"/>
        <v>-1</v>
      </c>
      <c r="O71" s="11"/>
      <c r="P71" s="2"/>
      <c r="Q71" s="2"/>
      <c r="R71" s="19">
        <f t="shared" si="17"/>
        <v>0</v>
      </c>
      <c r="S71" s="2"/>
      <c r="T71" s="2">
        <v>101.66</v>
      </c>
      <c r="U71" s="2"/>
      <c r="V71" s="19">
        <f t="shared" si="18"/>
        <v>1.8325311007530862E-4</v>
      </c>
      <c r="W71" s="2"/>
      <c r="X71" s="2">
        <f t="shared" si="19"/>
        <v>-101.66</v>
      </c>
      <c r="Y71" s="2"/>
      <c r="Z71" s="19">
        <f t="shared" si="20"/>
        <v>-1</v>
      </c>
    </row>
    <row r="72" spans="1:26" s="24" customFormat="1" hidden="1" outlineLevel="1" x14ac:dyDescent="0.25">
      <c r="A72" s="44"/>
      <c r="B72" s="11" t="str">
        <f>CONCATENATE("          ", "5545", " - ", "FREIGHT-IN-SPECIAL ORDERS")</f>
        <v xml:space="preserve">          5545 - FREIGHT-IN-SPECIAL ORDERS</v>
      </c>
      <c r="C72" s="11"/>
      <c r="D72" s="2">
        <v>145.6</v>
      </c>
      <c r="E72" s="2"/>
      <c r="F72" s="19">
        <f t="shared" si="13"/>
        <v>4.6807939629588466E-4</v>
      </c>
      <c r="G72" s="2"/>
      <c r="H72" s="2">
        <v>8.8699999999999992</v>
      </c>
      <c r="I72" s="2"/>
      <c r="J72" s="19">
        <f t="shared" si="14"/>
        <v>2.7493259734465949E-5</v>
      </c>
      <c r="K72" s="2"/>
      <c r="L72" s="2">
        <f t="shared" si="15"/>
        <v>136.72999999999999</v>
      </c>
      <c r="M72" s="2"/>
      <c r="N72" s="19">
        <f t="shared" si="16"/>
        <v>15.414881623449832</v>
      </c>
      <c r="O72" s="11"/>
      <c r="P72" s="2">
        <v>446</v>
      </c>
      <c r="Q72" s="2"/>
      <c r="R72" s="19">
        <f t="shared" si="17"/>
        <v>9.1799928190226571E-4</v>
      </c>
      <c r="S72" s="2"/>
      <c r="T72" s="2">
        <v>235.95</v>
      </c>
      <c r="U72" s="2"/>
      <c r="V72" s="19">
        <f t="shared" si="18"/>
        <v>4.253253130264516E-4</v>
      </c>
      <c r="W72" s="2"/>
      <c r="X72" s="2">
        <f t="shared" si="19"/>
        <v>210.05</v>
      </c>
      <c r="Y72" s="2"/>
      <c r="Z72" s="19">
        <f t="shared" si="20"/>
        <v>0.89023098114007215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10"/>
      <c r="B74" s="26" t="s">
        <v>6</v>
      </c>
      <c r="C74" s="26"/>
      <c r="D74" s="22">
        <f>D12-D53</f>
        <v>131002.33999999991</v>
      </c>
      <c r="E74" s="13"/>
      <c r="F74" s="21">
        <f>IF(D$12=0,0,D74/D$12)</f>
        <v>0.42115038613013861</v>
      </c>
      <c r="G74" s="13"/>
      <c r="H74" s="22">
        <f>H12-H53</f>
        <v>177381.19999999995</v>
      </c>
      <c r="I74" s="13"/>
      <c r="J74" s="21">
        <f>IF(H$12=0,0,H74/H$12)</f>
        <v>0.5498069226168264</v>
      </c>
      <c r="K74" s="16"/>
      <c r="L74" s="22">
        <f>+D74-H74</f>
        <v>-46378.860000000044</v>
      </c>
      <c r="M74" s="16"/>
      <c r="N74" s="21">
        <f>IF(H74=0,0,L74/H74)</f>
        <v>-0.26146434909674787</v>
      </c>
      <c r="O74" s="25"/>
      <c r="P74" s="22">
        <f>P12-P53</f>
        <v>195243.21999999997</v>
      </c>
      <c r="Q74" s="13"/>
      <c r="R74" s="21">
        <f>IF(P$12=0,0,P74/P$12)</f>
        <v>0.40186801739077593</v>
      </c>
      <c r="S74" s="13"/>
      <c r="T74" s="22">
        <f>T12-T53</f>
        <v>302135.16999999993</v>
      </c>
      <c r="U74" s="13"/>
      <c r="V74" s="21">
        <f>IF(T$12=0,0,T74/T$12)</f>
        <v>0.5446312174467054</v>
      </c>
      <c r="W74" s="16"/>
      <c r="X74" s="22">
        <f>+P74-T74</f>
        <v>-106891.94999999995</v>
      </c>
      <c r="Y74" s="16"/>
      <c r="Z74" s="21">
        <f>IF(T74=0,0,X74/T74)</f>
        <v>-0.35378850466167172</v>
      </c>
    </row>
    <row r="75" spans="1:26" x14ac:dyDescent="0.25">
      <c r="A75" s="9"/>
      <c r="B75" s="10"/>
      <c r="C75" s="9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x14ac:dyDescent="0.25">
      <c r="A76" s="10"/>
      <c r="B76" s="25" t="s">
        <v>9</v>
      </c>
      <c r="C76" s="10"/>
      <c r="D76" s="20">
        <f>SUM(OSRRefD22x_0)</f>
        <v>78463.589999999982</v>
      </c>
      <c r="E76" s="20"/>
      <c r="F76" s="35">
        <f t="shared" ref="F76:F85" si="21">IF(D$12=0,0,D76/D$12)</f>
        <v>0.25224718295609755</v>
      </c>
      <c r="G76" s="20"/>
      <c r="H76" s="20">
        <f>SUM(OSRRefH22x_0)</f>
        <v>87664.199999999983</v>
      </c>
      <c r="I76" s="20"/>
      <c r="J76" s="35">
        <f t="shared" ref="J76:J85" si="22">IF(H$12=0,0,H76/H$12)</f>
        <v>0.27172205411659184</v>
      </c>
      <c r="K76" s="4"/>
      <c r="L76" s="20">
        <f t="shared" ref="L76:L85" si="23">+D76-H76</f>
        <v>-9200.61</v>
      </c>
      <c r="M76" s="4"/>
      <c r="N76" s="35">
        <f t="shared" ref="N76:N85" si="24">IF(H76=0,0,L76/H76)</f>
        <v>-0.10495287700110197</v>
      </c>
      <c r="O76" s="10"/>
      <c r="P76" s="20">
        <f>SUM(OSRRefP22x_0)</f>
        <v>141246.05000000005</v>
      </c>
      <c r="Q76" s="20"/>
      <c r="R76" s="35">
        <f t="shared" ref="R76:R85" si="25">IF(P$12=0,0,P76/P$12)</f>
        <v>0.29072594724558648</v>
      </c>
      <c r="S76" s="20"/>
      <c r="T76" s="20">
        <f>SUM(OSRRefT22x_0)</f>
        <v>171838.49000000005</v>
      </c>
      <c r="U76" s="20"/>
      <c r="V76" s="35">
        <f t="shared" ref="V76:V85" si="26">IF(T$12=0,0,T76/T$12)</f>
        <v>0.30975740431974064</v>
      </c>
      <c r="W76" s="4"/>
      <c r="X76" s="20">
        <f t="shared" ref="X76:X85" si="27">+P76-T76</f>
        <v>-30592.440000000002</v>
      </c>
      <c r="Y76" s="4"/>
      <c r="Z76" s="35">
        <f t="shared" ref="Z76:Z85" si="28">IF(T76=0,0,X76/T76)</f>
        <v>-0.17803019567967568</v>
      </c>
    </row>
    <row r="77" spans="1:26" s="28" customFormat="1" outlineLevel="1" collapsed="1" x14ac:dyDescent="0.25">
      <c r="A77" s="27"/>
      <c r="B77" s="14" t="str">
        <f>CONCATENATE("     ","*Benefits                                         ")</f>
        <v xml:space="preserve">     *Benefits                                         </v>
      </c>
      <c r="C77" s="14"/>
      <c r="D77" s="1">
        <f>SUM(OSRRefD22_0x_0)</f>
        <v>15999.289999999999</v>
      </c>
      <c r="E77" s="1"/>
      <c r="F77" s="5">
        <f t="shared" si="21"/>
        <v>5.1435013766227916E-2</v>
      </c>
      <c r="G77" s="1"/>
      <c r="H77" s="1">
        <f>SUM(OSRRefH22_0x_0)</f>
        <v>9200.4699999999993</v>
      </c>
      <c r="I77" s="1"/>
      <c r="J77" s="5">
        <f t="shared" si="22"/>
        <v>2.8517577383220059E-2</v>
      </c>
      <c r="K77" s="1"/>
      <c r="L77" s="1">
        <f t="shared" si="23"/>
        <v>6798.82</v>
      </c>
      <c r="M77" s="1"/>
      <c r="N77" s="5">
        <f t="shared" si="24"/>
        <v>0.73896442246972172</v>
      </c>
      <c r="O77" s="14"/>
      <c r="P77" s="1">
        <f>SUM(OSRRefP22_0x_0)</f>
        <v>29064.719999999998</v>
      </c>
      <c r="Q77" s="1"/>
      <c r="R77" s="5">
        <f t="shared" si="25"/>
        <v>5.9823749077781208E-2</v>
      </c>
      <c r="S77" s="1"/>
      <c r="T77" s="1">
        <f>SUM(OSRRefT22_0x_0)</f>
        <v>19257.28</v>
      </c>
      <c r="U77" s="1"/>
      <c r="V77" s="5">
        <f t="shared" si="26"/>
        <v>3.4713323348328148E-2</v>
      </c>
      <c r="W77" s="1"/>
      <c r="X77" s="1">
        <f t="shared" si="27"/>
        <v>9807.4399999999987</v>
      </c>
      <c r="Y77" s="1"/>
      <c r="Z77" s="5">
        <f t="shared" si="28"/>
        <v>0.5092848003456355</v>
      </c>
    </row>
    <row r="78" spans="1:26" s="24" customFormat="1" hidden="1" outlineLevel="2" x14ac:dyDescent="0.25">
      <c r="A78" s="29"/>
      <c r="B78" s="11" t="str">
        <f>CONCATENATE("          ", "6111", " - ", "F.I.C.A.")</f>
        <v xml:space="preserve">          6111 - F.I.C.A.</v>
      </c>
      <c r="C78" s="11"/>
      <c r="D78" s="7">
        <v>2882.59</v>
      </c>
      <c r="E78" s="2"/>
      <c r="F78" s="6">
        <f t="shared" si="21"/>
        <v>9.2670397456631488E-3</v>
      </c>
      <c r="G78" s="2"/>
      <c r="H78" s="7">
        <v>2709.09</v>
      </c>
      <c r="I78" s="2"/>
      <c r="J78" s="6">
        <f t="shared" si="22"/>
        <v>8.3970366419441229E-3</v>
      </c>
      <c r="K78" s="2"/>
      <c r="L78" s="7">
        <f t="shared" si="23"/>
        <v>173.5</v>
      </c>
      <c r="M78" s="2"/>
      <c r="N78" s="6">
        <f t="shared" si="24"/>
        <v>6.4043645652230086E-2</v>
      </c>
      <c r="O78" s="11"/>
      <c r="P78" s="7">
        <v>4954.8</v>
      </c>
      <c r="Q78" s="2"/>
      <c r="R78" s="6">
        <f t="shared" si="25"/>
        <v>1.0198436865402121E-2</v>
      </c>
      <c r="S78" s="2"/>
      <c r="T78" s="7">
        <v>5045.38</v>
      </c>
      <c r="U78" s="2"/>
      <c r="V78" s="6">
        <f t="shared" si="26"/>
        <v>9.0948413979122632E-3</v>
      </c>
      <c r="W78" s="2"/>
      <c r="X78" s="7">
        <f t="shared" si="27"/>
        <v>-90.579999999999927</v>
      </c>
      <c r="Y78" s="2"/>
      <c r="Z78" s="6">
        <f t="shared" si="28"/>
        <v>-1.7953058045181915E-2</v>
      </c>
    </row>
    <row r="79" spans="1:26" s="24" customFormat="1" hidden="1" outlineLevel="2" x14ac:dyDescent="0.25">
      <c r="A79" s="29"/>
      <c r="B79" s="11" t="str">
        <f>CONCATENATE("          ", "6112", " - ", "COMPENSATION INSURANCE")</f>
        <v xml:space="preserve">          6112 - COMPENSATION INSURANCE</v>
      </c>
      <c r="C79" s="11"/>
      <c r="D79" s="7">
        <v>983.4</v>
      </c>
      <c r="E79" s="2"/>
      <c r="F79" s="6">
        <f t="shared" si="21"/>
        <v>3.161464823608331E-3</v>
      </c>
      <c r="G79" s="2"/>
      <c r="H79" s="7">
        <v>730.21</v>
      </c>
      <c r="I79" s="2"/>
      <c r="J79" s="6">
        <f t="shared" si="22"/>
        <v>2.2633430880162776E-3</v>
      </c>
      <c r="K79" s="2"/>
      <c r="L79" s="7">
        <f t="shared" si="23"/>
        <v>253.18999999999994</v>
      </c>
      <c r="M79" s="2"/>
      <c r="N79" s="6">
        <f t="shared" si="24"/>
        <v>0.34673587050300586</v>
      </c>
      <c r="O79" s="11"/>
      <c r="P79" s="7">
        <v>1574.38</v>
      </c>
      <c r="Q79" s="2"/>
      <c r="R79" s="6">
        <f t="shared" si="25"/>
        <v>3.2405374651149981E-3</v>
      </c>
      <c r="S79" s="2"/>
      <c r="T79" s="7">
        <v>1275.47</v>
      </c>
      <c r="U79" s="2"/>
      <c r="V79" s="6">
        <f t="shared" si="26"/>
        <v>2.2991721848096983E-3</v>
      </c>
      <c r="W79" s="2"/>
      <c r="X79" s="7">
        <f t="shared" si="27"/>
        <v>298.91000000000008</v>
      </c>
      <c r="Y79" s="2"/>
      <c r="Z79" s="6">
        <f t="shared" si="28"/>
        <v>0.23435282680110084</v>
      </c>
    </row>
    <row r="80" spans="1:26" s="24" customFormat="1" hidden="1" outlineLevel="2" x14ac:dyDescent="0.25">
      <c r="A80" s="29"/>
      <c r="B80" s="11" t="str">
        <f>CONCATENATE("          ", "6113", " - ", "GROUP INSURANCE")</f>
        <v xml:space="preserve">          6113 - GROUP INSURANCE</v>
      </c>
      <c r="C80" s="11"/>
      <c r="D80" s="7">
        <v>6377.33</v>
      </c>
      <c r="E80" s="2"/>
      <c r="F80" s="6">
        <f t="shared" si="21"/>
        <v>2.0502038299310674E-2</v>
      </c>
      <c r="G80" s="2"/>
      <c r="H80" s="7">
        <v>3252.74</v>
      </c>
      <c r="I80" s="2"/>
      <c r="J80" s="6">
        <f t="shared" si="22"/>
        <v>1.0082122397822635E-2</v>
      </c>
      <c r="K80" s="2"/>
      <c r="L80" s="7">
        <f t="shared" si="23"/>
        <v>3124.59</v>
      </c>
      <c r="M80" s="2"/>
      <c r="N80" s="6">
        <f t="shared" si="24"/>
        <v>0.96060244593788635</v>
      </c>
      <c r="O80" s="11"/>
      <c r="P80" s="7">
        <v>11215.93</v>
      </c>
      <c r="Q80" s="2"/>
      <c r="R80" s="6">
        <f t="shared" si="25"/>
        <v>2.3085685394318562E-2</v>
      </c>
      <c r="S80" s="2"/>
      <c r="T80" s="7">
        <v>6037.83</v>
      </c>
      <c r="U80" s="2"/>
      <c r="V80" s="6">
        <f t="shared" si="26"/>
        <v>1.088383952002755E-2</v>
      </c>
      <c r="W80" s="2"/>
      <c r="X80" s="7">
        <f t="shared" si="27"/>
        <v>5178.1000000000004</v>
      </c>
      <c r="Y80" s="2"/>
      <c r="Z80" s="6">
        <f t="shared" si="28"/>
        <v>0.85760943915280829</v>
      </c>
    </row>
    <row r="81" spans="1:26" s="24" customFormat="1" hidden="1" outlineLevel="2" x14ac:dyDescent="0.25">
      <c r="A81" s="29"/>
      <c r="B81" s="11" t="str">
        <f>CONCATENATE("          ", "6114", " - ", "STATE UNEMPLOYMENT INSURANCE")</f>
        <v xml:space="preserve">          6114 - STATE UNEMPLOYMENT INSURANCE</v>
      </c>
      <c r="C81" s="11"/>
      <c r="D81" s="7">
        <v>107.75</v>
      </c>
      <c r="E81" s="2"/>
      <c r="F81" s="6">
        <f t="shared" si="21"/>
        <v>3.4639804224506578E-4</v>
      </c>
      <c r="G81" s="2"/>
      <c r="H81" s="7">
        <v>91.19</v>
      </c>
      <c r="I81" s="2"/>
      <c r="J81" s="6">
        <f t="shared" si="22"/>
        <v>2.82650547371584E-4</v>
      </c>
      <c r="K81" s="2"/>
      <c r="L81" s="7">
        <f t="shared" si="23"/>
        <v>16.560000000000002</v>
      </c>
      <c r="M81" s="2"/>
      <c r="N81" s="6">
        <f t="shared" si="24"/>
        <v>0.18159885952407065</v>
      </c>
      <c r="O81" s="11"/>
      <c r="P81" s="7">
        <v>175.15</v>
      </c>
      <c r="Q81" s="2"/>
      <c r="R81" s="6">
        <f t="shared" si="25"/>
        <v>3.6051025611027321E-4</v>
      </c>
      <c r="S81" s="2"/>
      <c r="T81" s="7">
        <v>165.8</v>
      </c>
      <c r="U81" s="2"/>
      <c r="V81" s="6">
        <f t="shared" si="26"/>
        <v>2.9887237507855767E-4</v>
      </c>
      <c r="W81" s="2"/>
      <c r="X81" s="7">
        <f t="shared" si="27"/>
        <v>9.3499999999999943</v>
      </c>
      <c r="Y81" s="2"/>
      <c r="Z81" s="6">
        <f t="shared" si="28"/>
        <v>5.6393244873341339E-2</v>
      </c>
    </row>
    <row r="82" spans="1:26" s="24" customFormat="1" hidden="1" outlineLevel="2" x14ac:dyDescent="0.25">
      <c r="A82" s="29"/>
      <c r="B82" s="11" t="str">
        <f>CONCATENATE("          ", "6115", " - ", "P.E.R.S.")</f>
        <v xml:space="preserve">          6115 - P.E.R.S.</v>
      </c>
      <c r="C82" s="11"/>
      <c r="D82" s="7">
        <v>1889.29</v>
      </c>
      <c r="E82" s="2"/>
      <c r="F82" s="6">
        <f t="shared" si="21"/>
        <v>6.073748094971511E-3</v>
      </c>
      <c r="G82" s="2"/>
      <c r="H82" s="7">
        <v>902.12</v>
      </c>
      <c r="I82" s="2"/>
      <c r="J82" s="6">
        <f t="shared" si="22"/>
        <v>2.7961915977064741E-3</v>
      </c>
      <c r="K82" s="2"/>
      <c r="L82" s="7">
        <f t="shared" si="23"/>
        <v>987.17</v>
      </c>
      <c r="M82" s="2"/>
      <c r="N82" s="6">
        <f t="shared" si="24"/>
        <v>1.0942779231144415</v>
      </c>
      <c r="O82" s="11"/>
      <c r="P82" s="7">
        <v>4401.66</v>
      </c>
      <c r="Q82" s="2"/>
      <c r="R82" s="6">
        <f t="shared" si="25"/>
        <v>9.0599119264079073E-3</v>
      </c>
      <c r="S82" s="2"/>
      <c r="T82" s="7">
        <v>1728.05</v>
      </c>
      <c r="U82" s="2"/>
      <c r="V82" s="6">
        <f t="shared" si="26"/>
        <v>3.1149964279523616E-3</v>
      </c>
      <c r="W82" s="2"/>
      <c r="X82" s="7">
        <f t="shared" si="27"/>
        <v>2673.6099999999997</v>
      </c>
      <c r="Y82" s="2"/>
      <c r="Z82" s="6">
        <f t="shared" si="28"/>
        <v>1.5471832412256588</v>
      </c>
    </row>
    <row r="83" spans="1:26" s="24" customFormat="1" hidden="1" outlineLevel="2" x14ac:dyDescent="0.25">
      <c r="A83" s="29"/>
      <c r="B83" s="11" t="str">
        <f>CONCATENATE("          ", "6118", " - ", "VACATION")</f>
        <v xml:space="preserve">          6118 - VACATION</v>
      </c>
      <c r="C83" s="11"/>
      <c r="D83" s="7">
        <v>1849.98</v>
      </c>
      <c r="E83" s="2"/>
      <c r="F83" s="6">
        <f t="shared" si="21"/>
        <v>5.9473730876336596E-3</v>
      </c>
      <c r="G83" s="2"/>
      <c r="H83" s="7">
        <v>753.6</v>
      </c>
      <c r="I83" s="2"/>
      <c r="J83" s="6">
        <f t="shared" si="22"/>
        <v>2.3358422250161826E-3</v>
      </c>
      <c r="K83" s="2"/>
      <c r="L83" s="7">
        <f t="shared" si="23"/>
        <v>1096.3800000000001</v>
      </c>
      <c r="M83" s="2"/>
      <c r="N83" s="6">
        <f t="shared" si="24"/>
        <v>1.4548566878980893</v>
      </c>
      <c r="O83" s="11"/>
      <c r="P83" s="7">
        <v>3475.01</v>
      </c>
      <c r="Q83" s="2"/>
      <c r="R83" s="6">
        <f t="shared" si="25"/>
        <v>7.1525934632358573E-3</v>
      </c>
      <c r="S83" s="2"/>
      <c r="T83" s="7">
        <v>1906.76</v>
      </c>
      <c r="U83" s="2"/>
      <c r="V83" s="6">
        <f t="shared" si="26"/>
        <v>3.4371404698720783E-3</v>
      </c>
      <c r="W83" s="2"/>
      <c r="X83" s="7">
        <f t="shared" si="27"/>
        <v>1568.2500000000002</v>
      </c>
      <c r="Y83" s="2"/>
      <c r="Z83" s="6">
        <f t="shared" si="28"/>
        <v>0.82246848056388855</v>
      </c>
    </row>
    <row r="84" spans="1:26" s="24" customFormat="1" hidden="1" outlineLevel="2" x14ac:dyDescent="0.25">
      <c r="A84" s="29"/>
      <c r="B84" s="11" t="str">
        <f>CONCATENATE("          ", "6119", " - ", "SICK LEAVE")</f>
        <v xml:space="preserve">          6119 - SICK LEAVE</v>
      </c>
      <c r="C84" s="11"/>
      <c r="D84" s="7">
        <v>1319.82</v>
      </c>
      <c r="E84" s="2"/>
      <c r="F84" s="6">
        <f t="shared" si="21"/>
        <v>4.2429982748573795E-3</v>
      </c>
      <c r="G84" s="2"/>
      <c r="H84" s="7">
        <v>465.7</v>
      </c>
      <c r="I84" s="2"/>
      <c r="J84" s="6">
        <f t="shared" si="22"/>
        <v>1.443473625517564E-3</v>
      </c>
      <c r="K84" s="2"/>
      <c r="L84" s="7">
        <f t="shared" si="23"/>
        <v>854.11999999999989</v>
      </c>
      <c r="M84" s="2"/>
      <c r="N84" s="6">
        <f t="shared" si="24"/>
        <v>1.8340562593944598</v>
      </c>
      <c r="O84" s="11"/>
      <c r="P84" s="7">
        <v>2320.35</v>
      </c>
      <c r="Q84" s="2"/>
      <c r="R84" s="6">
        <f t="shared" si="25"/>
        <v>4.7759633043989282E-3</v>
      </c>
      <c r="S84" s="2"/>
      <c r="T84" s="7">
        <v>2654.07</v>
      </c>
      <c r="U84" s="2"/>
      <c r="V84" s="6">
        <f t="shared" si="26"/>
        <v>4.7842473131770062E-3</v>
      </c>
      <c r="W84" s="2"/>
      <c r="X84" s="7">
        <f t="shared" si="27"/>
        <v>-333.72000000000025</v>
      </c>
      <c r="Y84" s="2"/>
      <c r="Z84" s="6">
        <f t="shared" si="28"/>
        <v>-0.12573895940951077</v>
      </c>
    </row>
    <row r="85" spans="1:26" s="24" customFormat="1" hidden="1" outlineLevel="2" x14ac:dyDescent="0.25">
      <c r="A85" s="29"/>
      <c r="B85" s="11" t="str">
        <f>CONCATENATE("          ", "6156", " - ", "EMPLOYEE MEALS")</f>
        <v xml:space="preserve">          6156 - EMPLOYEE MEALS</v>
      </c>
      <c r="C85" s="11"/>
      <c r="D85" s="7">
        <v>589.13</v>
      </c>
      <c r="E85" s="2"/>
      <c r="F85" s="6">
        <f t="shared" si="21"/>
        <v>1.8939533979381493E-3</v>
      </c>
      <c r="G85" s="2"/>
      <c r="H85" s="7">
        <v>295.82</v>
      </c>
      <c r="I85" s="2"/>
      <c r="J85" s="6">
        <f t="shared" si="22"/>
        <v>9.1691725982522183E-4</v>
      </c>
      <c r="K85" s="2"/>
      <c r="L85" s="7">
        <f t="shared" si="23"/>
        <v>293.31</v>
      </c>
      <c r="M85" s="2"/>
      <c r="N85" s="6">
        <f t="shared" si="24"/>
        <v>0.99151511054019337</v>
      </c>
      <c r="O85" s="11"/>
      <c r="P85" s="7">
        <v>947.44</v>
      </c>
      <c r="Q85" s="2"/>
      <c r="R85" s="6">
        <f t="shared" si="25"/>
        <v>1.950110402792562E-3</v>
      </c>
      <c r="S85" s="2"/>
      <c r="T85" s="7">
        <v>443.92</v>
      </c>
      <c r="U85" s="2"/>
      <c r="V85" s="6">
        <f t="shared" si="26"/>
        <v>8.0021365949863282E-4</v>
      </c>
      <c r="W85" s="2"/>
      <c r="X85" s="7">
        <f t="shared" si="27"/>
        <v>503.52000000000004</v>
      </c>
      <c r="Y85" s="2"/>
      <c r="Z85" s="6">
        <f t="shared" si="28"/>
        <v>1.1342584249414309</v>
      </c>
    </row>
    <row r="86" spans="1:26" s="28" customFormat="1" outlineLevel="1" collapsed="1" x14ac:dyDescent="0.25">
      <c r="A86" s="27"/>
      <c r="B86" s="14" t="str">
        <f>CONCATENATE("     ","*Payroll                                          ")</f>
        <v xml:space="preserve">     *Payroll                                          </v>
      </c>
      <c r="C86" s="14"/>
      <c r="D86" s="1">
        <f>SUM(OSRRefD22_1x_0)</f>
        <v>41314.639999999999</v>
      </c>
      <c r="E86" s="1"/>
      <c r="F86" s="5">
        <f t="shared" ref="F86:F91" si="29">IF(D$12=0,0,D86/D$12)</f>
        <v>0.13281958619080914</v>
      </c>
      <c r="G86" s="1"/>
      <c r="H86" s="1">
        <f>SUM(OSRRefH22_1x_0)</f>
        <v>35279.479999999996</v>
      </c>
      <c r="I86" s="1"/>
      <c r="J86" s="5">
        <f t="shared" ref="J86:J91" si="30">IF(H$12=0,0,H86/H$12)</f>
        <v>0.10935151149232207</v>
      </c>
      <c r="K86" s="1"/>
      <c r="L86" s="1">
        <f t="shared" ref="L86:L91" si="31">+D86-H86</f>
        <v>6035.1600000000035</v>
      </c>
      <c r="M86" s="1"/>
      <c r="N86" s="5">
        <f t="shared" ref="N86:N91" si="32">IF(H86=0,0,L86/H86)</f>
        <v>0.17106714724820218</v>
      </c>
      <c r="O86" s="14"/>
      <c r="P86" s="1">
        <f>SUM(OSRRefP22_1x_0)</f>
        <v>73608.19</v>
      </c>
      <c r="Q86" s="1"/>
      <c r="R86" s="5">
        <f t="shared" ref="R86:R91" si="33">IF(P$12=0,0,P86/P$12)</f>
        <v>0.15150732188817384</v>
      </c>
      <c r="S86" s="1"/>
      <c r="T86" s="1">
        <f>SUM(OSRRefT22_1x_0)</f>
        <v>70485.94</v>
      </c>
      <c r="U86" s="1"/>
      <c r="V86" s="5">
        <f t="shared" ref="V86:V91" si="34">IF(T$12=0,0,T86/T$12)</f>
        <v>0.12705850601595123</v>
      </c>
      <c r="W86" s="1"/>
      <c r="X86" s="1">
        <f t="shared" ref="X86:X91" si="35">+P86-T86</f>
        <v>3122.25</v>
      </c>
      <c r="Y86" s="1"/>
      <c r="Z86" s="5">
        <f t="shared" ref="Z86:Z91" si="36">IF(T86=0,0,X86/T86)</f>
        <v>4.4296068123657002E-2</v>
      </c>
    </row>
    <row r="87" spans="1:26" s="24" customFormat="1" hidden="1" outlineLevel="2" x14ac:dyDescent="0.25">
      <c r="A87" s="29"/>
      <c r="B87" s="11" t="str">
        <f>CONCATENATE("          ", "6002", " - ", "STAFF SALARIES")</f>
        <v xml:space="preserve">          6002 - STAFF SALARIES</v>
      </c>
      <c r="C87" s="11"/>
      <c r="D87" s="7">
        <v>18082.939999999999</v>
      </c>
      <c r="E87" s="2"/>
      <c r="F87" s="6">
        <f t="shared" si="29"/>
        <v>5.8133596417958136E-2</v>
      </c>
      <c r="G87" s="2"/>
      <c r="H87" s="7">
        <v>9181.09</v>
      </c>
      <c r="I87" s="2"/>
      <c r="J87" s="6">
        <f t="shared" si="30"/>
        <v>2.8457507555299664E-2</v>
      </c>
      <c r="K87" s="2"/>
      <c r="L87" s="7">
        <f t="shared" si="31"/>
        <v>8901.8499999999985</v>
      </c>
      <c r="M87" s="2"/>
      <c r="N87" s="6">
        <f t="shared" si="32"/>
        <v>0.96958531067661879</v>
      </c>
      <c r="O87" s="11"/>
      <c r="P87" s="7">
        <v>40173.340000000004</v>
      </c>
      <c r="Q87" s="2"/>
      <c r="R87" s="6">
        <f t="shared" si="33"/>
        <v>8.2688558904967652E-2</v>
      </c>
      <c r="S87" s="2"/>
      <c r="T87" s="7">
        <v>17455.969999999998</v>
      </c>
      <c r="U87" s="2"/>
      <c r="V87" s="6">
        <f t="shared" si="34"/>
        <v>3.1466267872135398E-2</v>
      </c>
      <c r="W87" s="2"/>
      <c r="X87" s="7">
        <f t="shared" si="35"/>
        <v>22717.370000000006</v>
      </c>
      <c r="Y87" s="2"/>
      <c r="Z87" s="6">
        <f t="shared" si="36"/>
        <v>1.3014097755667551</v>
      </c>
    </row>
    <row r="88" spans="1:26" s="24" customFormat="1" hidden="1" outlineLevel="2" x14ac:dyDescent="0.25">
      <c r="A88" s="29"/>
      <c r="B88" s="11" t="str">
        <f>CONCATENATE("          ", "6004", " - ", "STAFF HOURLY")</f>
        <v xml:space="preserve">          6004 - STAFF HOURLY</v>
      </c>
      <c r="C88" s="11"/>
      <c r="D88" s="7">
        <v>7211.23</v>
      </c>
      <c r="E88" s="2"/>
      <c r="F88" s="6">
        <f t="shared" si="29"/>
        <v>2.3182885885650911E-2</v>
      </c>
      <c r="G88" s="2"/>
      <c r="H88" s="7"/>
      <c r="I88" s="2"/>
      <c r="J88" s="6">
        <f t="shared" si="30"/>
        <v>0</v>
      </c>
      <c r="K88" s="2"/>
      <c r="L88" s="7">
        <f t="shared" si="31"/>
        <v>7211.23</v>
      </c>
      <c r="M88" s="2"/>
      <c r="N88" s="6">
        <f t="shared" si="32"/>
        <v>0</v>
      </c>
      <c r="O88" s="11"/>
      <c r="P88" s="7">
        <v>13950.95</v>
      </c>
      <c r="Q88" s="2"/>
      <c r="R88" s="6">
        <f t="shared" si="33"/>
        <v>2.8715161618507654E-2</v>
      </c>
      <c r="S88" s="2"/>
      <c r="T88" s="7"/>
      <c r="U88" s="2"/>
      <c r="V88" s="6">
        <f t="shared" si="34"/>
        <v>0</v>
      </c>
      <c r="W88" s="2"/>
      <c r="X88" s="7">
        <f t="shared" si="35"/>
        <v>13950.95</v>
      </c>
      <c r="Y88" s="2"/>
      <c r="Z88" s="6">
        <f t="shared" si="36"/>
        <v>0</v>
      </c>
    </row>
    <row r="89" spans="1:26" s="24" customFormat="1" hidden="1" outlineLevel="2" x14ac:dyDescent="0.25">
      <c r="A89" s="29"/>
      <c r="B89" s="11" t="str">
        <f>CONCATENATE("          ", "6005", " - ", "TEMPORARY WAGES-HOURLY")</f>
        <v xml:space="preserve">          6005 - TEMPORARY WAGES-HOURLY</v>
      </c>
      <c r="C89" s="11"/>
      <c r="D89" s="7">
        <v>4486.28</v>
      </c>
      <c r="E89" s="2"/>
      <c r="F89" s="6">
        <f t="shared" si="29"/>
        <v>1.4422632101746576E-2</v>
      </c>
      <c r="G89" s="2"/>
      <c r="H89" s="7">
        <v>3471.22</v>
      </c>
      <c r="I89" s="2"/>
      <c r="J89" s="6">
        <f t="shared" si="30"/>
        <v>1.0759318270064587E-2</v>
      </c>
      <c r="K89" s="2"/>
      <c r="L89" s="7">
        <f t="shared" si="31"/>
        <v>1015.06</v>
      </c>
      <c r="M89" s="2"/>
      <c r="N89" s="6">
        <f t="shared" si="32"/>
        <v>0.29242168459504153</v>
      </c>
      <c r="O89" s="11"/>
      <c r="P89" s="7">
        <v>6423.71</v>
      </c>
      <c r="Q89" s="2"/>
      <c r="R89" s="6">
        <f t="shared" si="33"/>
        <v>1.322188602499642E-2</v>
      </c>
      <c r="S89" s="2"/>
      <c r="T89" s="7">
        <v>7996.94</v>
      </c>
      <c r="U89" s="2"/>
      <c r="V89" s="6">
        <f t="shared" si="34"/>
        <v>1.4415346508810137E-2</v>
      </c>
      <c r="W89" s="2"/>
      <c r="X89" s="7">
        <f t="shared" si="35"/>
        <v>-1573.2299999999996</v>
      </c>
      <c r="Y89" s="2"/>
      <c r="Z89" s="6">
        <f t="shared" si="36"/>
        <v>-0.19672899884205705</v>
      </c>
    </row>
    <row r="90" spans="1:26" s="24" customFormat="1" hidden="1" outlineLevel="2" x14ac:dyDescent="0.25">
      <c r="A90" s="29"/>
      <c r="B90" s="11" t="str">
        <f>CONCATENATE("          ", "6007", " - ", "STUDENT HOURLY")</f>
        <v xml:space="preserve">          6007 - STUDENT HOURLY</v>
      </c>
      <c r="C90" s="11"/>
      <c r="D90" s="7">
        <v>11101.16</v>
      </c>
      <c r="E90" s="2"/>
      <c r="F90" s="6">
        <f t="shared" si="29"/>
        <v>3.5688353509505652E-2</v>
      </c>
      <c r="G90" s="2"/>
      <c r="H90" s="7">
        <v>22432.17</v>
      </c>
      <c r="I90" s="2"/>
      <c r="J90" s="6">
        <f t="shared" si="30"/>
        <v>6.9530267893764944E-2</v>
      </c>
      <c r="K90" s="2"/>
      <c r="L90" s="7">
        <f t="shared" si="31"/>
        <v>-11331.009999999998</v>
      </c>
      <c r="M90" s="2"/>
      <c r="N90" s="6">
        <f t="shared" si="32"/>
        <v>-0.50512322258613407</v>
      </c>
      <c r="O90" s="11"/>
      <c r="P90" s="7">
        <v>12627.16</v>
      </c>
      <c r="Q90" s="2"/>
      <c r="R90" s="6">
        <f t="shared" si="33"/>
        <v>2.5990412135571777E-2</v>
      </c>
      <c r="S90" s="2"/>
      <c r="T90" s="7">
        <v>44838.03</v>
      </c>
      <c r="U90" s="2"/>
      <c r="V90" s="6">
        <f t="shared" si="34"/>
        <v>8.0825383111843313E-2</v>
      </c>
      <c r="W90" s="2"/>
      <c r="X90" s="7">
        <f t="shared" si="35"/>
        <v>-32210.87</v>
      </c>
      <c r="Y90" s="2"/>
      <c r="Z90" s="6">
        <f t="shared" si="36"/>
        <v>-0.71838281030634044</v>
      </c>
    </row>
    <row r="91" spans="1:26" s="24" customFormat="1" hidden="1" outlineLevel="2" x14ac:dyDescent="0.25">
      <c r="A91" s="29"/>
      <c r="B91" s="11" t="str">
        <f>CONCATENATE("          ", "6008", " - ", "STUDENT HOURLY-FICA EXEMPT")</f>
        <v xml:space="preserve">          6008 - STUDENT HOURLY-FICA EXEMPT</v>
      </c>
      <c r="C91" s="11"/>
      <c r="D91" s="7">
        <v>433.03</v>
      </c>
      <c r="E91" s="2"/>
      <c r="F91" s="6">
        <f t="shared" si="29"/>
        <v>1.3921182759478498E-3</v>
      </c>
      <c r="G91" s="2"/>
      <c r="H91" s="7">
        <v>195</v>
      </c>
      <c r="I91" s="2"/>
      <c r="J91" s="6">
        <f t="shared" si="30"/>
        <v>6.0441777319288168E-4</v>
      </c>
      <c r="K91" s="2"/>
      <c r="L91" s="7">
        <f t="shared" si="31"/>
        <v>238.02999999999997</v>
      </c>
      <c r="M91" s="2"/>
      <c r="N91" s="6">
        <f t="shared" si="32"/>
        <v>1.2206666666666666</v>
      </c>
      <c r="O91" s="11"/>
      <c r="P91" s="7">
        <v>433.03</v>
      </c>
      <c r="Q91" s="2"/>
      <c r="R91" s="6">
        <f t="shared" si="33"/>
        <v>8.9130320413035441E-4</v>
      </c>
      <c r="S91" s="2"/>
      <c r="T91" s="7">
        <v>195</v>
      </c>
      <c r="U91" s="2"/>
      <c r="V91" s="6">
        <f t="shared" si="34"/>
        <v>3.5150852316235675E-4</v>
      </c>
      <c r="W91" s="2"/>
      <c r="X91" s="7">
        <f t="shared" si="35"/>
        <v>238.02999999999997</v>
      </c>
      <c r="Y91" s="2"/>
      <c r="Z91" s="6">
        <f t="shared" si="36"/>
        <v>1.2206666666666666</v>
      </c>
    </row>
    <row r="92" spans="1:26" s="28" customFormat="1" outlineLevel="1" collapsed="1" x14ac:dyDescent="0.25">
      <c r="A92" s="27"/>
      <c r="B92" s="14" t="str">
        <f>CONCATENATE("     ","Advertising/Promo                                 ")</f>
        <v xml:space="preserve">     Advertising/Promo                                 </v>
      </c>
      <c r="C92" s="14"/>
      <c r="D92" s="1">
        <f>SUM(OSRRefD22_2x_0)</f>
        <v>9301.39</v>
      </c>
      <c r="E92" s="1"/>
      <c r="F92" s="5">
        <f t="shared" ref="F92:F114" si="37">IF(D$12=0,0,D92/D$12)</f>
        <v>2.9902397087311666E-2</v>
      </c>
      <c r="G92" s="1"/>
      <c r="H92" s="1">
        <f>SUM(OSRRefH22_2x_0)</f>
        <v>3042.66</v>
      </c>
      <c r="I92" s="1"/>
      <c r="J92" s="5">
        <f t="shared" ref="J92:J114" si="38">IF(H$12=0,0,H92/H$12)</f>
        <v>9.4309629835028375E-3</v>
      </c>
      <c r="K92" s="1"/>
      <c r="L92" s="1">
        <f t="shared" ref="L92:L114" si="39">+D92-H92</f>
        <v>6258.73</v>
      </c>
      <c r="M92" s="1"/>
      <c r="N92" s="5">
        <f t="shared" ref="N92:N114" si="40">IF(H92=0,0,L92/H92)</f>
        <v>2.0569928943753162</v>
      </c>
      <c r="O92" s="14"/>
      <c r="P92" s="1">
        <f>SUM(OSRRefP22_2x_0)</f>
        <v>10642.32</v>
      </c>
      <c r="Q92" s="1"/>
      <c r="R92" s="5">
        <f t="shared" ref="R92:R114" si="41">IF(P$12=0,0,P92/P$12)</f>
        <v>2.1905027169897132E-2</v>
      </c>
      <c r="S92" s="1"/>
      <c r="T92" s="1">
        <f>SUM(OSRRefT22_2x_0)</f>
        <v>3234.66</v>
      </c>
      <c r="U92" s="1"/>
      <c r="V92" s="5">
        <f t="shared" ref="V92:V114" si="42">IF(T$12=0,0,T92/T$12)</f>
        <v>5.8308233822171734E-3</v>
      </c>
      <c r="W92" s="1"/>
      <c r="X92" s="1">
        <f t="shared" ref="X92:X114" si="43">+P92-T92</f>
        <v>7407.66</v>
      </c>
      <c r="Y92" s="1"/>
      <c r="Z92" s="5">
        <f t="shared" ref="Z92:Z114" si="44">IF(T92=0,0,X92/T92)</f>
        <v>2.2900892211237038</v>
      </c>
    </row>
    <row r="93" spans="1:26" s="24" customFormat="1" hidden="1" outlineLevel="2" x14ac:dyDescent="0.25">
      <c r="A93" s="29"/>
      <c r="B93" s="11" t="str">
        <f>CONCATENATE("          ", "6362", " - ", "ADVERTISING EXPENSE")</f>
        <v xml:space="preserve">          6362 - ADVERTISING EXPENSE</v>
      </c>
      <c r="C93" s="11"/>
      <c r="D93" s="7">
        <v>9301.39</v>
      </c>
      <c r="E93" s="2"/>
      <c r="F93" s="6">
        <f t="shared" si="37"/>
        <v>2.9902397087311666E-2</v>
      </c>
      <c r="G93" s="2"/>
      <c r="H93" s="7">
        <v>3042.66</v>
      </c>
      <c r="I93" s="2"/>
      <c r="J93" s="6">
        <f t="shared" si="38"/>
        <v>9.4309629835028375E-3</v>
      </c>
      <c r="K93" s="2"/>
      <c r="L93" s="7">
        <f t="shared" si="39"/>
        <v>6258.73</v>
      </c>
      <c r="M93" s="2"/>
      <c r="N93" s="6">
        <f t="shared" si="40"/>
        <v>2.0569928943753162</v>
      </c>
      <c r="O93" s="11"/>
      <c r="P93" s="7">
        <v>10642.32</v>
      </c>
      <c r="Q93" s="2"/>
      <c r="R93" s="6">
        <f t="shared" si="41"/>
        <v>2.1905027169897132E-2</v>
      </c>
      <c r="S93" s="2"/>
      <c r="T93" s="7">
        <v>3234.66</v>
      </c>
      <c r="U93" s="2"/>
      <c r="V93" s="6">
        <f t="shared" si="42"/>
        <v>5.8308233822171734E-3</v>
      </c>
      <c r="W93" s="2"/>
      <c r="X93" s="7">
        <f t="shared" si="43"/>
        <v>7407.66</v>
      </c>
      <c r="Y93" s="2"/>
      <c r="Z93" s="6">
        <f t="shared" si="44"/>
        <v>2.2900892211237038</v>
      </c>
    </row>
    <row r="94" spans="1:26" s="28" customFormat="1" outlineLevel="1" collapsed="1" x14ac:dyDescent="0.25">
      <c r="A94" s="27"/>
      <c r="B94" s="14" t="str">
        <f>CONCATENATE("     ","Bad Debts/Over/Short                              ")</f>
        <v xml:space="preserve">     Bad Debts/Over/Short                              </v>
      </c>
      <c r="C94" s="14"/>
      <c r="D94" s="1">
        <f>SUM(OSRRefD22_3x_0)</f>
        <v>4.5599999999999996</v>
      </c>
      <c r="E94" s="1"/>
      <c r="F94" s="5">
        <f t="shared" si="37"/>
        <v>1.4659629444431552E-5</v>
      </c>
      <c r="G94" s="1"/>
      <c r="H94" s="1">
        <f>SUM(OSRRefH22_3x_0)</f>
        <v>36.04</v>
      </c>
      <c r="I94" s="1"/>
      <c r="J94" s="5">
        <f t="shared" si="38"/>
        <v>1.1170880279934079E-4</v>
      </c>
      <c r="K94" s="1"/>
      <c r="L94" s="1">
        <f t="shared" si="39"/>
        <v>-31.48</v>
      </c>
      <c r="M94" s="1"/>
      <c r="N94" s="5">
        <f t="shared" si="40"/>
        <v>-0.87347391786903439</v>
      </c>
      <c r="O94" s="14"/>
      <c r="P94" s="1">
        <f>SUM(OSRRefP22_3x_0)</f>
        <v>3.66</v>
      </c>
      <c r="Q94" s="1"/>
      <c r="R94" s="5">
        <f t="shared" si="41"/>
        <v>7.5333573357898935E-6</v>
      </c>
      <c r="S94" s="1"/>
      <c r="T94" s="1">
        <f>SUM(OSRRefT22_3x_0)</f>
        <v>29.91</v>
      </c>
      <c r="U94" s="1"/>
      <c r="V94" s="5">
        <f t="shared" si="42"/>
        <v>5.3915999629672252E-5</v>
      </c>
      <c r="W94" s="1"/>
      <c r="X94" s="1">
        <f t="shared" si="43"/>
        <v>-26.25</v>
      </c>
      <c r="Y94" s="1"/>
      <c r="Z94" s="5">
        <f t="shared" si="44"/>
        <v>-0.87763289869608829</v>
      </c>
    </row>
    <row r="95" spans="1:26" s="24" customFormat="1" hidden="1" outlineLevel="2" x14ac:dyDescent="0.25">
      <c r="A95" s="29"/>
      <c r="B95" s="11" t="str">
        <f>CONCATENATE("          ", "6272", " - ", "CASH (OVER/SHORT)")</f>
        <v xml:space="preserve">          6272 - CASH (OVER/SHORT)</v>
      </c>
      <c r="C95" s="11"/>
      <c r="D95" s="7">
        <v>4.5599999999999996</v>
      </c>
      <c r="E95" s="2"/>
      <c r="F95" s="6">
        <f t="shared" si="37"/>
        <v>1.4659629444431552E-5</v>
      </c>
      <c r="G95" s="2"/>
      <c r="H95" s="7">
        <v>36.04</v>
      </c>
      <c r="I95" s="2"/>
      <c r="J95" s="6">
        <f t="shared" si="38"/>
        <v>1.1170880279934079E-4</v>
      </c>
      <c r="K95" s="2"/>
      <c r="L95" s="7">
        <f t="shared" si="39"/>
        <v>-31.48</v>
      </c>
      <c r="M95" s="2"/>
      <c r="N95" s="6">
        <f t="shared" si="40"/>
        <v>-0.87347391786903439</v>
      </c>
      <c r="O95" s="11"/>
      <c r="P95" s="7">
        <v>3.66</v>
      </c>
      <c r="Q95" s="2"/>
      <c r="R95" s="6">
        <f t="shared" si="41"/>
        <v>7.5333573357898935E-6</v>
      </c>
      <c r="S95" s="2"/>
      <c r="T95" s="7">
        <v>29.91</v>
      </c>
      <c r="U95" s="2"/>
      <c r="V95" s="6">
        <f t="shared" si="42"/>
        <v>5.3915999629672252E-5</v>
      </c>
      <c r="W95" s="2"/>
      <c r="X95" s="7">
        <f t="shared" si="43"/>
        <v>-26.25</v>
      </c>
      <c r="Y95" s="2"/>
      <c r="Z95" s="6">
        <f t="shared" si="44"/>
        <v>-0.87763289869608829</v>
      </c>
    </row>
    <row r="96" spans="1:26" s="28" customFormat="1" outlineLevel="1" collapsed="1" x14ac:dyDescent="0.25">
      <c r="A96" s="27"/>
      <c r="B96" s="14" t="str">
        <f>CONCATENATE("     ","Bank/card Fees                                    ")</f>
        <v xml:space="preserve">     Bank/card Fees                                    </v>
      </c>
      <c r="C96" s="14"/>
      <c r="D96" s="1">
        <f>SUM(OSRRefD22_4x_0)</f>
        <v>452.83</v>
      </c>
      <c r="E96" s="1"/>
      <c r="F96" s="5">
        <f t="shared" si="37"/>
        <v>1.4557719301144605E-3</v>
      </c>
      <c r="G96" s="1"/>
      <c r="H96" s="1">
        <f>SUM(OSRRefH22_4x_0)</f>
        <v>803.95</v>
      </c>
      <c r="I96" s="1"/>
      <c r="J96" s="5">
        <f t="shared" si="38"/>
        <v>2.491905993632909E-3</v>
      </c>
      <c r="K96" s="1"/>
      <c r="L96" s="1">
        <f t="shared" si="39"/>
        <v>-351.12000000000006</v>
      </c>
      <c r="M96" s="1"/>
      <c r="N96" s="5">
        <f t="shared" si="40"/>
        <v>-0.43674357858075757</v>
      </c>
      <c r="O96" s="14"/>
      <c r="P96" s="1">
        <f>SUM(OSRRefP22_4x_0)</f>
        <v>759.72</v>
      </c>
      <c r="Q96" s="1"/>
      <c r="R96" s="5">
        <f t="shared" si="41"/>
        <v>1.5637273866519941E-3</v>
      </c>
      <c r="S96" s="1"/>
      <c r="T96" s="1">
        <f>SUM(OSRRefT22_4x_0)</f>
        <v>1481.66</v>
      </c>
      <c r="U96" s="1"/>
      <c r="V96" s="5">
        <f t="shared" si="42"/>
        <v>2.6708518893781411E-3</v>
      </c>
      <c r="W96" s="1"/>
      <c r="X96" s="1">
        <f t="shared" si="43"/>
        <v>-721.94</v>
      </c>
      <c r="Y96" s="1"/>
      <c r="Z96" s="5">
        <f t="shared" si="44"/>
        <v>-0.48725078628025326</v>
      </c>
    </row>
    <row r="97" spans="1:26" s="24" customFormat="1" hidden="1" outlineLevel="2" x14ac:dyDescent="0.25">
      <c r="A97" s="29"/>
      <c r="B97" s="11" t="str">
        <f>CONCATENATE("          ", "6381", " - ", "BANK/CREDIT CARD FEES")</f>
        <v xml:space="preserve">          6381 - BANK/CREDIT CARD FEES</v>
      </c>
      <c r="C97" s="11"/>
      <c r="D97" s="7">
        <v>452.83</v>
      </c>
      <c r="E97" s="2"/>
      <c r="F97" s="6">
        <f t="shared" si="37"/>
        <v>1.4557719301144605E-3</v>
      </c>
      <c r="G97" s="2"/>
      <c r="H97" s="7">
        <v>803.95</v>
      </c>
      <c r="I97" s="2"/>
      <c r="J97" s="6">
        <f t="shared" si="38"/>
        <v>2.491905993632909E-3</v>
      </c>
      <c r="K97" s="2"/>
      <c r="L97" s="7">
        <f t="shared" si="39"/>
        <v>-351.12000000000006</v>
      </c>
      <c r="M97" s="2"/>
      <c r="N97" s="6">
        <f t="shared" si="40"/>
        <v>-0.43674357858075757</v>
      </c>
      <c r="O97" s="11"/>
      <c r="P97" s="7">
        <v>759.72</v>
      </c>
      <c r="Q97" s="2"/>
      <c r="R97" s="6">
        <f t="shared" si="41"/>
        <v>1.5637273866519941E-3</v>
      </c>
      <c r="S97" s="2"/>
      <c r="T97" s="7">
        <v>1481.66</v>
      </c>
      <c r="U97" s="2"/>
      <c r="V97" s="6">
        <f t="shared" si="42"/>
        <v>2.6708518893781411E-3</v>
      </c>
      <c r="W97" s="2"/>
      <c r="X97" s="7">
        <f t="shared" si="43"/>
        <v>-721.94</v>
      </c>
      <c r="Y97" s="2"/>
      <c r="Z97" s="6">
        <f t="shared" si="44"/>
        <v>-0.48725078628025326</v>
      </c>
    </row>
    <row r="98" spans="1:26" s="28" customFormat="1" outlineLevel="1" collapsed="1" x14ac:dyDescent="0.25">
      <c r="A98" s="27"/>
      <c r="B98" s="14" t="str">
        <f>CONCATENATE("     ","Discounts and Markdowns                           ")</f>
        <v xml:space="preserve">     Discounts and Markdowns                           </v>
      </c>
      <c r="C98" s="14"/>
      <c r="D98" s="1">
        <f>SUM(OSRRefD22_5x_0)</f>
        <v>0</v>
      </c>
      <c r="E98" s="1"/>
      <c r="F98" s="5">
        <f t="shared" si="37"/>
        <v>0</v>
      </c>
      <c r="G98" s="1"/>
      <c r="H98" s="1">
        <f>SUM(OSRRefH22_5x_0)</f>
        <v>27426.91</v>
      </c>
      <c r="I98" s="1"/>
      <c r="J98" s="5">
        <f t="shared" si="38"/>
        <v>8.5011855732110661E-2</v>
      </c>
      <c r="K98" s="1"/>
      <c r="L98" s="1">
        <f t="shared" si="39"/>
        <v>-27426.91</v>
      </c>
      <c r="M98" s="1"/>
      <c r="N98" s="5">
        <f t="shared" si="40"/>
        <v>-1</v>
      </c>
      <c r="O98" s="14"/>
      <c r="P98" s="1">
        <f>SUM(OSRRefP22_5x_0)</f>
        <v>0</v>
      </c>
      <c r="Q98" s="1"/>
      <c r="R98" s="5">
        <f t="shared" si="41"/>
        <v>0</v>
      </c>
      <c r="S98" s="1"/>
      <c r="T98" s="1">
        <f>SUM(OSRRefT22_5x_0)</f>
        <v>47444.689999999995</v>
      </c>
      <c r="U98" s="1"/>
      <c r="V98" s="5">
        <f t="shared" si="42"/>
        <v>8.5524168788696578E-2</v>
      </c>
      <c r="W98" s="1"/>
      <c r="X98" s="1">
        <f t="shared" si="43"/>
        <v>-47444.689999999995</v>
      </c>
      <c r="Y98" s="1"/>
      <c r="Z98" s="5">
        <f t="shared" si="44"/>
        <v>-1</v>
      </c>
    </row>
    <row r="99" spans="1:26" s="24" customFormat="1" hidden="1" outlineLevel="2" x14ac:dyDescent="0.25">
      <c r="A99" s="29"/>
      <c r="B99" s="11" t="str">
        <f>CONCATENATE("          ", "6382", " - ", "DISCOUNTS/MARK DOWNS")</f>
        <v xml:space="preserve">          6382 - DISCOUNTS/MARK DOWNS</v>
      </c>
      <c r="C99" s="11"/>
      <c r="D99" s="7"/>
      <c r="E99" s="2"/>
      <c r="F99" s="6">
        <f t="shared" si="37"/>
        <v>0</v>
      </c>
      <c r="G99" s="2"/>
      <c r="H99" s="7">
        <v>27426.91</v>
      </c>
      <c r="I99" s="2"/>
      <c r="J99" s="6">
        <f t="shared" si="38"/>
        <v>8.5011855732110661E-2</v>
      </c>
      <c r="K99" s="2"/>
      <c r="L99" s="7">
        <f t="shared" si="39"/>
        <v>-27426.91</v>
      </c>
      <c r="M99" s="2"/>
      <c r="N99" s="6">
        <f t="shared" si="40"/>
        <v>-1</v>
      </c>
      <c r="O99" s="11"/>
      <c r="P99" s="7"/>
      <c r="Q99" s="2"/>
      <c r="R99" s="6">
        <f t="shared" si="41"/>
        <v>0</v>
      </c>
      <c r="S99" s="2"/>
      <c r="T99" s="7">
        <v>47444.689999999995</v>
      </c>
      <c r="U99" s="2"/>
      <c r="V99" s="6">
        <f t="shared" si="42"/>
        <v>8.5524168788696578E-2</v>
      </c>
      <c r="W99" s="2"/>
      <c r="X99" s="7">
        <f t="shared" si="43"/>
        <v>-47444.689999999995</v>
      </c>
      <c r="Y99" s="2"/>
      <c r="Z99" s="6">
        <f t="shared" si="44"/>
        <v>-1</v>
      </c>
    </row>
    <row r="100" spans="1:26" s="28" customFormat="1" outlineLevel="1" collapsed="1" x14ac:dyDescent="0.25">
      <c r="A100" s="27"/>
      <c r="B100" s="14" t="str">
        <f>CONCATENATE("     ","Employees' Appreciation                           ")</f>
        <v xml:space="preserve">     Employees' Appreciation                           </v>
      </c>
      <c r="C100" s="14"/>
      <c r="D100" s="1">
        <f>SUM(OSRRefD22_6x_0)</f>
        <v>0</v>
      </c>
      <c r="E100" s="1"/>
      <c r="F100" s="5">
        <f t="shared" si="37"/>
        <v>0</v>
      </c>
      <c r="G100" s="1"/>
      <c r="H100" s="1">
        <f>SUM(OSRRefH22_6x_0)</f>
        <v>0</v>
      </c>
      <c r="I100" s="1"/>
      <c r="J100" s="5">
        <f t="shared" si="38"/>
        <v>0</v>
      </c>
      <c r="K100" s="1"/>
      <c r="L100" s="1">
        <f t="shared" si="39"/>
        <v>0</v>
      </c>
      <c r="M100" s="1"/>
      <c r="N100" s="5">
        <f t="shared" si="40"/>
        <v>0</v>
      </c>
      <c r="O100" s="14"/>
      <c r="P100" s="1">
        <f>SUM(OSRRefP22_6x_0)</f>
        <v>0</v>
      </c>
      <c r="Q100" s="1"/>
      <c r="R100" s="5">
        <f t="shared" si="41"/>
        <v>0</v>
      </c>
      <c r="S100" s="1"/>
      <c r="T100" s="1">
        <f>SUM(OSRRefT22_6x_0)</f>
        <v>133.91</v>
      </c>
      <c r="U100" s="1"/>
      <c r="V100" s="5">
        <f t="shared" si="42"/>
        <v>2.4138721198292917E-4</v>
      </c>
      <c r="W100" s="1"/>
      <c r="X100" s="1">
        <f t="shared" si="43"/>
        <v>-133.91</v>
      </c>
      <c r="Y100" s="1"/>
      <c r="Z100" s="5">
        <f t="shared" si="44"/>
        <v>-1</v>
      </c>
    </row>
    <row r="101" spans="1:26" s="24" customFormat="1" hidden="1" outlineLevel="2" x14ac:dyDescent="0.25">
      <c r="A101" s="29"/>
      <c r="B101" s="11" t="str">
        <f>CONCATENATE("          ", "6277", " - ", "EMPLOYEE APPRECIATION")</f>
        <v xml:space="preserve">          6277 - EMPLOYEE APPRECIATION</v>
      </c>
      <c r="C101" s="11"/>
      <c r="D101" s="7"/>
      <c r="E101" s="2"/>
      <c r="F101" s="6">
        <f t="shared" si="37"/>
        <v>0</v>
      </c>
      <c r="G101" s="2"/>
      <c r="H101" s="7"/>
      <c r="I101" s="2"/>
      <c r="J101" s="6">
        <f t="shared" si="38"/>
        <v>0</v>
      </c>
      <c r="K101" s="2"/>
      <c r="L101" s="7">
        <f t="shared" si="39"/>
        <v>0</v>
      </c>
      <c r="M101" s="2"/>
      <c r="N101" s="6">
        <f t="shared" si="40"/>
        <v>0</v>
      </c>
      <c r="O101" s="11"/>
      <c r="P101" s="7"/>
      <c r="Q101" s="2"/>
      <c r="R101" s="6">
        <f t="shared" si="41"/>
        <v>0</v>
      </c>
      <c r="S101" s="2"/>
      <c r="T101" s="7">
        <v>133.91</v>
      </c>
      <c r="U101" s="2"/>
      <c r="V101" s="6">
        <f t="shared" si="42"/>
        <v>2.4138721198292917E-4</v>
      </c>
      <c r="W101" s="2"/>
      <c r="X101" s="7">
        <f t="shared" si="43"/>
        <v>-133.91</v>
      </c>
      <c r="Y101" s="2"/>
      <c r="Z101" s="6">
        <f t="shared" si="44"/>
        <v>-1</v>
      </c>
    </row>
    <row r="102" spans="1:26" s="28" customFormat="1" outlineLevel="1" collapsed="1" x14ac:dyDescent="0.25">
      <c r="A102" s="27"/>
      <c r="B102" s="14" t="str">
        <f>CONCATENATE("     ","Freight out/Postage                               ")</f>
        <v xml:space="preserve">     Freight out/Postage                               </v>
      </c>
      <c r="C102" s="14"/>
      <c r="D102" s="1">
        <f>SUM(OSRRefD22_7x_0)</f>
        <v>34.06</v>
      </c>
      <c r="E102" s="1"/>
      <c r="F102" s="5">
        <f t="shared" si="37"/>
        <v>1.0949714449064446E-4</v>
      </c>
      <c r="G102" s="1"/>
      <c r="H102" s="1">
        <f>SUM(OSRRefH22_7x_0)</f>
        <v>0</v>
      </c>
      <c r="I102" s="1"/>
      <c r="J102" s="5">
        <f t="shared" si="38"/>
        <v>0</v>
      </c>
      <c r="K102" s="1"/>
      <c r="L102" s="1">
        <f t="shared" si="39"/>
        <v>34.06</v>
      </c>
      <c r="M102" s="1"/>
      <c r="N102" s="5">
        <f t="shared" si="40"/>
        <v>0</v>
      </c>
      <c r="O102" s="14"/>
      <c r="P102" s="1">
        <f>SUM(OSRRefP22_7x_0)</f>
        <v>50.45</v>
      </c>
      <c r="Q102" s="1"/>
      <c r="R102" s="5">
        <f t="shared" si="41"/>
        <v>1.0384095016136615E-4</v>
      </c>
      <c r="S102" s="1"/>
      <c r="T102" s="1">
        <f>SUM(OSRRefT22_7x_0)</f>
        <v>0</v>
      </c>
      <c r="U102" s="1"/>
      <c r="V102" s="5">
        <f t="shared" si="42"/>
        <v>0</v>
      </c>
      <c r="W102" s="1"/>
      <c r="X102" s="1">
        <f t="shared" si="43"/>
        <v>50.45</v>
      </c>
      <c r="Y102" s="1"/>
      <c r="Z102" s="5">
        <f t="shared" si="44"/>
        <v>0</v>
      </c>
    </row>
    <row r="103" spans="1:26" s="24" customFormat="1" hidden="1" outlineLevel="2" x14ac:dyDescent="0.25">
      <c r="A103" s="29"/>
      <c r="B103" s="11" t="str">
        <f>CONCATENATE("          ", "6305", " - ", "FREIGHT OUT")</f>
        <v xml:space="preserve">          6305 - FREIGHT OUT</v>
      </c>
      <c r="C103" s="11"/>
      <c r="D103" s="7">
        <v>34.06</v>
      </c>
      <c r="E103" s="2"/>
      <c r="F103" s="6">
        <f t="shared" si="37"/>
        <v>1.0949714449064446E-4</v>
      </c>
      <c r="G103" s="2"/>
      <c r="H103" s="7"/>
      <c r="I103" s="2"/>
      <c r="J103" s="6">
        <f t="shared" si="38"/>
        <v>0</v>
      </c>
      <c r="K103" s="2"/>
      <c r="L103" s="7">
        <f t="shared" si="39"/>
        <v>34.06</v>
      </c>
      <c r="M103" s="2"/>
      <c r="N103" s="6">
        <f t="shared" si="40"/>
        <v>0</v>
      </c>
      <c r="O103" s="11"/>
      <c r="P103" s="7">
        <v>50.45</v>
      </c>
      <c r="Q103" s="2"/>
      <c r="R103" s="6">
        <f t="shared" si="41"/>
        <v>1.0384095016136615E-4</v>
      </c>
      <c r="S103" s="2"/>
      <c r="T103" s="7"/>
      <c r="U103" s="2"/>
      <c r="V103" s="6">
        <f t="shared" si="42"/>
        <v>0</v>
      </c>
      <c r="W103" s="2"/>
      <c r="X103" s="7">
        <f t="shared" si="43"/>
        <v>50.45</v>
      </c>
      <c r="Y103" s="2"/>
      <c r="Z103" s="6">
        <f t="shared" si="44"/>
        <v>0</v>
      </c>
    </row>
    <row r="104" spans="1:26" s="28" customFormat="1" outlineLevel="1" collapsed="1" x14ac:dyDescent="0.25">
      <c r="A104" s="27"/>
      <c r="B104" s="14" t="str">
        <f>CONCATENATE("     ","Insurance                                         ")</f>
        <v xml:space="preserve">     Insurance                                         </v>
      </c>
      <c r="C104" s="14"/>
      <c r="D104" s="1">
        <f>SUM(OSRRefD22_8x_0)</f>
        <v>161.18</v>
      </c>
      <c r="E104" s="1"/>
      <c r="F104" s="5">
        <f t="shared" si="37"/>
        <v>5.1816646356435923E-4</v>
      </c>
      <c r="G104" s="1"/>
      <c r="H104" s="1">
        <f>SUM(OSRRefH22_8x_0)</f>
        <v>161.18</v>
      </c>
      <c r="I104" s="1"/>
      <c r="J104" s="5">
        <f t="shared" si="38"/>
        <v>4.9959003427296755E-4</v>
      </c>
      <c r="K104" s="1"/>
      <c r="L104" s="1">
        <f t="shared" si="39"/>
        <v>0</v>
      </c>
      <c r="M104" s="1"/>
      <c r="N104" s="5">
        <f t="shared" si="40"/>
        <v>0</v>
      </c>
      <c r="O104" s="14"/>
      <c r="P104" s="1">
        <f>SUM(OSRRefP22_8x_0)</f>
        <v>322.36</v>
      </c>
      <c r="Q104" s="1"/>
      <c r="R104" s="5">
        <f t="shared" si="41"/>
        <v>6.6351176796864211E-4</v>
      </c>
      <c r="S104" s="1"/>
      <c r="T104" s="1">
        <f>SUM(OSRRefT22_8x_0)</f>
        <v>322.36</v>
      </c>
      <c r="U104" s="1"/>
      <c r="V104" s="5">
        <f t="shared" si="42"/>
        <v>5.8108865398265287E-4</v>
      </c>
      <c r="W104" s="1"/>
      <c r="X104" s="1">
        <f t="shared" si="43"/>
        <v>0</v>
      </c>
      <c r="Y104" s="1"/>
      <c r="Z104" s="5">
        <f t="shared" si="44"/>
        <v>0</v>
      </c>
    </row>
    <row r="105" spans="1:26" s="24" customFormat="1" hidden="1" outlineLevel="2" x14ac:dyDescent="0.25">
      <c r="A105" s="29"/>
      <c r="B105" s="11" t="str">
        <f>CONCATENATE("          ", "6314", " - ", "LIABILITY INSURANCE")</f>
        <v xml:space="preserve">          6314 - LIABILITY INSURANCE</v>
      </c>
      <c r="C105" s="11"/>
      <c r="D105" s="7">
        <v>161.18</v>
      </c>
      <c r="E105" s="2"/>
      <c r="F105" s="6">
        <f t="shared" si="37"/>
        <v>5.1816646356435923E-4</v>
      </c>
      <c r="G105" s="2"/>
      <c r="H105" s="7">
        <v>161.18</v>
      </c>
      <c r="I105" s="2"/>
      <c r="J105" s="6">
        <f t="shared" si="38"/>
        <v>4.9959003427296755E-4</v>
      </c>
      <c r="K105" s="2"/>
      <c r="L105" s="7">
        <f t="shared" si="39"/>
        <v>0</v>
      </c>
      <c r="M105" s="2"/>
      <c r="N105" s="6">
        <f t="shared" si="40"/>
        <v>0</v>
      </c>
      <c r="O105" s="11"/>
      <c r="P105" s="7">
        <v>322.36</v>
      </c>
      <c r="Q105" s="2"/>
      <c r="R105" s="6">
        <f t="shared" si="41"/>
        <v>6.6351176796864211E-4</v>
      </c>
      <c r="S105" s="2"/>
      <c r="T105" s="7">
        <v>322.36</v>
      </c>
      <c r="U105" s="2"/>
      <c r="V105" s="6">
        <f t="shared" si="42"/>
        <v>5.8108865398265287E-4</v>
      </c>
      <c r="W105" s="2"/>
      <c r="X105" s="7">
        <f t="shared" si="43"/>
        <v>0</v>
      </c>
      <c r="Y105" s="2"/>
      <c r="Z105" s="6">
        <f t="shared" si="44"/>
        <v>0</v>
      </c>
    </row>
    <row r="106" spans="1:26" s="28" customFormat="1" outlineLevel="1" collapsed="1" x14ac:dyDescent="0.25">
      <c r="A106" s="27"/>
      <c r="B106" s="14" t="str">
        <f>CONCATENATE("     ","Inventory Adjustment                              ")</f>
        <v xml:space="preserve">     Inventory Adjustment                              </v>
      </c>
      <c r="C106" s="14"/>
      <c r="D106" s="1">
        <f>SUM(OSRRefD22_9x_0)</f>
        <v>1100</v>
      </c>
      <c r="E106" s="1"/>
      <c r="F106" s="5">
        <f t="shared" si="37"/>
        <v>3.5363141203672609E-3</v>
      </c>
      <c r="G106" s="1"/>
      <c r="H106" s="1">
        <f>SUM(OSRRefH22_9x_0)</f>
        <v>3150</v>
      </c>
      <c r="I106" s="1"/>
      <c r="J106" s="5">
        <f t="shared" si="38"/>
        <v>9.7636717208080884E-3</v>
      </c>
      <c r="K106" s="1"/>
      <c r="L106" s="1">
        <f t="shared" si="39"/>
        <v>-2050</v>
      </c>
      <c r="M106" s="1"/>
      <c r="N106" s="5">
        <f t="shared" si="40"/>
        <v>-0.65079365079365081</v>
      </c>
      <c r="O106" s="14"/>
      <c r="P106" s="1">
        <f>SUM(OSRRefP22_9x_0)</f>
        <v>2200</v>
      </c>
      <c r="Q106" s="1"/>
      <c r="R106" s="5">
        <f t="shared" si="41"/>
        <v>4.5282475788900999E-3</v>
      </c>
      <c r="S106" s="1"/>
      <c r="T106" s="1">
        <f>SUM(OSRRefT22_9x_0)</f>
        <v>6300</v>
      </c>
      <c r="U106" s="1"/>
      <c r="V106" s="5">
        <f t="shared" si="42"/>
        <v>1.1356429209860755E-2</v>
      </c>
      <c r="W106" s="1"/>
      <c r="X106" s="1">
        <f t="shared" si="43"/>
        <v>-4100</v>
      </c>
      <c r="Y106" s="1"/>
      <c r="Z106" s="5">
        <f t="shared" si="44"/>
        <v>-0.65079365079365081</v>
      </c>
    </row>
    <row r="107" spans="1:26" s="24" customFormat="1" hidden="1" outlineLevel="2" x14ac:dyDescent="0.25">
      <c r="A107" s="29"/>
      <c r="B107" s="11" t="str">
        <f>CONCATENATE("          ", "6408", " - ", "INVENTORY ADJUSTMENT")</f>
        <v xml:space="preserve">          6408 - INVENTORY ADJUSTMENT</v>
      </c>
      <c r="C107" s="11"/>
      <c r="D107" s="7">
        <v>1100</v>
      </c>
      <c r="E107" s="2"/>
      <c r="F107" s="6">
        <f t="shared" si="37"/>
        <v>3.5363141203672609E-3</v>
      </c>
      <c r="G107" s="2"/>
      <c r="H107" s="7">
        <v>3150</v>
      </c>
      <c r="I107" s="2"/>
      <c r="J107" s="6">
        <f t="shared" si="38"/>
        <v>9.7636717208080884E-3</v>
      </c>
      <c r="K107" s="2"/>
      <c r="L107" s="7">
        <f t="shared" si="39"/>
        <v>-2050</v>
      </c>
      <c r="M107" s="2"/>
      <c r="N107" s="6">
        <f t="shared" si="40"/>
        <v>-0.65079365079365081</v>
      </c>
      <c r="O107" s="11"/>
      <c r="P107" s="7">
        <v>2200</v>
      </c>
      <c r="Q107" s="2"/>
      <c r="R107" s="6">
        <f t="shared" si="41"/>
        <v>4.5282475788900999E-3</v>
      </c>
      <c r="S107" s="2"/>
      <c r="T107" s="7">
        <v>6300</v>
      </c>
      <c r="U107" s="2"/>
      <c r="V107" s="6">
        <f t="shared" si="42"/>
        <v>1.1356429209860755E-2</v>
      </c>
      <c r="W107" s="2"/>
      <c r="X107" s="7">
        <f t="shared" si="43"/>
        <v>-4100</v>
      </c>
      <c r="Y107" s="2"/>
      <c r="Z107" s="6">
        <f t="shared" si="44"/>
        <v>-0.65079365079365081</v>
      </c>
    </row>
    <row r="108" spans="1:26" s="28" customFormat="1" outlineLevel="1" collapsed="1" x14ac:dyDescent="0.25">
      <c r="A108" s="27"/>
      <c r="B108" s="14" t="str">
        <f>CONCATENATE("     ","Professional Services                             ")</f>
        <v xml:space="preserve">     Professional Services                             </v>
      </c>
      <c r="C108" s="14"/>
      <c r="D108" s="1">
        <f>SUM(OSRRefD22_10x_0)</f>
        <v>0</v>
      </c>
      <c r="E108" s="1"/>
      <c r="F108" s="5">
        <f t="shared" si="37"/>
        <v>0</v>
      </c>
      <c r="G108" s="1"/>
      <c r="H108" s="1">
        <f>SUM(OSRRefH22_10x_0)</f>
        <v>0</v>
      </c>
      <c r="I108" s="1"/>
      <c r="J108" s="5">
        <f t="shared" si="38"/>
        <v>0</v>
      </c>
      <c r="K108" s="1"/>
      <c r="L108" s="1">
        <f t="shared" si="39"/>
        <v>0</v>
      </c>
      <c r="M108" s="1"/>
      <c r="N108" s="5">
        <f t="shared" si="40"/>
        <v>0</v>
      </c>
      <c r="O108" s="14"/>
      <c r="P108" s="1">
        <f>SUM(OSRRefP22_10x_0)</f>
        <v>0</v>
      </c>
      <c r="Q108" s="1"/>
      <c r="R108" s="5">
        <f t="shared" si="41"/>
        <v>0</v>
      </c>
      <c r="S108" s="1"/>
      <c r="T108" s="1">
        <f>SUM(OSRRefT22_10x_0)</f>
        <v>750</v>
      </c>
      <c r="U108" s="1"/>
      <c r="V108" s="5">
        <f t="shared" si="42"/>
        <v>1.3519558583167566E-3</v>
      </c>
      <c r="W108" s="1"/>
      <c r="X108" s="1">
        <f t="shared" si="43"/>
        <v>-750</v>
      </c>
      <c r="Y108" s="1"/>
      <c r="Z108" s="5">
        <f t="shared" si="44"/>
        <v>-1</v>
      </c>
    </row>
    <row r="109" spans="1:26" s="24" customFormat="1" hidden="1" outlineLevel="2" x14ac:dyDescent="0.25">
      <c r="A109" s="29"/>
      <c r="B109" s="11" t="str">
        <f>CONCATENATE("          ", "6336", " - ", "PROFESSIONAL SERVICES")</f>
        <v xml:space="preserve">          6336 - PROFESSIONAL SERVICES</v>
      </c>
      <c r="C109" s="11"/>
      <c r="D109" s="7"/>
      <c r="E109" s="2"/>
      <c r="F109" s="6">
        <f t="shared" si="37"/>
        <v>0</v>
      </c>
      <c r="G109" s="2"/>
      <c r="H109" s="7"/>
      <c r="I109" s="2"/>
      <c r="J109" s="6">
        <f t="shared" si="38"/>
        <v>0</v>
      </c>
      <c r="K109" s="2"/>
      <c r="L109" s="7">
        <f t="shared" si="39"/>
        <v>0</v>
      </c>
      <c r="M109" s="2"/>
      <c r="N109" s="6">
        <f t="shared" si="40"/>
        <v>0</v>
      </c>
      <c r="O109" s="11"/>
      <c r="P109" s="7"/>
      <c r="Q109" s="2"/>
      <c r="R109" s="6">
        <f t="shared" si="41"/>
        <v>0</v>
      </c>
      <c r="S109" s="2"/>
      <c r="T109" s="7">
        <v>750</v>
      </c>
      <c r="U109" s="2"/>
      <c r="V109" s="6">
        <f t="shared" si="42"/>
        <v>1.3519558583167566E-3</v>
      </c>
      <c r="W109" s="2"/>
      <c r="X109" s="7">
        <f t="shared" si="43"/>
        <v>-750</v>
      </c>
      <c r="Y109" s="2"/>
      <c r="Z109" s="6">
        <f t="shared" si="44"/>
        <v>-1</v>
      </c>
    </row>
    <row r="110" spans="1:26" s="28" customFormat="1" outlineLevel="1" collapsed="1" x14ac:dyDescent="0.25">
      <c r="A110" s="27"/>
      <c r="B110" s="14" t="str">
        <f>CONCATENATE("     ","Rent                                              ")</f>
        <v xml:space="preserve">     Rent                                              </v>
      </c>
      <c r="C110" s="14"/>
      <c r="D110" s="1">
        <f>SUM(OSRRefD22_11x_0)</f>
        <v>6900</v>
      </c>
      <c r="E110" s="1"/>
      <c r="F110" s="5">
        <f t="shared" si="37"/>
        <v>2.2182334027758273E-2</v>
      </c>
      <c r="G110" s="1"/>
      <c r="H110" s="1">
        <f>SUM(OSRRefH22_11x_0)</f>
        <v>6900</v>
      </c>
      <c r="I110" s="1"/>
      <c r="J110" s="5">
        <f t="shared" si="38"/>
        <v>2.1387090436055814E-2</v>
      </c>
      <c r="K110" s="1"/>
      <c r="L110" s="1">
        <f t="shared" si="39"/>
        <v>0</v>
      </c>
      <c r="M110" s="1"/>
      <c r="N110" s="5">
        <f t="shared" si="40"/>
        <v>0</v>
      </c>
      <c r="O110" s="14"/>
      <c r="P110" s="1">
        <f>SUM(OSRRefP22_11x_0)</f>
        <v>13800</v>
      </c>
      <c r="Q110" s="1"/>
      <c r="R110" s="5">
        <f t="shared" si="41"/>
        <v>2.8404462085765171E-2</v>
      </c>
      <c r="S110" s="1"/>
      <c r="T110" s="1">
        <f>SUM(OSRRefT22_11x_0)</f>
        <v>13800</v>
      </c>
      <c r="U110" s="1"/>
      <c r="V110" s="5">
        <f t="shared" si="42"/>
        <v>2.4875987793028322E-2</v>
      </c>
      <c r="W110" s="1"/>
      <c r="X110" s="1">
        <f t="shared" si="43"/>
        <v>0</v>
      </c>
      <c r="Y110" s="1"/>
      <c r="Z110" s="5">
        <f t="shared" si="44"/>
        <v>0</v>
      </c>
    </row>
    <row r="111" spans="1:26" s="24" customFormat="1" hidden="1" outlineLevel="2" x14ac:dyDescent="0.25">
      <c r="A111" s="29"/>
      <c r="B111" s="11" t="str">
        <f>CONCATENATE("          ", "6273", " - ", "RENT")</f>
        <v xml:space="preserve">          6273 - RENT</v>
      </c>
      <c r="C111" s="11"/>
      <c r="D111" s="7">
        <v>6900</v>
      </c>
      <c r="E111" s="2"/>
      <c r="F111" s="6">
        <f t="shared" si="37"/>
        <v>2.2182334027758273E-2</v>
      </c>
      <c r="G111" s="2"/>
      <c r="H111" s="7">
        <v>6900</v>
      </c>
      <c r="I111" s="2"/>
      <c r="J111" s="6">
        <f t="shared" si="38"/>
        <v>2.1387090436055814E-2</v>
      </c>
      <c r="K111" s="2"/>
      <c r="L111" s="7">
        <f t="shared" si="39"/>
        <v>0</v>
      </c>
      <c r="M111" s="2"/>
      <c r="N111" s="6">
        <f t="shared" si="40"/>
        <v>0</v>
      </c>
      <c r="O111" s="11"/>
      <c r="P111" s="7">
        <v>13800</v>
      </c>
      <c r="Q111" s="2"/>
      <c r="R111" s="6">
        <f t="shared" si="41"/>
        <v>2.8404462085765171E-2</v>
      </c>
      <c r="S111" s="2"/>
      <c r="T111" s="7">
        <v>13800</v>
      </c>
      <c r="U111" s="2"/>
      <c r="V111" s="6">
        <f t="shared" si="42"/>
        <v>2.4875987793028322E-2</v>
      </c>
      <c r="W111" s="2"/>
      <c r="X111" s="7">
        <f t="shared" si="43"/>
        <v>0</v>
      </c>
      <c r="Y111" s="2"/>
      <c r="Z111" s="6">
        <f t="shared" si="44"/>
        <v>0</v>
      </c>
    </row>
    <row r="112" spans="1:26" s="28" customFormat="1" outlineLevel="1" collapsed="1" x14ac:dyDescent="0.25">
      <c r="A112" s="27"/>
      <c r="B112" s="14" t="str">
        <f>CONCATENATE("     ","Royalty &amp; Commissions                             ")</f>
        <v xml:space="preserve">     Royalty &amp; Commissions                             </v>
      </c>
      <c r="C112" s="14"/>
      <c r="D112" s="1">
        <f>SUM(OSRRefD22_12x_0)</f>
        <v>2250</v>
      </c>
      <c r="E112" s="1"/>
      <c r="F112" s="5">
        <f t="shared" si="37"/>
        <v>7.2333697916603058E-3</v>
      </c>
      <c r="G112" s="1"/>
      <c r="H112" s="1">
        <f>SUM(OSRRefH22_12x_0)</f>
        <v>136.4</v>
      </c>
      <c r="I112" s="1"/>
      <c r="J112" s="5">
        <f t="shared" si="38"/>
        <v>4.227824834026106E-4</v>
      </c>
      <c r="K112" s="1"/>
      <c r="L112" s="1">
        <f t="shared" si="39"/>
        <v>2113.6</v>
      </c>
      <c r="M112" s="1"/>
      <c r="N112" s="5">
        <f t="shared" si="40"/>
        <v>15.495601173020527</v>
      </c>
      <c r="O112" s="14"/>
      <c r="P112" s="1">
        <f>SUM(OSRRefP22_12x_0)</f>
        <v>7922.2</v>
      </c>
      <c r="Q112" s="1"/>
      <c r="R112" s="5">
        <f t="shared" si="41"/>
        <v>1.630621953158325E-2</v>
      </c>
      <c r="S112" s="1"/>
      <c r="T112" s="1">
        <f>SUM(OSRRefT22_12x_0)</f>
        <v>4617.4399999999996</v>
      </c>
      <c r="U112" s="1"/>
      <c r="V112" s="5">
        <f t="shared" si="42"/>
        <v>8.3234334112348325E-3</v>
      </c>
      <c r="W112" s="1"/>
      <c r="X112" s="1">
        <f t="shared" si="43"/>
        <v>3304.76</v>
      </c>
      <c r="Y112" s="1"/>
      <c r="Z112" s="5">
        <f t="shared" si="44"/>
        <v>0.71571260265428471</v>
      </c>
    </row>
    <row r="113" spans="1:26" s="24" customFormat="1" hidden="1" outlineLevel="2" x14ac:dyDescent="0.25">
      <c r="A113" s="29"/>
      <c r="B113" s="11" t="str">
        <f>CONCATENATE("          ", "6253", " - ", "ROYALTY DUE ATHLETICS-LRG")</f>
        <v xml:space="preserve">          6253 - ROYALTY DUE ATHLETICS-LRG</v>
      </c>
      <c r="C113" s="11"/>
      <c r="D113" s="7">
        <v>2250</v>
      </c>
      <c r="E113" s="2"/>
      <c r="F113" s="6">
        <f t="shared" si="37"/>
        <v>7.2333697916603058E-3</v>
      </c>
      <c r="G113" s="2"/>
      <c r="H113" s="7"/>
      <c r="I113" s="2"/>
      <c r="J113" s="6">
        <f t="shared" si="38"/>
        <v>0</v>
      </c>
      <c r="K113" s="2"/>
      <c r="L113" s="7">
        <f t="shared" si="39"/>
        <v>2250</v>
      </c>
      <c r="M113" s="2"/>
      <c r="N113" s="6">
        <f t="shared" si="40"/>
        <v>0</v>
      </c>
      <c r="O113" s="11"/>
      <c r="P113" s="7">
        <v>7922.2</v>
      </c>
      <c r="Q113" s="2"/>
      <c r="R113" s="6">
        <f t="shared" si="41"/>
        <v>1.630621953158325E-2</v>
      </c>
      <c r="S113" s="2"/>
      <c r="T113" s="7">
        <v>4366.95</v>
      </c>
      <c r="U113" s="2"/>
      <c r="V113" s="6">
        <f t="shared" si="42"/>
        <v>7.8718981806351462E-3</v>
      </c>
      <c r="W113" s="2"/>
      <c r="X113" s="7">
        <f t="shared" si="43"/>
        <v>3555.25</v>
      </c>
      <c r="Y113" s="2"/>
      <c r="Z113" s="6">
        <f t="shared" si="44"/>
        <v>0.81412656430689612</v>
      </c>
    </row>
    <row r="114" spans="1:26" s="24" customFormat="1" hidden="1" outlineLevel="2" x14ac:dyDescent="0.25">
      <c r="A114" s="29"/>
      <c r="B114" s="11" t="str">
        <f>CONCATENATE("          ", "6254", " - ", "ROYALTY &amp; COMMISSIONS")</f>
        <v xml:space="preserve">          6254 - ROYALTY &amp; COMMISSIONS</v>
      </c>
      <c r="C114" s="11"/>
      <c r="D114" s="7"/>
      <c r="E114" s="2"/>
      <c r="F114" s="6">
        <f t="shared" si="37"/>
        <v>0</v>
      </c>
      <c r="G114" s="2"/>
      <c r="H114" s="7">
        <v>136.4</v>
      </c>
      <c r="I114" s="2"/>
      <c r="J114" s="6">
        <f t="shared" si="38"/>
        <v>4.227824834026106E-4</v>
      </c>
      <c r="K114" s="2"/>
      <c r="L114" s="7">
        <f t="shared" si="39"/>
        <v>-136.4</v>
      </c>
      <c r="M114" s="2"/>
      <c r="N114" s="6">
        <f t="shared" si="40"/>
        <v>-1</v>
      </c>
      <c r="O114" s="11"/>
      <c r="P114" s="7"/>
      <c r="Q114" s="2"/>
      <c r="R114" s="6">
        <f t="shared" si="41"/>
        <v>0</v>
      </c>
      <c r="S114" s="2"/>
      <c r="T114" s="7">
        <v>250.49</v>
      </c>
      <c r="U114" s="2"/>
      <c r="V114" s="6">
        <f t="shared" si="42"/>
        <v>4.5153523059968586E-4</v>
      </c>
      <c r="W114" s="2"/>
      <c r="X114" s="7">
        <f t="shared" si="43"/>
        <v>-250.49</v>
      </c>
      <c r="Y114" s="2"/>
      <c r="Z114" s="6">
        <f t="shared" si="44"/>
        <v>-1</v>
      </c>
    </row>
    <row r="115" spans="1:26" s="28" customFormat="1" outlineLevel="1" collapsed="1" x14ac:dyDescent="0.25">
      <c r="A115" s="27"/>
      <c r="B115" s="14" t="str">
        <f>CONCATENATE("     ","Services                                          ")</f>
        <v xml:space="preserve">     Services                                          </v>
      </c>
      <c r="C115" s="14"/>
      <c r="D115" s="1">
        <f>SUM(OSRRefD22_13x_0)</f>
        <v>81.84</v>
      </c>
      <c r="E115" s="1"/>
      <c r="F115" s="5">
        <f t="shared" ref="F115:F118" si="45">IF(D$12=0,0,D115/D$12)</f>
        <v>2.6310177055532421E-4</v>
      </c>
      <c r="G115" s="1"/>
      <c r="H115" s="1">
        <f>SUM(OSRRefH22_13x_0)</f>
        <v>241.37</v>
      </c>
      <c r="I115" s="1"/>
      <c r="J115" s="5">
        <f t="shared" ref="J115:J118" si="46">IF(H$12=0,0,H115/H$12)</f>
        <v>7.4814522007982489E-4</v>
      </c>
      <c r="K115" s="1"/>
      <c r="L115" s="1">
        <f t="shared" ref="L115:L118" si="47">+D115-H115</f>
        <v>-159.53</v>
      </c>
      <c r="M115" s="1"/>
      <c r="N115" s="5">
        <f t="shared" ref="N115:N118" si="48">IF(H115=0,0,L115/H115)</f>
        <v>-0.66093549322616729</v>
      </c>
      <c r="O115" s="14"/>
      <c r="P115" s="1">
        <f>SUM(OSRRefP22_13x_0)</f>
        <v>-251.60000000000002</v>
      </c>
      <c r="Q115" s="1"/>
      <c r="R115" s="5">
        <f t="shared" ref="R115:R118" si="49">IF(P$12=0,0,P115/P$12)</f>
        <v>-5.1786685947670418E-4</v>
      </c>
      <c r="S115" s="1"/>
      <c r="T115" s="1">
        <f>SUM(OSRRefT22_13x_0)</f>
        <v>482.74</v>
      </c>
      <c r="U115" s="1"/>
      <c r="V115" s="5">
        <f t="shared" ref="V115:V118" si="50">IF(T$12=0,0,T115/T$12)</f>
        <v>8.7019089472510809E-4</v>
      </c>
      <c r="W115" s="1"/>
      <c r="X115" s="1">
        <f t="shared" ref="X115:X118" si="51">+P115-T115</f>
        <v>-734.34</v>
      </c>
      <c r="Y115" s="1"/>
      <c r="Z115" s="5">
        <f t="shared" ref="Z115:Z118" si="52">IF(T115=0,0,X115/T115)</f>
        <v>-1.5211915316733646</v>
      </c>
    </row>
    <row r="116" spans="1:26" s="24" customFormat="1" hidden="1" outlineLevel="2" x14ac:dyDescent="0.25">
      <c r="A116" s="29"/>
      <c r="B116" s="11" t="str">
        <f>CONCATENATE("          ", "6283", " - ", "PLANT SERVICE")</f>
        <v xml:space="preserve">          6283 - PLANT SERVICE</v>
      </c>
      <c r="C116" s="11"/>
      <c r="D116" s="7"/>
      <c r="E116" s="2"/>
      <c r="F116" s="6">
        <f t="shared" si="45"/>
        <v>0</v>
      </c>
      <c r="G116" s="2"/>
      <c r="H116" s="7">
        <v>59.55</v>
      </c>
      <c r="I116" s="2"/>
      <c r="J116" s="6">
        <f t="shared" si="46"/>
        <v>1.8457988919813386E-4</v>
      </c>
      <c r="K116" s="2"/>
      <c r="L116" s="7">
        <f t="shared" si="47"/>
        <v>-59.55</v>
      </c>
      <c r="M116" s="2"/>
      <c r="N116" s="6">
        <f t="shared" si="48"/>
        <v>-1</v>
      </c>
      <c r="O116" s="11"/>
      <c r="P116" s="7"/>
      <c r="Q116" s="2"/>
      <c r="R116" s="6">
        <f t="shared" si="49"/>
        <v>0</v>
      </c>
      <c r="S116" s="2"/>
      <c r="T116" s="7">
        <v>119.1</v>
      </c>
      <c r="U116" s="2"/>
      <c r="V116" s="6">
        <f t="shared" si="50"/>
        <v>2.1469059030070094E-4</v>
      </c>
      <c r="W116" s="2"/>
      <c r="X116" s="7">
        <f t="shared" si="51"/>
        <v>-119.1</v>
      </c>
      <c r="Y116" s="2"/>
      <c r="Z116" s="6">
        <f t="shared" si="52"/>
        <v>-1</v>
      </c>
    </row>
    <row r="117" spans="1:26" s="24" customFormat="1" hidden="1" outlineLevel="2" x14ac:dyDescent="0.25">
      <c r="A117" s="29"/>
      <c r="B117" s="11" t="str">
        <f>CONCATENATE("          ", "6284", " - ", "TRASH REMOVAL EXPENSE")</f>
        <v xml:space="preserve">          6284 - TRASH REMOVAL EXPENSE</v>
      </c>
      <c r="C117" s="11"/>
      <c r="D117" s="7">
        <v>142.57</v>
      </c>
      <c r="E117" s="2"/>
      <c r="F117" s="6">
        <f t="shared" si="45"/>
        <v>4.5833845830978214E-4</v>
      </c>
      <c r="G117" s="2"/>
      <c r="H117" s="7">
        <v>134.82</v>
      </c>
      <c r="I117" s="2"/>
      <c r="J117" s="6">
        <f t="shared" si="46"/>
        <v>4.178851496505862E-4</v>
      </c>
      <c r="K117" s="2"/>
      <c r="L117" s="7">
        <f t="shared" si="47"/>
        <v>7.75</v>
      </c>
      <c r="M117" s="2"/>
      <c r="N117" s="6">
        <f t="shared" si="48"/>
        <v>5.7484052811155616E-2</v>
      </c>
      <c r="O117" s="11"/>
      <c r="P117" s="7">
        <v>285.14</v>
      </c>
      <c r="Q117" s="2"/>
      <c r="R117" s="6">
        <f t="shared" si="49"/>
        <v>5.8690205211123778E-4</v>
      </c>
      <c r="S117" s="2"/>
      <c r="T117" s="7">
        <v>269.64</v>
      </c>
      <c r="U117" s="2"/>
      <c r="V117" s="6">
        <f t="shared" si="50"/>
        <v>4.8605517018204033E-4</v>
      </c>
      <c r="W117" s="2"/>
      <c r="X117" s="7">
        <f t="shared" si="51"/>
        <v>15.5</v>
      </c>
      <c r="Y117" s="2"/>
      <c r="Z117" s="6">
        <f t="shared" si="52"/>
        <v>5.7484052811155616E-2</v>
      </c>
    </row>
    <row r="118" spans="1:26" s="24" customFormat="1" hidden="1" outlineLevel="2" x14ac:dyDescent="0.25">
      <c r="A118" s="29"/>
      <c r="B118" s="11" t="str">
        <f>CONCATENATE("          ", "6285", " - ", "JANITORIAL SERVICES")</f>
        <v xml:space="preserve">          6285 - JANITORIAL SERVICES</v>
      </c>
      <c r="C118" s="11"/>
      <c r="D118" s="7">
        <v>-60.73</v>
      </c>
      <c r="E118" s="2"/>
      <c r="F118" s="6">
        <f t="shared" si="45"/>
        <v>-1.9523668775445793E-4</v>
      </c>
      <c r="G118" s="2"/>
      <c r="H118" s="7">
        <v>47</v>
      </c>
      <c r="I118" s="2"/>
      <c r="J118" s="6">
        <f t="shared" si="46"/>
        <v>1.456801812311048E-4</v>
      </c>
      <c r="K118" s="2"/>
      <c r="L118" s="7">
        <f t="shared" si="47"/>
        <v>-107.72999999999999</v>
      </c>
      <c r="M118" s="2"/>
      <c r="N118" s="6">
        <f t="shared" si="48"/>
        <v>-2.2921276595744677</v>
      </c>
      <c r="O118" s="11"/>
      <c r="P118" s="7">
        <v>-536.74</v>
      </c>
      <c r="Q118" s="2"/>
      <c r="R118" s="6">
        <f t="shared" si="49"/>
        <v>-1.104768911587942E-3</v>
      </c>
      <c r="S118" s="2"/>
      <c r="T118" s="7">
        <v>94</v>
      </c>
      <c r="U118" s="2"/>
      <c r="V118" s="6">
        <f t="shared" si="50"/>
        <v>1.6944513424236684E-4</v>
      </c>
      <c r="W118" s="2"/>
      <c r="X118" s="7">
        <f t="shared" si="51"/>
        <v>-630.74</v>
      </c>
      <c r="Y118" s="2"/>
      <c r="Z118" s="6">
        <f t="shared" si="52"/>
        <v>-6.71</v>
      </c>
    </row>
    <row r="119" spans="1:26" s="28" customFormat="1" outlineLevel="1" collapsed="1" x14ac:dyDescent="0.25">
      <c r="A119" s="27"/>
      <c r="B119" s="14" t="str">
        <f>CONCATENATE("     ","Subscriptions &amp; Dues                              ")</f>
        <v xml:space="preserve">     Subscriptions &amp; Dues                              </v>
      </c>
      <c r="C119" s="14"/>
      <c r="D119" s="1">
        <f>SUM(OSRRefD22_14x_0)</f>
        <v>0</v>
      </c>
      <c r="E119" s="1"/>
      <c r="F119" s="5">
        <f t="shared" ref="F119:F126" si="53">IF(D$12=0,0,D119/D$12)</f>
        <v>0</v>
      </c>
      <c r="G119" s="1"/>
      <c r="H119" s="1">
        <f>SUM(OSRRefH22_14x_0)</f>
        <v>0</v>
      </c>
      <c r="I119" s="1"/>
      <c r="J119" s="5">
        <f t="shared" ref="J119:J126" si="54">IF(H$12=0,0,H119/H$12)</f>
        <v>0</v>
      </c>
      <c r="K119" s="1"/>
      <c r="L119" s="1">
        <f t="shared" ref="L119:L126" si="55">+D119-H119</f>
        <v>0</v>
      </c>
      <c r="M119" s="1"/>
      <c r="N119" s="5">
        <f t="shared" ref="N119:N126" si="56">IF(H119=0,0,L119/H119)</f>
        <v>0</v>
      </c>
      <c r="O119" s="14"/>
      <c r="P119" s="1">
        <f>SUM(OSRRefP22_14x_0)</f>
        <v>75</v>
      </c>
      <c r="Q119" s="1"/>
      <c r="R119" s="5">
        <f t="shared" ref="R119:R126" si="57">IF(P$12=0,0,P119/P$12)</f>
        <v>1.5437207655307159E-4</v>
      </c>
      <c r="S119" s="1"/>
      <c r="T119" s="1">
        <f>SUM(OSRRefT22_14x_0)</f>
        <v>13.42</v>
      </c>
      <c r="U119" s="1"/>
      <c r="V119" s="5">
        <f t="shared" ref="V119:V126" si="58">IF(T$12=0,0,T119/T$12)</f>
        <v>2.4190996824814499E-5</v>
      </c>
      <c r="W119" s="1"/>
      <c r="X119" s="1">
        <f t="shared" ref="X119:X126" si="59">+P119-T119</f>
        <v>61.58</v>
      </c>
      <c r="Y119" s="1"/>
      <c r="Z119" s="5">
        <f t="shared" ref="Z119:Z126" si="60">IF(T119=0,0,X119/T119)</f>
        <v>4.5886736214605062</v>
      </c>
    </row>
    <row r="120" spans="1:26" s="24" customFormat="1" hidden="1" outlineLevel="2" x14ac:dyDescent="0.25">
      <c r="A120" s="29"/>
      <c r="B120" s="11" t="str">
        <f>CONCATENATE("          ", "6275", " - ", "SUBSCRIPTIONS")</f>
        <v xml:space="preserve">          6275 - SUBSCRIPTIONS</v>
      </c>
      <c r="C120" s="11"/>
      <c r="D120" s="7"/>
      <c r="E120" s="2"/>
      <c r="F120" s="6">
        <f t="shared" si="53"/>
        <v>0</v>
      </c>
      <c r="G120" s="2"/>
      <c r="H120" s="7"/>
      <c r="I120" s="2"/>
      <c r="J120" s="6">
        <f t="shared" si="54"/>
        <v>0</v>
      </c>
      <c r="K120" s="2"/>
      <c r="L120" s="7">
        <f t="shared" si="55"/>
        <v>0</v>
      </c>
      <c r="M120" s="2"/>
      <c r="N120" s="6">
        <f t="shared" si="56"/>
        <v>0</v>
      </c>
      <c r="O120" s="11"/>
      <c r="P120" s="7">
        <v>75</v>
      </c>
      <c r="Q120" s="2"/>
      <c r="R120" s="6">
        <f t="shared" si="57"/>
        <v>1.5437207655307159E-4</v>
      </c>
      <c r="S120" s="2"/>
      <c r="T120" s="7">
        <v>13.42</v>
      </c>
      <c r="U120" s="2"/>
      <c r="V120" s="6">
        <f t="shared" si="58"/>
        <v>2.4190996824814499E-5</v>
      </c>
      <c r="W120" s="2"/>
      <c r="X120" s="7">
        <f t="shared" si="59"/>
        <v>61.58</v>
      </c>
      <c r="Y120" s="2"/>
      <c r="Z120" s="6">
        <f t="shared" si="60"/>
        <v>4.5886736214605062</v>
      </c>
    </row>
    <row r="121" spans="1:26" s="28" customFormat="1" outlineLevel="1" collapsed="1" x14ac:dyDescent="0.25">
      <c r="A121" s="27"/>
      <c r="B121" s="14" t="str">
        <f>CONCATENATE("     ","Supplies                                          ")</f>
        <v xml:space="preserve">     Supplies                                          </v>
      </c>
      <c r="C121" s="14"/>
      <c r="D121" s="1">
        <f>SUM(OSRRefD22_15x_0)</f>
        <v>63.11</v>
      </c>
      <c r="E121" s="1"/>
      <c r="F121" s="5">
        <f t="shared" si="53"/>
        <v>2.028879855785253E-4</v>
      </c>
      <c r="G121" s="1"/>
      <c r="H121" s="1">
        <f>SUM(OSRRefH22_15x_0)</f>
        <v>320.75</v>
      </c>
      <c r="I121" s="1"/>
      <c r="J121" s="5">
        <f t="shared" si="54"/>
        <v>9.9418974744418871E-4</v>
      </c>
      <c r="K121" s="1"/>
      <c r="L121" s="1">
        <f t="shared" si="55"/>
        <v>-257.64</v>
      </c>
      <c r="M121" s="1"/>
      <c r="N121" s="5">
        <f t="shared" si="56"/>
        <v>-0.80324240062353858</v>
      </c>
      <c r="O121" s="14"/>
      <c r="P121" s="1">
        <f>SUM(OSRRefP22_15x_0)</f>
        <v>1212.18</v>
      </c>
      <c r="Q121" s="1"/>
      <c r="R121" s="5">
        <f t="shared" si="57"/>
        <v>2.4950232500813643E-3</v>
      </c>
      <c r="S121" s="1"/>
      <c r="T121" s="1">
        <f>SUM(OSRRefT22_15x_0)</f>
        <v>1855.08</v>
      </c>
      <c r="U121" s="1"/>
      <c r="V121" s="5">
        <f t="shared" si="58"/>
        <v>3.3439816981949986E-3</v>
      </c>
      <c r="W121" s="1"/>
      <c r="X121" s="1">
        <f t="shared" si="59"/>
        <v>-642.89999999999986</v>
      </c>
      <c r="Y121" s="1"/>
      <c r="Z121" s="5">
        <f t="shared" si="60"/>
        <v>-0.34656187334238947</v>
      </c>
    </row>
    <row r="122" spans="1:26" s="24" customFormat="1" hidden="1" outlineLevel="2" x14ac:dyDescent="0.25">
      <c r="A122" s="29"/>
      <c r="B122" s="11" t="str">
        <f>CONCATENATE("          ", "6234", " - ", "EXPENDABLE SUPPLIES &amp; EQUIPMEN")</f>
        <v xml:space="preserve">          6234 - EXPENDABLE SUPPLIES &amp; EQUIPMEN</v>
      </c>
      <c r="C122" s="11"/>
      <c r="D122" s="7"/>
      <c r="E122" s="2"/>
      <c r="F122" s="6">
        <f t="shared" si="53"/>
        <v>0</v>
      </c>
      <c r="G122" s="2"/>
      <c r="H122" s="7"/>
      <c r="I122" s="2"/>
      <c r="J122" s="6">
        <f t="shared" si="54"/>
        <v>0</v>
      </c>
      <c r="K122" s="2"/>
      <c r="L122" s="7">
        <f t="shared" si="55"/>
        <v>0</v>
      </c>
      <c r="M122" s="2"/>
      <c r="N122" s="6">
        <f t="shared" si="56"/>
        <v>0</v>
      </c>
      <c r="O122" s="11"/>
      <c r="P122" s="7"/>
      <c r="Q122" s="2"/>
      <c r="R122" s="6">
        <f t="shared" si="57"/>
        <v>0</v>
      </c>
      <c r="S122" s="2"/>
      <c r="T122" s="7">
        <v>-15.95</v>
      </c>
      <c r="U122" s="2"/>
      <c r="V122" s="6">
        <f t="shared" si="58"/>
        <v>-2.8751594586869689E-5</v>
      </c>
      <c r="W122" s="2"/>
      <c r="X122" s="7">
        <f t="shared" si="59"/>
        <v>15.95</v>
      </c>
      <c r="Y122" s="2"/>
      <c r="Z122" s="6">
        <f t="shared" si="60"/>
        <v>-1</v>
      </c>
    </row>
    <row r="123" spans="1:26" s="24" customFormat="1" hidden="1" outlineLevel="2" x14ac:dyDescent="0.25">
      <c r="A123" s="29"/>
      <c r="B123" s="11" t="str">
        <f>CONCATENATE("          ", "6235", " - ", "COVID-19 EXPENSES")</f>
        <v xml:space="preserve">          6235 - COVID-19 EXPENSES</v>
      </c>
      <c r="C123" s="11"/>
      <c r="D123" s="7"/>
      <c r="E123" s="2"/>
      <c r="F123" s="6">
        <f t="shared" si="53"/>
        <v>0</v>
      </c>
      <c r="G123" s="2"/>
      <c r="H123" s="7"/>
      <c r="I123" s="2"/>
      <c r="J123" s="6">
        <f t="shared" si="54"/>
        <v>0</v>
      </c>
      <c r="K123" s="2"/>
      <c r="L123" s="7">
        <f t="shared" si="55"/>
        <v>0</v>
      </c>
      <c r="M123" s="2"/>
      <c r="N123" s="6">
        <f t="shared" si="56"/>
        <v>0</v>
      </c>
      <c r="O123" s="11"/>
      <c r="P123" s="7">
        <v>961.38</v>
      </c>
      <c r="Q123" s="2"/>
      <c r="R123" s="6">
        <f t="shared" si="57"/>
        <v>1.978803026087893E-3</v>
      </c>
      <c r="S123" s="2"/>
      <c r="T123" s="7"/>
      <c r="U123" s="2"/>
      <c r="V123" s="6">
        <f t="shared" si="58"/>
        <v>0</v>
      </c>
      <c r="W123" s="2"/>
      <c r="X123" s="7">
        <f t="shared" si="59"/>
        <v>961.38</v>
      </c>
      <c r="Y123" s="2"/>
      <c r="Z123" s="6">
        <f t="shared" si="60"/>
        <v>0</v>
      </c>
    </row>
    <row r="124" spans="1:26" s="24" customFormat="1" hidden="1" outlineLevel="2" x14ac:dyDescent="0.25">
      <c r="A124" s="29"/>
      <c r="B124" s="11" t="str">
        <f>CONCATENATE("          ", "6237", " - ", "JANITORIAL SUPPLIES")</f>
        <v xml:space="preserve">          6237 - JANITORIAL SUPPLIES</v>
      </c>
      <c r="C124" s="11"/>
      <c r="D124" s="7"/>
      <c r="E124" s="2"/>
      <c r="F124" s="6">
        <f t="shared" si="53"/>
        <v>0</v>
      </c>
      <c r="G124" s="2"/>
      <c r="H124" s="7"/>
      <c r="I124" s="2"/>
      <c r="J124" s="6">
        <f t="shared" si="54"/>
        <v>0</v>
      </c>
      <c r="K124" s="2"/>
      <c r="L124" s="7">
        <f t="shared" si="55"/>
        <v>0</v>
      </c>
      <c r="M124" s="2"/>
      <c r="N124" s="6">
        <f t="shared" si="56"/>
        <v>0</v>
      </c>
      <c r="O124" s="11"/>
      <c r="P124" s="7">
        <v>139.31</v>
      </c>
      <c r="Q124" s="2"/>
      <c r="R124" s="6">
        <f t="shared" si="57"/>
        <v>2.8674098646144536E-4</v>
      </c>
      <c r="S124" s="2"/>
      <c r="T124" s="7"/>
      <c r="U124" s="2"/>
      <c r="V124" s="6">
        <f t="shared" si="58"/>
        <v>0</v>
      </c>
      <c r="W124" s="2"/>
      <c r="X124" s="7">
        <f t="shared" si="59"/>
        <v>139.31</v>
      </c>
      <c r="Y124" s="2"/>
      <c r="Z124" s="6">
        <f t="shared" si="60"/>
        <v>0</v>
      </c>
    </row>
    <row r="125" spans="1:26" s="24" customFormat="1" hidden="1" outlineLevel="2" x14ac:dyDescent="0.25">
      <c r="A125" s="29"/>
      <c r="B125" s="11" t="str">
        <f>CONCATENATE("          ", "6241", " - ", "OFFICE EXPENSE")</f>
        <v xml:space="preserve">          6241 - OFFICE EXPENSE</v>
      </c>
      <c r="C125" s="11"/>
      <c r="D125" s="7">
        <v>63.11</v>
      </c>
      <c r="E125" s="2"/>
      <c r="F125" s="6">
        <f t="shared" si="53"/>
        <v>2.028879855785253E-4</v>
      </c>
      <c r="G125" s="2"/>
      <c r="H125" s="7">
        <v>293.76</v>
      </c>
      <c r="I125" s="2"/>
      <c r="J125" s="6">
        <f t="shared" si="54"/>
        <v>9.1053212847764576E-4</v>
      </c>
      <c r="K125" s="2"/>
      <c r="L125" s="7">
        <f t="shared" si="55"/>
        <v>-230.64999999999998</v>
      </c>
      <c r="M125" s="2"/>
      <c r="N125" s="6">
        <f t="shared" si="56"/>
        <v>-0.78516476034858385</v>
      </c>
      <c r="O125" s="11"/>
      <c r="P125" s="7">
        <v>111.49</v>
      </c>
      <c r="Q125" s="2"/>
      <c r="R125" s="6">
        <f t="shared" si="57"/>
        <v>2.2947923753202599E-4</v>
      </c>
      <c r="S125" s="2"/>
      <c r="T125" s="7">
        <v>1844.04</v>
      </c>
      <c r="U125" s="2"/>
      <c r="V125" s="6">
        <f t="shared" si="58"/>
        <v>3.3240809079605757E-3</v>
      </c>
      <c r="W125" s="2"/>
      <c r="X125" s="7">
        <f t="shared" si="59"/>
        <v>-1732.55</v>
      </c>
      <c r="Y125" s="2"/>
      <c r="Z125" s="6">
        <f t="shared" si="60"/>
        <v>-0.93954035704214656</v>
      </c>
    </row>
    <row r="126" spans="1:26" s="24" customFormat="1" hidden="1" outlineLevel="2" x14ac:dyDescent="0.25">
      <c r="A126" s="29"/>
      <c r="B126" s="11" t="str">
        <f>CONCATENATE("          ", "6247", " - ", "STORE SUPPLIES")</f>
        <v xml:space="preserve">          6247 - STORE SUPPLIES</v>
      </c>
      <c r="C126" s="11"/>
      <c r="D126" s="7"/>
      <c r="E126" s="2"/>
      <c r="F126" s="6">
        <f t="shared" si="53"/>
        <v>0</v>
      </c>
      <c r="G126" s="2"/>
      <c r="H126" s="7">
        <v>26.99</v>
      </c>
      <c r="I126" s="2"/>
      <c r="J126" s="6">
        <f t="shared" si="54"/>
        <v>8.3657618966542953E-5</v>
      </c>
      <c r="K126" s="2"/>
      <c r="L126" s="7">
        <f t="shared" si="55"/>
        <v>-26.99</v>
      </c>
      <c r="M126" s="2"/>
      <c r="N126" s="6">
        <f t="shared" si="56"/>
        <v>-1</v>
      </c>
      <c r="O126" s="11"/>
      <c r="P126" s="7"/>
      <c r="Q126" s="2"/>
      <c r="R126" s="6">
        <f t="shared" si="57"/>
        <v>0</v>
      </c>
      <c r="S126" s="2"/>
      <c r="T126" s="7">
        <v>26.99</v>
      </c>
      <c r="U126" s="2"/>
      <c r="V126" s="6">
        <f t="shared" si="58"/>
        <v>4.8652384821292346E-5</v>
      </c>
      <c r="W126" s="2"/>
      <c r="X126" s="7">
        <f t="shared" si="59"/>
        <v>-26.99</v>
      </c>
      <c r="Y126" s="2"/>
      <c r="Z126" s="6">
        <f t="shared" si="60"/>
        <v>-1</v>
      </c>
    </row>
    <row r="127" spans="1:26" s="28" customFormat="1" outlineLevel="1" collapsed="1" x14ac:dyDescent="0.25">
      <c r="A127" s="27"/>
      <c r="B127" s="14" t="str">
        <f>CONCATENATE("     ","Telephone/Data Lines                              ")</f>
        <v xml:space="preserve">     Telephone/Data Lines                              </v>
      </c>
      <c r="C127" s="14"/>
      <c r="D127" s="1">
        <f>SUM(OSRRefD22_16x_0)</f>
        <v>763.04</v>
      </c>
      <c r="E127" s="1"/>
      <c r="F127" s="5">
        <f t="shared" ref="F127:F134" si="61">IF(D$12=0,0,D127/D$12)</f>
        <v>2.4530446603682134E-3</v>
      </c>
      <c r="G127" s="1"/>
      <c r="H127" s="1">
        <f>SUM(OSRRefH22_16x_0)</f>
        <v>842.54</v>
      </c>
      <c r="I127" s="1"/>
      <c r="J127" s="5">
        <f t="shared" ref="J127:J134" si="62">IF(H$12=0,0,H127/H$12)</f>
        <v>2.6115187211586182E-3</v>
      </c>
      <c r="K127" s="1"/>
      <c r="L127" s="1">
        <f t="shared" ref="L127:L134" si="63">+D127-H127</f>
        <v>-79.5</v>
      </c>
      <c r="M127" s="1"/>
      <c r="N127" s="5">
        <f t="shared" ref="N127:N134" si="64">IF(H127=0,0,L127/H127)</f>
        <v>-9.4357537921048257E-2</v>
      </c>
      <c r="O127" s="14"/>
      <c r="P127" s="1">
        <f>SUM(OSRRefP22_16x_0)</f>
        <v>1555.58</v>
      </c>
      <c r="Q127" s="1"/>
      <c r="R127" s="5">
        <f t="shared" ref="R127:R134" si="65">IF(P$12=0,0,P127/P$12)</f>
        <v>3.2018415312590276E-3</v>
      </c>
      <c r="S127" s="1"/>
      <c r="T127" s="1">
        <f>SUM(OSRRefT22_16x_0)</f>
        <v>1360.45</v>
      </c>
      <c r="U127" s="1"/>
      <c r="V127" s="5">
        <f t="shared" ref="V127:V134" si="66">IF(T$12=0,0,T127/T$12)</f>
        <v>2.4523577965960422E-3</v>
      </c>
      <c r="W127" s="1"/>
      <c r="X127" s="1">
        <f t="shared" ref="X127:X134" si="67">+P127-T127</f>
        <v>195.12999999999988</v>
      </c>
      <c r="Y127" s="1"/>
      <c r="Z127" s="5">
        <f t="shared" ref="Z127:Z134" si="68">IF(T127=0,0,X127/T127)</f>
        <v>0.14343048256091726</v>
      </c>
    </row>
    <row r="128" spans="1:26" s="24" customFormat="1" hidden="1" outlineLevel="2" x14ac:dyDescent="0.25">
      <c r="A128" s="29"/>
      <c r="B128" s="11" t="str">
        <f>CONCATENATE("          ", "6309", " - ", "TELEPHONE")</f>
        <v xml:space="preserve">          6309 - TELEPHONE</v>
      </c>
      <c r="C128" s="11"/>
      <c r="D128" s="7">
        <v>763.04</v>
      </c>
      <c r="E128" s="2"/>
      <c r="F128" s="6">
        <f t="shared" si="61"/>
        <v>2.4530446603682134E-3</v>
      </c>
      <c r="G128" s="2"/>
      <c r="H128" s="7">
        <v>842.54</v>
      </c>
      <c r="I128" s="2"/>
      <c r="J128" s="6">
        <f t="shared" si="62"/>
        <v>2.6115187211586182E-3</v>
      </c>
      <c r="K128" s="2"/>
      <c r="L128" s="7">
        <f t="shared" si="63"/>
        <v>-79.5</v>
      </c>
      <c r="M128" s="2"/>
      <c r="N128" s="6">
        <f t="shared" si="64"/>
        <v>-9.4357537921048257E-2</v>
      </c>
      <c r="O128" s="11"/>
      <c r="P128" s="7">
        <v>1555.58</v>
      </c>
      <c r="Q128" s="2"/>
      <c r="R128" s="6">
        <f t="shared" si="65"/>
        <v>3.2018415312590276E-3</v>
      </c>
      <c r="S128" s="2"/>
      <c r="T128" s="7">
        <v>1360.45</v>
      </c>
      <c r="U128" s="2"/>
      <c r="V128" s="6">
        <f t="shared" si="66"/>
        <v>2.4523577965960422E-3</v>
      </c>
      <c r="W128" s="2"/>
      <c r="X128" s="7">
        <f t="shared" si="67"/>
        <v>195.12999999999988</v>
      </c>
      <c r="Y128" s="2"/>
      <c r="Z128" s="6">
        <f t="shared" si="68"/>
        <v>0.14343048256091726</v>
      </c>
    </row>
    <row r="129" spans="1:26" s="28" customFormat="1" outlineLevel="1" collapsed="1" x14ac:dyDescent="0.25">
      <c r="A129" s="27"/>
      <c r="B129" s="14" t="str">
        <f>CONCATENATE("     ","Training                                          ")</f>
        <v xml:space="preserve">     Training                                          </v>
      </c>
      <c r="C129" s="14"/>
      <c r="D129" s="1">
        <f>SUM(OSRRefD22_17x_0)</f>
        <v>0</v>
      </c>
      <c r="E129" s="1"/>
      <c r="F129" s="5">
        <f t="shared" si="61"/>
        <v>0</v>
      </c>
      <c r="G129" s="1"/>
      <c r="H129" s="1">
        <f>SUM(OSRRefH22_17x_0)</f>
        <v>0</v>
      </c>
      <c r="I129" s="1"/>
      <c r="J129" s="5">
        <f t="shared" si="62"/>
        <v>0</v>
      </c>
      <c r="K129" s="1"/>
      <c r="L129" s="1">
        <f t="shared" si="63"/>
        <v>0</v>
      </c>
      <c r="M129" s="1"/>
      <c r="N129" s="5">
        <f t="shared" si="64"/>
        <v>0</v>
      </c>
      <c r="O129" s="14"/>
      <c r="P129" s="1">
        <f>SUM(OSRRefP22_17x_0)</f>
        <v>0</v>
      </c>
      <c r="Q129" s="1"/>
      <c r="R129" s="5">
        <f t="shared" si="65"/>
        <v>0</v>
      </c>
      <c r="S129" s="1"/>
      <c r="T129" s="1">
        <f>SUM(OSRRefT22_17x_0)</f>
        <v>103.5</v>
      </c>
      <c r="U129" s="1"/>
      <c r="V129" s="5">
        <f t="shared" si="66"/>
        <v>1.8656990844771241E-4</v>
      </c>
      <c r="W129" s="1"/>
      <c r="X129" s="1">
        <f t="shared" si="67"/>
        <v>-103.5</v>
      </c>
      <c r="Y129" s="1"/>
      <c r="Z129" s="5">
        <f t="shared" si="68"/>
        <v>-1</v>
      </c>
    </row>
    <row r="130" spans="1:26" s="24" customFormat="1" hidden="1" outlineLevel="2" x14ac:dyDescent="0.25">
      <c r="A130" s="29"/>
      <c r="B130" s="11" t="str">
        <f>CONCATENATE("          ", "6376", " - ", "TRAINING")</f>
        <v xml:space="preserve">          6376 - TRAINING</v>
      </c>
      <c r="C130" s="11"/>
      <c r="D130" s="7"/>
      <c r="E130" s="2"/>
      <c r="F130" s="6">
        <f t="shared" si="61"/>
        <v>0</v>
      </c>
      <c r="G130" s="2"/>
      <c r="H130" s="7"/>
      <c r="I130" s="2"/>
      <c r="J130" s="6">
        <f t="shared" si="62"/>
        <v>0</v>
      </c>
      <c r="K130" s="2"/>
      <c r="L130" s="7">
        <f t="shared" si="63"/>
        <v>0</v>
      </c>
      <c r="M130" s="2"/>
      <c r="N130" s="6">
        <f t="shared" si="64"/>
        <v>0</v>
      </c>
      <c r="O130" s="11"/>
      <c r="P130" s="7"/>
      <c r="Q130" s="2"/>
      <c r="R130" s="6">
        <f t="shared" si="65"/>
        <v>0</v>
      </c>
      <c r="S130" s="2"/>
      <c r="T130" s="7">
        <v>103.5</v>
      </c>
      <c r="U130" s="2"/>
      <c r="V130" s="6">
        <f t="shared" si="66"/>
        <v>1.8656990844771241E-4</v>
      </c>
      <c r="W130" s="2"/>
      <c r="X130" s="7">
        <f t="shared" si="67"/>
        <v>-103.5</v>
      </c>
      <c r="Y130" s="2"/>
      <c r="Z130" s="6">
        <f t="shared" si="68"/>
        <v>-1</v>
      </c>
    </row>
    <row r="131" spans="1:26" s="28" customFormat="1" outlineLevel="1" collapsed="1" x14ac:dyDescent="0.25">
      <c r="A131" s="27"/>
      <c r="B131" s="14" t="str">
        <f>CONCATENATE("     ","Travel                                            ")</f>
        <v xml:space="preserve">     Travel                                            </v>
      </c>
      <c r="C131" s="14"/>
      <c r="D131" s="1">
        <f>SUM(OSRRefD22_18x_0)</f>
        <v>25.76</v>
      </c>
      <c r="E131" s="1"/>
      <c r="F131" s="5">
        <f t="shared" si="61"/>
        <v>8.2814047036964218E-5</v>
      </c>
      <c r="G131" s="1"/>
      <c r="H131" s="1">
        <f>SUM(OSRRefH22_18x_0)</f>
        <v>68.67</v>
      </c>
      <c r="I131" s="1"/>
      <c r="J131" s="5">
        <f t="shared" si="62"/>
        <v>2.1284804351361634E-4</v>
      </c>
      <c r="K131" s="1"/>
      <c r="L131" s="1">
        <f t="shared" si="63"/>
        <v>-42.91</v>
      </c>
      <c r="M131" s="1"/>
      <c r="N131" s="5">
        <f t="shared" si="64"/>
        <v>-0.62487257900101933</v>
      </c>
      <c r="O131" s="14"/>
      <c r="P131" s="1">
        <f>SUM(OSRRefP22_18x_0)</f>
        <v>240.92</v>
      </c>
      <c r="Q131" s="1"/>
      <c r="R131" s="5">
        <f t="shared" si="65"/>
        <v>4.9588427577554675E-4</v>
      </c>
      <c r="S131" s="1"/>
      <c r="T131" s="1">
        <f>SUM(OSRRefT22_18x_0)</f>
        <v>68.67</v>
      </c>
      <c r="U131" s="1"/>
      <c r="V131" s="5">
        <f t="shared" si="66"/>
        <v>1.2378507838748225E-4</v>
      </c>
      <c r="W131" s="1"/>
      <c r="X131" s="1">
        <f t="shared" si="67"/>
        <v>172.25</v>
      </c>
      <c r="Y131" s="1"/>
      <c r="Z131" s="5">
        <f t="shared" si="68"/>
        <v>2.5083733799330128</v>
      </c>
    </row>
    <row r="132" spans="1:26" s="24" customFormat="1" hidden="1" outlineLevel="2" x14ac:dyDescent="0.25">
      <c r="A132" s="29"/>
      <c r="B132" s="11" t="str">
        <f>CONCATENATE("          ", "6294", " - ", "TRAVEL OPERATIONAL")</f>
        <v xml:space="preserve">          6294 - TRAVEL OPERATIONAL</v>
      </c>
      <c r="C132" s="11"/>
      <c r="D132" s="7">
        <v>25.76</v>
      </c>
      <c r="E132" s="2"/>
      <c r="F132" s="6">
        <f t="shared" si="61"/>
        <v>8.2814047036964218E-5</v>
      </c>
      <c r="G132" s="2"/>
      <c r="H132" s="7">
        <v>68.67</v>
      </c>
      <c r="I132" s="2"/>
      <c r="J132" s="6">
        <f t="shared" si="62"/>
        <v>2.1284804351361634E-4</v>
      </c>
      <c r="K132" s="2"/>
      <c r="L132" s="7">
        <f t="shared" si="63"/>
        <v>-42.91</v>
      </c>
      <c r="M132" s="2"/>
      <c r="N132" s="6">
        <f t="shared" si="64"/>
        <v>-0.62487257900101933</v>
      </c>
      <c r="O132" s="11"/>
      <c r="P132" s="7">
        <v>240.92</v>
      </c>
      <c r="Q132" s="2"/>
      <c r="R132" s="6">
        <f t="shared" si="65"/>
        <v>4.9588427577554675E-4</v>
      </c>
      <c r="S132" s="2"/>
      <c r="T132" s="7">
        <v>68.67</v>
      </c>
      <c r="U132" s="2"/>
      <c r="V132" s="6">
        <f t="shared" si="66"/>
        <v>1.2378507838748225E-4</v>
      </c>
      <c r="W132" s="2"/>
      <c r="X132" s="7">
        <f t="shared" si="67"/>
        <v>172.25</v>
      </c>
      <c r="Y132" s="2"/>
      <c r="Z132" s="6">
        <f t="shared" si="68"/>
        <v>2.5083733799330128</v>
      </c>
    </row>
    <row r="133" spans="1:26" s="28" customFormat="1" outlineLevel="1" collapsed="1" x14ac:dyDescent="0.25">
      <c r="A133" s="27"/>
      <c r="B133" s="14" t="str">
        <f>CONCATENATE("     ","Utilities                                         ")</f>
        <v xml:space="preserve">     Utilities                                         </v>
      </c>
      <c r="C133" s="14"/>
      <c r="D133" s="1">
        <f>SUM(OSRRefD22_19x_0)</f>
        <v>11.89</v>
      </c>
      <c r="E133" s="1"/>
      <c r="F133" s="5">
        <f t="shared" si="61"/>
        <v>3.8224340810151576E-5</v>
      </c>
      <c r="G133" s="1"/>
      <c r="H133" s="1">
        <f>SUM(OSRRefH22_19x_0)</f>
        <v>53.78</v>
      </c>
      <c r="I133" s="1"/>
      <c r="J133" s="5">
        <f t="shared" si="62"/>
        <v>1.6669532226827271E-4</v>
      </c>
      <c r="K133" s="1"/>
      <c r="L133" s="1">
        <f t="shared" si="63"/>
        <v>-41.89</v>
      </c>
      <c r="M133" s="1"/>
      <c r="N133" s="5">
        <f t="shared" si="64"/>
        <v>-0.77891409445890669</v>
      </c>
      <c r="O133" s="14"/>
      <c r="P133" s="1">
        <f>SUM(OSRRefP22_19x_0)</f>
        <v>40.35</v>
      </c>
      <c r="Q133" s="1"/>
      <c r="R133" s="5">
        <f t="shared" si="65"/>
        <v>8.3052177185552516E-5</v>
      </c>
      <c r="S133" s="1"/>
      <c r="T133" s="1">
        <f>SUM(OSRRefT22_19x_0)</f>
        <v>96.78</v>
      </c>
      <c r="U133" s="1"/>
      <c r="V133" s="5">
        <f t="shared" si="66"/>
        <v>1.7445638395719427E-4</v>
      </c>
      <c r="W133" s="1"/>
      <c r="X133" s="1">
        <f t="shared" si="67"/>
        <v>-56.43</v>
      </c>
      <c r="Y133" s="1"/>
      <c r="Z133" s="5">
        <f t="shared" si="68"/>
        <v>-0.58307501549907004</v>
      </c>
    </row>
    <row r="134" spans="1:26" s="24" customFormat="1" hidden="1" outlineLevel="2" x14ac:dyDescent="0.25">
      <c r="A134" s="29"/>
      <c r="B134" s="11" t="str">
        <f>CONCATENATE("          ", "6274", " - ", "UTILITIES")</f>
        <v xml:space="preserve">          6274 - UTILITIES</v>
      </c>
      <c r="C134" s="11"/>
      <c r="D134" s="7">
        <v>11.89</v>
      </c>
      <c r="E134" s="2"/>
      <c r="F134" s="6">
        <f t="shared" si="61"/>
        <v>3.8224340810151576E-5</v>
      </c>
      <c r="G134" s="2"/>
      <c r="H134" s="7">
        <v>53.78</v>
      </c>
      <c r="I134" s="2"/>
      <c r="J134" s="6">
        <f t="shared" si="62"/>
        <v>1.6669532226827271E-4</v>
      </c>
      <c r="K134" s="2"/>
      <c r="L134" s="7">
        <f t="shared" si="63"/>
        <v>-41.89</v>
      </c>
      <c r="M134" s="2"/>
      <c r="N134" s="6">
        <f t="shared" si="64"/>
        <v>-0.77891409445890669</v>
      </c>
      <c r="O134" s="11"/>
      <c r="P134" s="7">
        <v>40.35</v>
      </c>
      <c r="Q134" s="2"/>
      <c r="R134" s="6">
        <f t="shared" si="65"/>
        <v>8.3052177185552516E-5</v>
      </c>
      <c r="S134" s="2"/>
      <c r="T134" s="7">
        <v>96.78</v>
      </c>
      <c r="U134" s="2"/>
      <c r="V134" s="6">
        <f t="shared" si="66"/>
        <v>1.7445638395719427E-4</v>
      </c>
      <c r="W134" s="2"/>
      <c r="X134" s="7">
        <f t="shared" si="67"/>
        <v>-56.43</v>
      </c>
      <c r="Y134" s="2"/>
      <c r="Z134" s="6">
        <f t="shared" si="68"/>
        <v>-0.58307501549907004</v>
      </c>
    </row>
    <row r="135" spans="1:26" s="52" customFormat="1" x14ac:dyDescent="0.25">
      <c r="A135" s="37"/>
      <c r="B135" s="37"/>
      <c r="C135" s="37"/>
      <c r="D135" s="1"/>
      <c r="E135" s="1"/>
      <c r="F135" s="5"/>
      <c r="G135" s="1"/>
      <c r="H135" s="1"/>
      <c r="I135" s="1"/>
      <c r="J135" s="5"/>
      <c r="K135" s="1"/>
      <c r="L135" s="1"/>
      <c r="M135" s="1"/>
      <c r="N135" s="5"/>
      <c r="O135" s="37"/>
      <c r="P135" s="1"/>
      <c r="Q135" s="1"/>
      <c r="R135" s="5"/>
      <c r="S135" s="1"/>
      <c r="T135" s="1"/>
      <c r="U135" s="1"/>
      <c r="V135" s="5"/>
      <c r="W135" s="1"/>
      <c r="X135" s="1"/>
      <c r="Y135" s="1"/>
      <c r="Z135" s="5"/>
    </row>
    <row r="136" spans="1:26" s="23" customFormat="1" collapsed="1" x14ac:dyDescent="0.25">
      <c r="A136" s="10"/>
      <c r="B136" s="25" t="s">
        <v>0</v>
      </c>
      <c r="C136" s="10"/>
      <c r="D136" s="4">
        <f>SUM(OSRRefD25x_0)</f>
        <v>0</v>
      </c>
      <c r="E136" s="4"/>
      <c r="F136" s="12">
        <f t="shared" ref="F136:F138" si="69">IF(D$12=0,0,D136/D$12)</f>
        <v>0</v>
      </c>
      <c r="G136" s="4"/>
      <c r="H136" s="4">
        <f>SUM(OSRRefH25x_0)</f>
        <v>5022.16</v>
      </c>
      <c r="I136" s="4"/>
      <c r="J136" s="12">
        <f t="shared" ref="J136:J138" si="70">IF(H$12=0,0,H136/H$12)</f>
        <v>1.5566578275991604E-2</v>
      </c>
      <c r="K136" s="4"/>
      <c r="L136" s="4">
        <f t="shared" ref="L136:L138" si="71">+D136-H136</f>
        <v>-5022.16</v>
      </c>
      <c r="M136" s="4"/>
      <c r="N136" s="12">
        <f t="shared" ref="N136:N138" si="72">IF(H136=0,0,L136/H136)</f>
        <v>-1</v>
      </c>
      <c r="O136" s="10"/>
      <c r="P136" s="4">
        <f>SUM(OSRRefP25x_0)</f>
        <v>172008.31</v>
      </c>
      <c r="Q136" s="4"/>
      <c r="R136" s="12">
        <f t="shared" ref="R136:R138" si="73">IF(P$12=0,0,P136/P$12)</f>
        <v>0.35404373332112626</v>
      </c>
      <c r="S136" s="4"/>
      <c r="T136" s="4">
        <f>SUM(OSRRefT25x_0)</f>
        <v>14396.98</v>
      </c>
      <c r="U136" s="4"/>
      <c r="V136" s="12">
        <f t="shared" ref="V136:V138" si="74">IF(T$12=0,0,T136/T$12)</f>
        <v>2.5952108604092236E-2</v>
      </c>
      <c r="W136" s="4"/>
      <c r="X136" s="4">
        <f t="shared" ref="X136:X138" si="75">+P136-T136</f>
        <v>157611.32999999999</v>
      </c>
      <c r="Y136" s="4"/>
      <c r="Z136" s="12">
        <f t="shared" ref="Z136:Z138" si="76">IF(T136=0,0,X136/T136)</f>
        <v>10.947527189730067</v>
      </c>
    </row>
    <row r="137" spans="1:26" s="24" customFormat="1" hidden="1" outlineLevel="1" x14ac:dyDescent="0.25">
      <c r="A137" s="44"/>
      <c r="B137" s="11" t="str">
        <f>CONCATENATE("          ", "9150", " - ", "MISC. INCOME")</f>
        <v xml:space="preserve">          9150 - MISC. INCOME</v>
      </c>
      <c r="C137" s="11"/>
      <c r="D137" s="2">
        <f t="shared" ref="D137:D138" si="77">0</f>
        <v>0</v>
      </c>
      <c r="E137" s="2"/>
      <c r="F137" s="19">
        <f t="shared" si="69"/>
        <v>0</v>
      </c>
      <c r="G137" s="2"/>
      <c r="H137" s="2">
        <f>--5022.16</f>
        <v>5022.16</v>
      </c>
      <c r="I137" s="2"/>
      <c r="J137" s="19">
        <f t="shared" si="70"/>
        <v>1.5566578275991604E-2</v>
      </c>
      <c r="K137" s="2"/>
      <c r="L137" s="2">
        <f t="shared" si="71"/>
        <v>-5022.16</v>
      </c>
      <c r="M137" s="2"/>
      <c r="N137" s="19">
        <f t="shared" si="72"/>
        <v>-1</v>
      </c>
      <c r="O137" s="11"/>
      <c r="P137" s="2">
        <f>--11344.41</f>
        <v>11344.41</v>
      </c>
      <c r="Q137" s="2"/>
      <c r="R137" s="19">
        <f t="shared" si="73"/>
        <v>2.3350135052925745E-2</v>
      </c>
      <c r="S137" s="2"/>
      <c r="T137" s="2">
        <f>--14396.98</f>
        <v>14396.98</v>
      </c>
      <c r="U137" s="2"/>
      <c r="V137" s="19">
        <f t="shared" si="74"/>
        <v>2.5952108604092236E-2</v>
      </c>
      <c r="W137" s="2"/>
      <c r="X137" s="2">
        <f t="shared" si="75"/>
        <v>-3052.5699999999997</v>
      </c>
      <c r="Y137" s="2"/>
      <c r="Z137" s="19">
        <f t="shared" si="76"/>
        <v>-0.21202849486489525</v>
      </c>
    </row>
    <row r="138" spans="1:26" s="24" customFormat="1" hidden="1" outlineLevel="1" x14ac:dyDescent="0.25">
      <c r="A138" s="44"/>
      <c r="B138" s="11" t="str">
        <f>CONCATENATE("          ", "9163", " - ", "MISC. INCOME")</f>
        <v xml:space="preserve">          9163 - MISC. INCOME</v>
      </c>
      <c r="C138" s="11"/>
      <c r="D138" s="2">
        <f t="shared" si="77"/>
        <v>0</v>
      </c>
      <c r="E138" s="2"/>
      <c r="F138" s="19">
        <f t="shared" si="69"/>
        <v>0</v>
      </c>
      <c r="G138" s="2"/>
      <c r="H138" s="2">
        <f>0</f>
        <v>0</v>
      </c>
      <c r="I138" s="2"/>
      <c r="J138" s="19">
        <f t="shared" si="70"/>
        <v>0</v>
      </c>
      <c r="K138" s="2"/>
      <c r="L138" s="2">
        <f t="shared" si="71"/>
        <v>0</v>
      </c>
      <c r="M138" s="2"/>
      <c r="N138" s="19">
        <f t="shared" si="72"/>
        <v>0</v>
      </c>
      <c r="O138" s="11"/>
      <c r="P138" s="2">
        <f>--160663.9</f>
        <v>160663.9</v>
      </c>
      <c r="Q138" s="2"/>
      <c r="R138" s="19">
        <f t="shared" si="73"/>
        <v>0.33069359826820049</v>
      </c>
      <c r="S138" s="2"/>
      <c r="T138" s="2">
        <f>0</f>
        <v>0</v>
      </c>
      <c r="U138" s="2"/>
      <c r="V138" s="19">
        <f t="shared" si="74"/>
        <v>0</v>
      </c>
      <c r="W138" s="2"/>
      <c r="X138" s="2">
        <f t="shared" si="75"/>
        <v>160663.9</v>
      </c>
      <c r="Y138" s="2"/>
      <c r="Z138" s="19">
        <f t="shared" si="76"/>
        <v>0</v>
      </c>
    </row>
    <row r="139" spans="1:26" x14ac:dyDescent="0.25">
      <c r="A139" s="9"/>
      <c r="B139" s="10"/>
      <c r="C139" s="10"/>
      <c r="D139" s="3"/>
      <c r="E139" s="3"/>
      <c r="F139" s="8"/>
      <c r="G139" s="3"/>
      <c r="H139" s="3"/>
      <c r="I139" s="3"/>
      <c r="J139" s="8"/>
      <c r="K139" s="3"/>
      <c r="L139" s="3"/>
      <c r="M139" s="3"/>
      <c r="N139" s="8"/>
      <c r="O139" s="10"/>
      <c r="P139" s="3"/>
      <c r="Q139" s="3"/>
      <c r="R139" s="8"/>
      <c r="S139" s="3"/>
      <c r="T139" s="3"/>
      <c r="U139" s="3"/>
      <c r="V139" s="8"/>
      <c r="W139" s="3"/>
      <c r="X139" s="3"/>
      <c r="Y139" s="3"/>
      <c r="Z139" s="8"/>
    </row>
    <row r="140" spans="1:26" s="23" customFormat="1" x14ac:dyDescent="0.25">
      <c r="A140" s="10"/>
      <c r="B140" s="26" t="s">
        <v>3</v>
      </c>
      <c r="C140" s="26"/>
      <c r="D140" s="22">
        <f>+D74-D76+D136</f>
        <v>52538.749999999927</v>
      </c>
      <c r="E140" s="13"/>
      <c r="F140" s="21">
        <f>IF(D$12=0,0,D140/D$12)</f>
        <v>0.16890320317404106</v>
      </c>
      <c r="G140" s="13"/>
      <c r="H140" s="22">
        <f>+H74-H76+H136</f>
        <v>94739.159999999974</v>
      </c>
      <c r="I140" s="13"/>
      <c r="J140" s="21">
        <f>IF(H$12=0,0,H140/H$12)</f>
        <v>0.29365144677622623</v>
      </c>
      <c r="K140" s="16"/>
      <c r="L140" s="22">
        <f>+D140-H140</f>
        <v>-42200.410000000047</v>
      </c>
      <c r="M140" s="16"/>
      <c r="N140" s="21">
        <f>IF(H140=0,0,L140/H140)</f>
        <v>-0.44543787384224282</v>
      </c>
      <c r="O140" s="25"/>
      <c r="P140" s="22">
        <f>+P74-P76+P136</f>
        <v>226005.47999999992</v>
      </c>
      <c r="Q140" s="13"/>
      <c r="R140" s="21">
        <f>IF(P$12=0,0,P140/P$12)</f>
        <v>0.46518580346631572</v>
      </c>
      <c r="S140" s="13"/>
      <c r="T140" s="22">
        <f>+T74-T76+T136</f>
        <v>144693.65999999989</v>
      </c>
      <c r="U140" s="13"/>
      <c r="V140" s="21">
        <f>IF(T$12=0,0,T140/T$12)</f>
        <v>0.26082592173105706</v>
      </c>
      <c r="W140" s="16"/>
      <c r="X140" s="22">
        <f>+P140-T140</f>
        <v>81311.820000000036</v>
      </c>
      <c r="Y140" s="16"/>
      <c r="Z140" s="21">
        <f>IF(T140=0,0,X140/T140)</f>
        <v>0.56195841614622299</v>
      </c>
    </row>
    <row r="141" spans="1:26" x14ac:dyDescent="0.25">
      <c r="A141" s="9"/>
      <c r="B141" s="10"/>
      <c r="C141" s="9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25">
      <c r="A142" s="51"/>
      <c r="B142" s="10" t="s">
        <v>13</v>
      </c>
      <c r="C142" s="10"/>
      <c r="D142" s="4">
        <v>-6819.83</v>
      </c>
      <c r="E142" s="4"/>
      <c r="F142" s="12">
        <f>IF(D$12=0,0,D142/D$12)</f>
        <v>-2.1924601025003869E-2</v>
      </c>
      <c r="G142" s="4"/>
      <c r="H142" s="4">
        <v>20901.329999999998</v>
      </c>
      <c r="I142" s="4"/>
      <c r="J142" s="12">
        <f>IF(H$12=0,0,H142/H$12)</f>
        <v>6.4785309412151659E-2</v>
      </c>
      <c r="K142" s="4"/>
      <c r="L142" s="4">
        <f>+D142-H142</f>
        <v>-27721.159999999996</v>
      </c>
      <c r="M142" s="4"/>
      <c r="N142" s="12">
        <f>IF(H142=0,0,L142/H142)</f>
        <v>-1.3262868917910964</v>
      </c>
      <c r="O142" s="10"/>
      <c r="P142" s="4">
        <v>82027.490000000005</v>
      </c>
      <c r="Q142" s="4"/>
      <c r="R142" s="12">
        <f>IF(P$12=0,0,P142/P$12)</f>
        <v>0.16883671954315085</v>
      </c>
      <c r="S142" s="4"/>
      <c r="T142" s="4">
        <v>69167.44</v>
      </c>
      <c r="U142" s="4"/>
      <c r="V142" s="12">
        <f>IF(T$12=0,0,T142/T$12)</f>
        <v>0.12468176761703036</v>
      </c>
      <c r="W142" s="4"/>
      <c r="X142" s="4">
        <f>+P142-T142</f>
        <v>12860.050000000003</v>
      </c>
      <c r="Y142" s="4"/>
      <c r="Z142" s="12">
        <f>IF(T142=0,0,X142/T142)</f>
        <v>0.18592635494388693</v>
      </c>
    </row>
    <row r="143" spans="1:26" x14ac:dyDescent="0.25">
      <c r="A143" s="9"/>
      <c r="B143" s="10"/>
      <c r="C143" s="10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O143" s="10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.75" thickBot="1" x14ac:dyDescent="0.3">
      <c r="A144" s="10"/>
      <c r="B144" s="26" t="s">
        <v>4</v>
      </c>
      <c r="C144" s="26"/>
      <c r="D144" s="36">
        <f>+D140-D142</f>
        <v>59358.579999999929</v>
      </c>
      <c r="E144" s="13"/>
      <c r="F144" s="34">
        <f>IF(D$12=0,0,D144/D$12)</f>
        <v>0.19082780419904494</v>
      </c>
      <c r="G144" s="13"/>
      <c r="H144" s="36">
        <f>+H140-H142</f>
        <v>73837.829999999973</v>
      </c>
      <c r="I144" s="13"/>
      <c r="J144" s="34">
        <f>IF(H$12=0,0,H144/H$12)</f>
        <v>0.22886613736407455</v>
      </c>
      <c r="K144" s="16"/>
      <c r="L144" s="36">
        <f>D144-H144</f>
        <v>-14479.250000000044</v>
      </c>
      <c r="M144" s="16"/>
      <c r="N144" s="34">
        <f>IF(H144=0,0,L144/H144)</f>
        <v>-0.19609528069825521</v>
      </c>
      <c r="O144" s="25"/>
      <c r="P144" s="36">
        <f>+P140-P142</f>
        <v>143977.98999999993</v>
      </c>
      <c r="Q144" s="13"/>
      <c r="R144" s="34">
        <f>IF(P$12=0,0,P144/P$12)</f>
        <v>0.29634908392316489</v>
      </c>
      <c r="S144" s="13"/>
      <c r="T144" s="36">
        <f>+T140-T142</f>
        <v>75526.219999999885</v>
      </c>
      <c r="U144" s="13"/>
      <c r="V144" s="34">
        <f>IF(T$12=0,0,T144/T$12)</f>
        <v>0.13614415411402672</v>
      </c>
      <c r="W144" s="16"/>
      <c r="X144" s="36">
        <f>P144-T144</f>
        <v>68451.770000000048</v>
      </c>
      <c r="Y144" s="16"/>
      <c r="Z144" s="34">
        <f>IF(T144=0,0,X144/T144)</f>
        <v>0.90633120524236688</v>
      </c>
    </row>
    <row r="145" spans="1:26" ht="15.75" thickTop="1" x14ac:dyDescent="0.25">
      <c r="A145" s="9"/>
      <c r="B145" s="9"/>
      <c r="C145" s="9"/>
      <c r="D145" s="3"/>
      <c r="E145" s="3"/>
      <c r="F145" s="8"/>
      <c r="G145" s="3"/>
      <c r="H145" s="3"/>
      <c r="I145" s="3"/>
      <c r="J145" s="8"/>
      <c r="K145" s="3"/>
      <c r="L145" s="3"/>
      <c r="M145" s="3"/>
      <c r="N145" s="8"/>
      <c r="P145" s="3"/>
      <c r="Q145" s="3"/>
      <c r="R145" s="8"/>
      <c r="S145" s="3"/>
      <c r="T145" s="3"/>
      <c r="U145" s="3"/>
      <c r="V145" s="8"/>
      <c r="W145" s="3"/>
      <c r="X145" s="3"/>
      <c r="Y145" s="3"/>
      <c r="Z145" s="8"/>
    </row>
    <row r="146" spans="1:26" x14ac:dyDescent="0.25">
      <c r="A146" s="9"/>
      <c r="B146" s="9"/>
      <c r="C146" s="9"/>
      <c r="D146" s="3"/>
      <c r="E146" s="3"/>
      <c r="F146" s="8"/>
      <c r="G146" s="3"/>
      <c r="H146" s="3"/>
      <c r="I146" s="3"/>
      <c r="J146" s="8"/>
      <c r="K146" s="3"/>
      <c r="L146" s="3"/>
      <c r="M146" s="3"/>
      <c r="N146" s="8"/>
      <c r="P146" s="3"/>
      <c r="Q146" s="3"/>
      <c r="R146" s="8"/>
      <c r="S146" s="3"/>
      <c r="T146" s="3"/>
      <c r="U146" s="3"/>
      <c r="V146" s="8"/>
      <c r="W146" s="3"/>
      <c r="X146" s="3"/>
      <c r="Y146" s="3"/>
      <c r="Z146" s="8"/>
    </row>
    <row r="147" spans="1:26" s="23" customFormat="1" ht="15.75" thickBot="1" x14ac:dyDescent="0.3">
      <c r="A147" s="10"/>
      <c r="B147" s="26" t="s">
        <v>5</v>
      </c>
      <c r="C147" s="26"/>
      <c r="D147" s="30">
        <f>SUM(D144:D146)</f>
        <v>59358.579999999929</v>
      </c>
      <c r="E147" s="13"/>
      <c r="F147" s="31">
        <f>IF(D$12=0,0,D147/D$12)</f>
        <v>0.19082780419904494</v>
      </c>
      <c r="G147" s="13"/>
      <c r="H147" s="30">
        <f>SUM(H144:H146)</f>
        <v>73837.829999999973</v>
      </c>
      <c r="I147" s="13"/>
      <c r="J147" s="31">
        <f>IF(H$12=0,0,H147/H$12)</f>
        <v>0.22886613736407455</v>
      </c>
      <c r="K147" s="16"/>
      <c r="L147" s="30">
        <f>+D147-H147</f>
        <v>-14479.250000000044</v>
      </c>
      <c r="M147" s="16"/>
      <c r="N147" s="31">
        <f>IF(H147=0,0,L147/H147)</f>
        <v>-0.19609528069825521</v>
      </c>
      <c r="O147" s="25"/>
      <c r="P147" s="30">
        <f>SUM(P144:P146)</f>
        <v>143977.98999999993</v>
      </c>
      <c r="Q147" s="13"/>
      <c r="R147" s="31">
        <f>IF(P$12=0,0,P147/P$12)</f>
        <v>0.29634908392316489</v>
      </c>
      <c r="S147" s="13"/>
      <c r="T147" s="30">
        <f>SUM(T144:T146)</f>
        <v>75526.219999999885</v>
      </c>
      <c r="U147" s="13"/>
      <c r="V147" s="31">
        <f>IF(T$12=0,0,T147/T$12)</f>
        <v>0.13614415411402672</v>
      </c>
      <c r="W147" s="16"/>
      <c r="X147" s="30">
        <f>+P147-T147</f>
        <v>68451.770000000048</v>
      </c>
      <c r="Y147" s="16"/>
      <c r="Z147" s="31">
        <f>IF(T147=0,0,X147/T147)</f>
        <v>0.90633120524236688</v>
      </c>
    </row>
    <row r="148" spans="1:26" ht="15.75" thickTop="1" x14ac:dyDescent="0.25">
      <c r="A148" s="9"/>
      <c r="C148" s="9"/>
      <c r="D148" s="18"/>
      <c r="E148" s="18"/>
      <c r="G148" s="18"/>
      <c r="H148" s="18"/>
      <c r="I148" s="18"/>
      <c r="J148" s="43"/>
      <c r="K148" s="18"/>
      <c r="L148" s="18"/>
      <c r="M148" s="18"/>
      <c r="P148" s="18"/>
      <c r="Q148" s="18"/>
      <c r="R148" s="43"/>
      <c r="S148" s="18"/>
      <c r="T148" s="18"/>
      <c r="U148" s="18"/>
      <c r="V148" s="43"/>
      <c r="W148" s="18"/>
      <c r="X148" s="18"/>
    </row>
    <row r="149" spans="1:26" x14ac:dyDescent="0.25">
      <c r="A149" s="9"/>
      <c r="B149" s="61">
        <v>44113.695761076386</v>
      </c>
      <c r="D149" s="18"/>
      <c r="E149" s="18"/>
      <c r="G149" s="18"/>
      <c r="H149" s="18"/>
      <c r="I149" s="18"/>
      <c r="J149" s="43"/>
      <c r="K149" s="18"/>
      <c r="L149" s="18"/>
      <c r="M149" s="18"/>
      <c r="P149" s="18"/>
      <c r="Q149" s="18"/>
      <c r="R149" s="43"/>
      <c r="S149" s="18"/>
      <c r="T149" s="18"/>
      <c r="U149" s="18"/>
      <c r="V149" s="43"/>
      <c r="W149" s="18"/>
      <c r="X149" s="18"/>
    </row>
    <row r="150" spans="1:26" x14ac:dyDescent="0.25">
      <c r="A150" s="9"/>
      <c r="B150" s="56" t="s">
        <v>313</v>
      </c>
      <c r="D150" s="18"/>
      <c r="E150" s="18"/>
      <c r="G150" s="18"/>
      <c r="H150" s="18"/>
      <c r="I150" s="18"/>
      <c r="J150" s="43"/>
      <c r="K150" s="18"/>
      <c r="L150" s="18"/>
      <c r="M150" s="18"/>
      <c r="P150" s="18"/>
      <c r="Q150" s="18"/>
      <c r="R150" s="43"/>
      <c r="S150" s="18"/>
      <c r="T150" s="18"/>
      <c r="U150" s="18"/>
      <c r="V150" s="43"/>
      <c r="W150" s="18"/>
      <c r="X150" s="18"/>
    </row>
    <row r="151" spans="1:26" x14ac:dyDescent="0.25">
      <c r="A151" s="9"/>
      <c r="B151" s="58"/>
      <c r="D151" s="18"/>
      <c r="E151" s="18"/>
      <c r="G151" s="18"/>
      <c r="H151" s="18"/>
      <c r="I151" s="18"/>
      <c r="J151" s="43"/>
      <c r="K151" s="18"/>
      <c r="L151" s="18"/>
      <c r="M151" s="18"/>
      <c r="P151" s="18"/>
      <c r="Q151" s="18"/>
      <c r="R151" s="43"/>
      <c r="S151" s="18"/>
      <c r="T151" s="18"/>
      <c r="U151" s="18"/>
      <c r="V151" s="43"/>
      <c r="W151" s="18"/>
      <c r="X151" s="18"/>
    </row>
    <row r="152" spans="1:26" x14ac:dyDescent="0.25">
      <c r="D152" s="18"/>
      <c r="E152" s="18"/>
      <c r="G152" s="18"/>
      <c r="H152" s="18"/>
      <c r="I152" s="18"/>
      <c r="J152" s="43"/>
      <c r="K152" s="18"/>
      <c r="L152" s="18"/>
      <c r="M152" s="18"/>
      <c r="P152" s="18"/>
      <c r="Q152" s="18"/>
      <c r="R152" s="43"/>
      <c r="S152" s="18"/>
      <c r="T152" s="18"/>
      <c r="U152" s="18"/>
      <c r="V152" s="43"/>
      <c r="W152" s="18"/>
      <c r="X152" s="18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","315", " - ", "Beach Shop")</f>
        <v>Department 315 - Beach Shop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288261.01999999996</v>
      </c>
      <c r="E12" s="4"/>
      <c r="F12" s="12"/>
      <c r="G12" s="4"/>
      <c r="H12" s="4">
        <f>SUM(OSRRefH13x_0)</f>
        <v>253130.69999999995</v>
      </c>
      <c r="I12" s="4"/>
      <c r="J12" s="12"/>
      <c r="K12" s="4"/>
      <c r="L12" s="4">
        <f t="shared" ref="L12:L48" si="0">+D12-H12</f>
        <v>35130.320000000007</v>
      </c>
      <c r="M12" s="4"/>
      <c r="N12" s="12">
        <f t="shared" ref="N12:N48" si="1">IF(H12=0,0,L12/H12)</f>
        <v>0.13878332418786032</v>
      </c>
      <c r="O12" s="10"/>
      <c r="P12" s="4">
        <f>SUM(OSRRefP13x_0)</f>
        <v>436162.07000000007</v>
      </c>
      <c r="Q12" s="4"/>
      <c r="R12" s="12"/>
      <c r="S12" s="4"/>
      <c r="T12" s="4">
        <f>SUM(OSRRefT13x_0)</f>
        <v>433775.86</v>
      </c>
      <c r="U12" s="4"/>
      <c r="V12" s="12"/>
      <c r="W12" s="4"/>
      <c r="X12" s="4">
        <f t="shared" ref="X12:X48" si="2">+P12-T12</f>
        <v>2386.2100000000792</v>
      </c>
      <c r="Y12" s="4"/>
      <c r="Z12" s="12">
        <f t="shared" ref="Z12:Z48" si="3">IF(T12=0,0,X12/T12)</f>
        <v>5.5010207345334503E-3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-12599.7</f>
        <v>-12599.7</v>
      </c>
      <c r="E13" s="2"/>
      <c r="F13" s="19"/>
      <c r="G13" s="2"/>
      <c r="H13" s="2">
        <f t="shared" ref="H13:H18" si="4">0</f>
        <v>0</v>
      </c>
      <c r="I13" s="2"/>
      <c r="J13" s="19"/>
      <c r="K13" s="2"/>
      <c r="L13" s="2">
        <f t="shared" si="0"/>
        <v>-12599.7</v>
      </c>
      <c r="M13" s="2"/>
      <c r="N13" s="19">
        <f t="shared" si="1"/>
        <v>0</v>
      </c>
      <c r="O13" s="11"/>
      <c r="P13" s="2">
        <f>-22202.76</f>
        <v>-22202.76</v>
      </c>
      <c r="Q13" s="2"/>
      <c r="R13" s="19"/>
      <c r="S13" s="2"/>
      <c r="T13" s="2">
        <f t="shared" ref="T13:T18" si="5">0</f>
        <v>0</v>
      </c>
      <c r="U13" s="2"/>
      <c r="V13" s="19"/>
      <c r="W13" s="2"/>
      <c r="X13" s="2">
        <f t="shared" si="2"/>
        <v>-22202.76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--221.99</f>
        <v>221.99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221.99</v>
      </c>
      <c r="Y14" s="2"/>
      <c r="Z14" s="19">
        <f t="shared" si="3"/>
        <v>0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--16850.03</f>
        <v>16850.03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16850.03</v>
      </c>
      <c r="M15" s="2"/>
      <c r="N15" s="19">
        <f t="shared" si="1"/>
        <v>0</v>
      </c>
      <c r="O15" s="11"/>
      <c r="P15" s="2">
        <f>--18503.2</f>
        <v>18503.2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18503.2</v>
      </c>
      <c r="Y15" s="2"/>
      <c r="Z15" s="19">
        <f t="shared" si="3"/>
        <v>0</v>
      </c>
    </row>
    <row r="16" spans="1:26" s="24" customFormat="1" hidden="1" outlineLevel="1" x14ac:dyDescent="0.25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--19.85</f>
        <v>19.850000000000001</v>
      </c>
      <c r="Q16" s="2"/>
      <c r="R16" s="19"/>
      <c r="S16" s="2"/>
      <c r="T16" s="2">
        <f t="shared" si="5"/>
        <v>0</v>
      </c>
      <c r="U16" s="2"/>
      <c r="V16" s="19"/>
      <c r="W16" s="2"/>
      <c r="X16" s="2">
        <f t="shared" si="2"/>
        <v>19.850000000000001</v>
      </c>
      <c r="Y16" s="2"/>
      <c r="Z16" s="19">
        <f t="shared" si="3"/>
        <v>0</v>
      </c>
    </row>
    <row r="17" spans="1:26" s="24" customFormat="1" hidden="1" outlineLevel="1" x14ac:dyDescent="0.25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>--407.47</f>
        <v>407.47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407.47</v>
      </c>
      <c r="M17" s="2"/>
      <c r="N17" s="19">
        <f t="shared" si="1"/>
        <v>0</v>
      </c>
      <c r="O17" s="11"/>
      <c r="P17" s="2">
        <f>--427.22</f>
        <v>427.22</v>
      </c>
      <c r="Q17" s="2"/>
      <c r="R17" s="19"/>
      <c r="S17" s="2"/>
      <c r="T17" s="2">
        <f t="shared" si="5"/>
        <v>0</v>
      </c>
      <c r="U17" s="2"/>
      <c r="V17" s="19"/>
      <c r="W17" s="2"/>
      <c r="X17" s="2">
        <f t="shared" si="2"/>
        <v>427.22</v>
      </c>
      <c r="Y17" s="2"/>
      <c r="Z17" s="19">
        <f t="shared" si="3"/>
        <v>0</v>
      </c>
    </row>
    <row r="18" spans="1:26" s="24" customFormat="1" hidden="1" outlineLevel="1" x14ac:dyDescent="0.25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>--6.78</f>
        <v>6.78</v>
      </c>
      <c r="Q18" s="2"/>
      <c r="R18" s="19"/>
      <c r="S18" s="2"/>
      <c r="T18" s="2">
        <f t="shared" si="5"/>
        <v>0</v>
      </c>
      <c r="U18" s="2"/>
      <c r="V18" s="19"/>
      <c r="W18" s="2"/>
      <c r="X18" s="2">
        <f t="shared" si="2"/>
        <v>6.78</v>
      </c>
      <c r="Y18" s="2"/>
      <c r="Z18" s="19">
        <f t="shared" si="3"/>
        <v>0</v>
      </c>
    </row>
    <row r="19" spans="1:26" s="24" customFormat="1" hidden="1" outlineLevel="1" x14ac:dyDescent="0.25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>--158111.68</f>
        <v>158111.67999999999</v>
      </c>
      <c r="E19" s="2"/>
      <c r="F19" s="19"/>
      <c r="G19" s="2"/>
      <c r="H19" s="2">
        <f>--162637.27</f>
        <v>162637.26999999999</v>
      </c>
      <c r="I19" s="2"/>
      <c r="J19" s="19"/>
      <c r="K19" s="2"/>
      <c r="L19" s="2">
        <f t="shared" si="0"/>
        <v>-4525.5899999999965</v>
      </c>
      <c r="M19" s="2"/>
      <c r="N19" s="19">
        <f t="shared" si="1"/>
        <v>-2.7826278687535747E-2</v>
      </c>
      <c r="O19" s="11"/>
      <c r="P19" s="2">
        <f>--208492.28</f>
        <v>208492.28</v>
      </c>
      <c r="Q19" s="2"/>
      <c r="R19" s="19"/>
      <c r="S19" s="2"/>
      <c r="T19" s="2">
        <f>--289196.88</f>
        <v>289196.88</v>
      </c>
      <c r="U19" s="2"/>
      <c r="V19" s="19"/>
      <c r="W19" s="2"/>
      <c r="X19" s="2">
        <f t="shared" si="2"/>
        <v>-80704.600000000006</v>
      </c>
      <c r="Y19" s="2"/>
      <c r="Z19" s="19">
        <f t="shared" si="3"/>
        <v>-0.27906455975596972</v>
      </c>
    </row>
    <row r="20" spans="1:26" s="24" customFormat="1" hidden="1" outlineLevel="1" x14ac:dyDescent="0.25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>--36926.32</f>
        <v>36926.32</v>
      </c>
      <c r="E20" s="2"/>
      <c r="F20" s="19"/>
      <c r="G20" s="2"/>
      <c r="H20" s="2">
        <f>--39506.72</f>
        <v>39506.720000000001</v>
      </c>
      <c r="I20" s="2"/>
      <c r="J20" s="19"/>
      <c r="K20" s="2"/>
      <c r="L20" s="2">
        <f t="shared" si="0"/>
        <v>-2580.4000000000015</v>
      </c>
      <c r="M20" s="2"/>
      <c r="N20" s="19">
        <f t="shared" si="1"/>
        <v>-6.5315470380735263E-2</v>
      </c>
      <c r="O20" s="11"/>
      <c r="P20" s="2">
        <f>--52844.16</f>
        <v>52844.160000000003</v>
      </c>
      <c r="Q20" s="2"/>
      <c r="R20" s="19"/>
      <c r="S20" s="2"/>
      <c r="T20" s="2">
        <f>--63859.08</f>
        <v>63859.08</v>
      </c>
      <c r="U20" s="2"/>
      <c r="V20" s="19"/>
      <c r="W20" s="2"/>
      <c r="X20" s="2">
        <f t="shared" si="2"/>
        <v>-11014.919999999998</v>
      </c>
      <c r="Y20" s="2"/>
      <c r="Z20" s="19">
        <f t="shared" si="3"/>
        <v>-0.17248792184290782</v>
      </c>
    </row>
    <row r="21" spans="1:26" s="24" customFormat="1" hidden="1" outlineLevel="1" x14ac:dyDescent="0.25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>--23965.29</f>
        <v>23965.29</v>
      </c>
      <c r="E21" s="2"/>
      <c r="F21" s="19"/>
      <c r="G21" s="2"/>
      <c r="H21" s="2">
        <f>--29699.27</f>
        <v>29699.27</v>
      </c>
      <c r="I21" s="2"/>
      <c r="J21" s="19"/>
      <c r="K21" s="2"/>
      <c r="L21" s="2">
        <f t="shared" si="0"/>
        <v>-5733.98</v>
      </c>
      <c r="M21" s="2"/>
      <c r="N21" s="19">
        <f t="shared" si="1"/>
        <v>-0.19306804510683256</v>
      </c>
      <c r="O21" s="11"/>
      <c r="P21" s="2">
        <f>--28119.34</f>
        <v>28119.34</v>
      </c>
      <c r="Q21" s="2"/>
      <c r="R21" s="19"/>
      <c r="S21" s="2"/>
      <c r="T21" s="2">
        <f>--38798.79</f>
        <v>38798.79</v>
      </c>
      <c r="U21" s="2"/>
      <c r="V21" s="19"/>
      <c r="W21" s="2"/>
      <c r="X21" s="2">
        <f t="shared" si="2"/>
        <v>-10679.45</v>
      </c>
      <c r="Y21" s="2"/>
      <c r="Z21" s="19">
        <f t="shared" si="3"/>
        <v>-0.27525214059510622</v>
      </c>
    </row>
    <row r="22" spans="1:26" s="24" customFormat="1" hidden="1" outlineLevel="1" x14ac:dyDescent="0.25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>--6413.63</f>
        <v>6413.63</v>
      </c>
      <c r="E22" s="2"/>
      <c r="F22" s="19"/>
      <c r="G22" s="2"/>
      <c r="H22" s="2">
        <f>--67.34</f>
        <v>67.34</v>
      </c>
      <c r="I22" s="2"/>
      <c r="J22" s="19"/>
      <c r="K22" s="2"/>
      <c r="L22" s="2">
        <f t="shared" si="0"/>
        <v>6346.29</v>
      </c>
      <c r="M22" s="2"/>
      <c r="N22" s="19">
        <f t="shared" si="1"/>
        <v>94.242500742500738</v>
      </c>
      <c r="O22" s="11"/>
      <c r="P22" s="2">
        <f>--6601</f>
        <v>6601</v>
      </c>
      <c r="Q22" s="2"/>
      <c r="R22" s="19"/>
      <c r="S22" s="2"/>
      <c r="T22" s="2">
        <f>--108.19</f>
        <v>108.19</v>
      </c>
      <c r="U22" s="2"/>
      <c r="V22" s="19"/>
      <c r="W22" s="2"/>
      <c r="X22" s="2">
        <f t="shared" si="2"/>
        <v>6492.81</v>
      </c>
      <c r="Y22" s="2"/>
      <c r="Z22" s="19">
        <f t="shared" si="3"/>
        <v>60.013032627784462</v>
      </c>
    </row>
    <row r="23" spans="1:26" s="24" customFormat="1" hidden="1" outlineLevel="1" x14ac:dyDescent="0.25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>--6373.92</f>
        <v>6373.92</v>
      </c>
      <c r="E23" s="2"/>
      <c r="F23" s="19"/>
      <c r="G23" s="2"/>
      <c r="H23" s="2">
        <f>--18920.67</f>
        <v>18920.669999999998</v>
      </c>
      <c r="I23" s="2"/>
      <c r="J23" s="19"/>
      <c r="K23" s="2"/>
      <c r="L23" s="2">
        <f t="shared" si="0"/>
        <v>-12546.749999999998</v>
      </c>
      <c r="M23" s="2"/>
      <c r="N23" s="19">
        <f t="shared" si="1"/>
        <v>-0.66312398028188213</v>
      </c>
      <c r="O23" s="11"/>
      <c r="P23" s="2">
        <f>--7877.12</f>
        <v>7877.12</v>
      </c>
      <c r="Q23" s="2"/>
      <c r="R23" s="19"/>
      <c r="S23" s="2"/>
      <c r="T23" s="2">
        <f>--21015.12</f>
        <v>21015.119999999999</v>
      </c>
      <c r="U23" s="2"/>
      <c r="V23" s="19"/>
      <c r="W23" s="2"/>
      <c r="X23" s="2">
        <f t="shared" si="2"/>
        <v>-13138</v>
      </c>
      <c r="Y23" s="2"/>
      <c r="Z23" s="19">
        <f t="shared" si="3"/>
        <v>-0.6251689259923332</v>
      </c>
    </row>
    <row r="24" spans="1:26" s="24" customFormat="1" hidden="1" outlineLevel="1" x14ac:dyDescent="0.25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>--46004.35</f>
        <v>46004.35</v>
      </c>
      <c r="E24" s="2"/>
      <c r="F24" s="19"/>
      <c r="G24" s="2"/>
      <c r="H24" s="2">
        <f>--5973.45</f>
        <v>5973.45</v>
      </c>
      <c r="I24" s="2"/>
      <c r="J24" s="19"/>
      <c r="K24" s="2"/>
      <c r="L24" s="2">
        <f t="shared" si="0"/>
        <v>40030.9</v>
      </c>
      <c r="M24" s="2"/>
      <c r="N24" s="19">
        <f t="shared" si="1"/>
        <v>6.7014706744008912</v>
      </c>
      <c r="O24" s="11"/>
      <c r="P24" s="2">
        <f>--89431.08</f>
        <v>89431.08</v>
      </c>
      <c r="Q24" s="2"/>
      <c r="R24" s="19"/>
      <c r="S24" s="2"/>
      <c r="T24" s="2">
        <f>--25156.28</f>
        <v>25156.28</v>
      </c>
      <c r="U24" s="2"/>
      <c r="V24" s="19"/>
      <c r="W24" s="2"/>
      <c r="X24" s="2">
        <f t="shared" si="2"/>
        <v>64274.8</v>
      </c>
      <c r="Y24" s="2"/>
      <c r="Z24" s="19">
        <f t="shared" si="3"/>
        <v>2.5550200586096197</v>
      </c>
    </row>
    <row r="25" spans="1:26" s="24" customFormat="1" hidden="1" outlineLevel="1" x14ac:dyDescent="0.25">
      <c r="A25" s="44"/>
      <c r="B25" s="11" t="str">
        <f>CONCATENATE("          ", "4126", " - ", "NON-TAXABLE SALES-WRITING INST")</f>
        <v xml:space="preserve">          4126 - NON-TAXABLE SALES-WRITING INST</v>
      </c>
      <c r="C25" s="11"/>
      <c r="D25" s="2">
        <f>0</f>
        <v>0</v>
      </c>
      <c r="E25" s="2"/>
      <c r="F25" s="19"/>
      <c r="G25" s="2"/>
      <c r="H25" s="2">
        <f t="shared" ref="H25:H31" si="6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--52.68</f>
        <v>52.68</v>
      </c>
      <c r="Q25" s="2"/>
      <c r="R25" s="19"/>
      <c r="S25" s="2"/>
      <c r="T25" s="2">
        <f t="shared" ref="T25:T31" si="7">0</f>
        <v>0</v>
      </c>
      <c r="U25" s="2"/>
      <c r="V25" s="19"/>
      <c r="W25" s="2"/>
      <c r="X25" s="2">
        <f t="shared" si="2"/>
        <v>52.68</v>
      </c>
      <c r="Y25" s="2"/>
      <c r="Z25" s="19">
        <f t="shared" si="3"/>
        <v>0</v>
      </c>
    </row>
    <row r="26" spans="1:26" s="24" customFormat="1" hidden="1" outlineLevel="1" x14ac:dyDescent="0.25">
      <c r="A26" s="44"/>
      <c r="B26" s="11" t="str">
        <f>CONCATENATE("          ", "4127", " - ", "NON-TAXABLE SALES-SCHOOL SUPPL")</f>
        <v xml:space="preserve">          4127 - NON-TAXABLE SALES-SCHOOL SUPPL</v>
      </c>
      <c r="C26" s="11"/>
      <c r="D26" s="2">
        <f>--1788.16</f>
        <v>1788.16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1788.16</v>
      </c>
      <c r="M26" s="2"/>
      <c r="N26" s="19">
        <f t="shared" si="1"/>
        <v>0</v>
      </c>
      <c r="O26" s="11"/>
      <c r="P26" s="2">
        <f>--1860.41</f>
        <v>1860.41</v>
      </c>
      <c r="Q26" s="2"/>
      <c r="R26" s="19"/>
      <c r="S26" s="2"/>
      <c r="T26" s="2">
        <f t="shared" si="7"/>
        <v>0</v>
      </c>
      <c r="U26" s="2"/>
      <c r="V26" s="19"/>
      <c r="W26" s="2"/>
      <c r="X26" s="2">
        <f t="shared" si="2"/>
        <v>1860.41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"4131", " - ", "NON-TAXABLE SALES-FOOD")</f>
        <v xml:space="preserve">          4131 - NON-TAXABLE SALES-FOOD</v>
      </c>
      <c r="C27" s="11"/>
      <c r="D27" s="2">
        <f>--979.65</f>
        <v>979.65</v>
      </c>
      <c r="E27" s="2"/>
      <c r="F27" s="19"/>
      <c r="G27" s="2"/>
      <c r="H27" s="2">
        <f t="shared" si="6"/>
        <v>0</v>
      </c>
      <c r="I27" s="2"/>
      <c r="J27" s="19"/>
      <c r="K27" s="2"/>
      <c r="L27" s="2">
        <f t="shared" si="0"/>
        <v>979.65</v>
      </c>
      <c r="M27" s="2"/>
      <c r="N27" s="19">
        <f t="shared" si="1"/>
        <v>0</v>
      </c>
      <c r="O27" s="11"/>
      <c r="P27" s="2">
        <f>--1237.58</f>
        <v>1237.58</v>
      </c>
      <c r="Q27" s="2"/>
      <c r="R27" s="19"/>
      <c r="S27" s="2"/>
      <c r="T27" s="2">
        <f t="shared" si="7"/>
        <v>0</v>
      </c>
      <c r="U27" s="2"/>
      <c r="V27" s="19"/>
      <c r="W27" s="2"/>
      <c r="X27" s="2">
        <f t="shared" si="2"/>
        <v>1237.58</v>
      </c>
      <c r="Y27" s="2"/>
      <c r="Z27" s="19">
        <f t="shared" si="3"/>
        <v>0</v>
      </c>
    </row>
    <row r="28" spans="1:26" s="24" customFormat="1" hidden="1" outlineLevel="1" x14ac:dyDescent="0.25">
      <c r="A28" s="44"/>
      <c r="B28" s="11" t="str">
        <f>CONCATENATE("          ", "4132", " - ", "NON-TAXABLE SALES-JUICE")</f>
        <v xml:space="preserve">          4132 - NON-TAXABLE SALES-JUICE</v>
      </c>
      <c r="C28" s="11"/>
      <c r="D28" s="2">
        <f>0</f>
        <v>0</v>
      </c>
      <c r="E28" s="2"/>
      <c r="F28" s="19"/>
      <c r="G28" s="2"/>
      <c r="H28" s="2">
        <f t="shared" si="6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--22.49</f>
        <v>22.49</v>
      </c>
      <c r="Q28" s="2"/>
      <c r="R28" s="19"/>
      <c r="S28" s="2"/>
      <c r="T28" s="2">
        <f t="shared" si="7"/>
        <v>0</v>
      </c>
      <c r="U28" s="2"/>
      <c r="V28" s="19"/>
      <c r="W28" s="2"/>
      <c r="X28" s="2">
        <f t="shared" si="2"/>
        <v>22.49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"4133", " - ", "NON-TAXABLE SALES-CANDY")</f>
        <v xml:space="preserve">          4133 - NON-TAXABLE SALES-CANDY</v>
      </c>
      <c r="C29" s="11"/>
      <c r="D29" s="2">
        <f>--12.43</f>
        <v>12.43</v>
      </c>
      <c r="E29" s="2"/>
      <c r="F29" s="19"/>
      <c r="G29" s="2"/>
      <c r="H29" s="2">
        <f t="shared" si="6"/>
        <v>0</v>
      </c>
      <c r="I29" s="2"/>
      <c r="J29" s="19"/>
      <c r="K29" s="2"/>
      <c r="L29" s="2">
        <f t="shared" si="0"/>
        <v>12.43</v>
      </c>
      <c r="M29" s="2"/>
      <c r="N29" s="19">
        <f t="shared" si="1"/>
        <v>0</v>
      </c>
      <c r="O29" s="11"/>
      <c r="P29" s="2">
        <f>--80.71</f>
        <v>80.709999999999994</v>
      </c>
      <c r="Q29" s="2"/>
      <c r="R29" s="19"/>
      <c r="S29" s="2"/>
      <c r="T29" s="2">
        <f t="shared" si="7"/>
        <v>0</v>
      </c>
      <c r="U29" s="2"/>
      <c r="V29" s="19"/>
      <c r="W29" s="2"/>
      <c r="X29" s="2">
        <f t="shared" si="2"/>
        <v>80.709999999999994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"4134", " - ", "NON-TAXABLE SALES-SODA")</f>
        <v xml:space="preserve">          4134 - NON-TAXABLE SALES-SODA</v>
      </c>
      <c r="C30" s="11"/>
      <c r="D30" s="2">
        <f t="shared" ref="D30:D31" si="8">0</f>
        <v>0</v>
      </c>
      <c r="E30" s="2"/>
      <c r="F30" s="19"/>
      <c r="G30" s="2"/>
      <c r="H30" s="2">
        <f t="shared" si="6"/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>--45.53</f>
        <v>45.53</v>
      </c>
      <c r="Q30" s="2"/>
      <c r="R30" s="19"/>
      <c r="S30" s="2"/>
      <c r="T30" s="2">
        <f t="shared" si="7"/>
        <v>0</v>
      </c>
      <c r="U30" s="2"/>
      <c r="V30" s="19"/>
      <c r="W30" s="2"/>
      <c r="X30" s="2">
        <f t="shared" si="2"/>
        <v>45.53</v>
      </c>
      <c r="Y30" s="2"/>
      <c r="Z30" s="19">
        <f t="shared" si="3"/>
        <v>0</v>
      </c>
    </row>
    <row r="31" spans="1:26" s="24" customFormat="1" hidden="1" outlineLevel="1" x14ac:dyDescent="0.25">
      <c r="A31" s="44"/>
      <c r="B31" s="11" t="str">
        <f>CONCATENATE("          ", "4137", " - ", "NON-TAXABLE SALES-WATER")</f>
        <v xml:space="preserve">          4137 - NON-TAXABLE SALES-WATER</v>
      </c>
      <c r="C31" s="11"/>
      <c r="D31" s="2">
        <f t="shared" si="8"/>
        <v>0</v>
      </c>
      <c r="E31" s="2"/>
      <c r="F31" s="19"/>
      <c r="G31" s="2"/>
      <c r="H31" s="2">
        <f t="shared" si="6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>--59.25</f>
        <v>59.25</v>
      </c>
      <c r="Q31" s="2"/>
      <c r="R31" s="19"/>
      <c r="S31" s="2"/>
      <c r="T31" s="2">
        <f t="shared" si="7"/>
        <v>0</v>
      </c>
      <c r="U31" s="2"/>
      <c r="V31" s="19"/>
      <c r="W31" s="2"/>
      <c r="X31" s="2">
        <f t="shared" si="2"/>
        <v>59.25</v>
      </c>
      <c r="Y31" s="2"/>
      <c r="Z31" s="19">
        <f t="shared" si="3"/>
        <v>0</v>
      </c>
    </row>
    <row r="32" spans="1:26" s="24" customFormat="1" hidden="1" outlineLevel="1" x14ac:dyDescent="0.25">
      <c r="A32" s="44"/>
      <c r="B32" s="11" t="str">
        <f>CONCATENATE("          ", "4140", " - ", "NON-TAXABLE SALES-LOGO CLOTHIN")</f>
        <v xml:space="preserve">          4140 - NON-TAXABLE SALES-LOGO CLOTHIN</v>
      </c>
      <c r="C32" s="11"/>
      <c r="D32" s="2">
        <f>--7251.52</f>
        <v>7251.52</v>
      </c>
      <c r="E32" s="2"/>
      <c r="F32" s="19"/>
      <c r="G32" s="2"/>
      <c r="H32" s="2">
        <f>--1979.29</f>
        <v>1979.29</v>
      </c>
      <c r="I32" s="2"/>
      <c r="J32" s="19"/>
      <c r="K32" s="2"/>
      <c r="L32" s="2">
        <f t="shared" si="0"/>
        <v>5272.2300000000005</v>
      </c>
      <c r="M32" s="2"/>
      <c r="N32" s="19">
        <f t="shared" si="1"/>
        <v>2.6636975885292205</v>
      </c>
      <c r="O32" s="11"/>
      <c r="P32" s="2">
        <f>--14029.3</f>
        <v>14029.3</v>
      </c>
      <c r="Q32" s="2"/>
      <c r="R32" s="19"/>
      <c r="S32" s="2"/>
      <c r="T32" s="2">
        <f>--5142.96</f>
        <v>5142.96</v>
      </c>
      <c r="U32" s="2"/>
      <c r="V32" s="19"/>
      <c r="W32" s="2"/>
      <c r="X32" s="2">
        <f t="shared" si="2"/>
        <v>8886.34</v>
      </c>
      <c r="Y32" s="2"/>
      <c r="Z32" s="19">
        <f t="shared" si="3"/>
        <v>1.7278648871467015</v>
      </c>
    </row>
    <row r="33" spans="1:26" s="24" customFormat="1" hidden="1" outlineLevel="1" x14ac:dyDescent="0.25">
      <c r="A33" s="44"/>
      <c r="B33" s="11" t="str">
        <f>CONCATENATE("          ", "4141", " - ", "NON-TAXABLE SALES-LOGO GIFTS")</f>
        <v xml:space="preserve">          4141 - NON-TAXABLE SALES-LOGO GIFTS</v>
      </c>
      <c r="C33" s="11"/>
      <c r="D33" s="2">
        <f>--742.31</f>
        <v>742.31</v>
      </c>
      <c r="E33" s="2"/>
      <c r="F33" s="19"/>
      <c r="G33" s="2"/>
      <c r="H33" s="2">
        <f>--262.7</f>
        <v>262.7</v>
      </c>
      <c r="I33" s="2"/>
      <c r="J33" s="19"/>
      <c r="K33" s="2"/>
      <c r="L33" s="2">
        <f t="shared" si="0"/>
        <v>479.60999999999996</v>
      </c>
      <c r="M33" s="2"/>
      <c r="N33" s="19">
        <f t="shared" si="1"/>
        <v>1.8256947087933002</v>
      </c>
      <c r="O33" s="11"/>
      <c r="P33" s="2">
        <f>--1931.75</f>
        <v>1931.75</v>
      </c>
      <c r="Q33" s="2"/>
      <c r="R33" s="19"/>
      <c r="S33" s="2"/>
      <c r="T33" s="2">
        <f>--516.9</f>
        <v>516.9</v>
      </c>
      <c r="U33" s="2"/>
      <c r="V33" s="19"/>
      <c r="W33" s="2"/>
      <c r="X33" s="2">
        <f t="shared" si="2"/>
        <v>1414.85</v>
      </c>
      <c r="Y33" s="2"/>
      <c r="Z33" s="19">
        <f t="shared" si="3"/>
        <v>2.737183207583672</v>
      </c>
    </row>
    <row r="34" spans="1:26" s="24" customFormat="1" hidden="1" outlineLevel="1" x14ac:dyDescent="0.25">
      <c r="A34" s="44"/>
      <c r="B34" s="11" t="str">
        <f>CONCATENATE("          ", "4142", " - ", "NON-TAXABLE SALES-EVERYDAY GIF")</f>
        <v xml:space="preserve">          4142 - NON-TAXABLE SALES-EVERYDAY GIF</v>
      </c>
      <c r="C34" s="11"/>
      <c r="D34" s="2">
        <f>--333.42</f>
        <v>333.42</v>
      </c>
      <c r="E34" s="2"/>
      <c r="F34" s="19"/>
      <c r="G34" s="2"/>
      <c r="H34" s="2">
        <f>--153.61</f>
        <v>153.61000000000001</v>
      </c>
      <c r="I34" s="2"/>
      <c r="J34" s="19"/>
      <c r="K34" s="2"/>
      <c r="L34" s="2">
        <f t="shared" si="0"/>
        <v>179.81</v>
      </c>
      <c r="M34" s="2"/>
      <c r="N34" s="19">
        <f t="shared" si="1"/>
        <v>1.1705618123820063</v>
      </c>
      <c r="O34" s="11"/>
      <c r="P34" s="2">
        <f>--973.59</f>
        <v>973.59</v>
      </c>
      <c r="Q34" s="2"/>
      <c r="R34" s="19"/>
      <c r="S34" s="2"/>
      <c r="T34" s="2">
        <f>--305.13</f>
        <v>305.13</v>
      </c>
      <c r="U34" s="2"/>
      <c r="V34" s="19"/>
      <c r="W34" s="2"/>
      <c r="X34" s="2">
        <f t="shared" si="2"/>
        <v>668.46</v>
      </c>
      <c r="Y34" s="2"/>
      <c r="Z34" s="19">
        <f t="shared" si="3"/>
        <v>2.1907383738078852</v>
      </c>
    </row>
    <row r="35" spans="1:26" s="24" customFormat="1" hidden="1" outlineLevel="1" x14ac:dyDescent="0.25">
      <c r="A35" s="44"/>
      <c r="B35" s="11" t="str">
        <f>CONCATENATE("          ", "4143", " - ", "NON-TAXABLE SALES-CARDS")</f>
        <v xml:space="preserve">          4143 - NON-TAXABLE SALES-CARDS</v>
      </c>
      <c r="C35" s="11"/>
      <c r="D35" s="2">
        <f>--19.98</f>
        <v>19.98</v>
      </c>
      <c r="E35" s="2"/>
      <c r="F35" s="19"/>
      <c r="G35" s="2"/>
      <c r="H35" s="2">
        <f>0</f>
        <v>0</v>
      </c>
      <c r="I35" s="2"/>
      <c r="J35" s="19"/>
      <c r="K35" s="2"/>
      <c r="L35" s="2">
        <f t="shared" si="0"/>
        <v>19.98</v>
      </c>
      <c r="M35" s="2"/>
      <c r="N35" s="19">
        <f t="shared" si="1"/>
        <v>0</v>
      </c>
      <c r="O35" s="11"/>
      <c r="P35" s="2">
        <f>--19.98</f>
        <v>19.98</v>
      </c>
      <c r="Q35" s="2"/>
      <c r="R35" s="19"/>
      <c r="S35" s="2"/>
      <c r="T35" s="2">
        <f>0</f>
        <v>0</v>
      </c>
      <c r="U35" s="2"/>
      <c r="V35" s="19"/>
      <c r="W35" s="2"/>
      <c r="X35" s="2">
        <f t="shared" si="2"/>
        <v>19.98</v>
      </c>
      <c r="Y35" s="2"/>
      <c r="Z35" s="19">
        <f t="shared" si="3"/>
        <v>0</v>
      </c>
    </row>
    <row r="36" spans="1:26" s="24" customFormat="1" hidden="1" outlineLevel="1" x14ac:dyDescent="0.25">
      <c r="A36" s="44"/>
      <c r="B36" s="11" t="str">
        <f>CONCATENATE("          ", "4144", " - ", "NON-TAXABLE SALES-ACCESSORIES")</f>
        <v xml:space="preserve">          4144 - NON-TAXABLE SALES-ACCESSORIES</v>
      </c>
      <c r="C36" s="11"/>
      <c r="D36" s="2">
        <f>--107.95</f>
        <v>107.95</v>
      </c>
      <c r="E36" s="2"/>
      <c r="F36" s="19"/>
      <c r="G36" s="2"/>
      <c r="H36" s="2">
        <f>--117.86</f>
        <v>117.86</v>
      </c>
      <c r="I36" s="2"/>
      <c r="J36" s="19"/>
      <c r="K36" s="2"/>
      <c r="L36" s="2">
        <f t="shared" si="0"/>
        <v>-9.9099999999999966</v>
      </c>
      <c r="M36" s="2"/>
      <c r="N36" s="19">
        <f t="shared" si="1"/>
        <v>-8.4082810113694187E-2</v>
      </c>
      <c r="O36" s="11"/>
      <c r="P36" s="2">
        <f>--155.8</f>
        <v>155.80000000000001</v>
      </c>
      <c r="Q36" s="2"/>
      <c r="R36" s="19"/>
      <c r="S36" s="2"/>
      <c r="T36" s="2">
        <f>--139.76</f>
        <v>139.76</v>
      </c>
      <c r="U36" s="2"/>
      <c r="V36" s="19"/>
      <c r="W36" s="2"/>
      <c r="X36" s="2">
        <f t="shared" si="2"/>
        <v>16.04000000000002</v>
      </c>
      <c r="Y36" s="2"/>
      <c r="Z36" s="19">
        <f t="shared" si="3"/>
        <v>0.11476817401259318</v>
      </c>
    </row>
    <row r="37" spans="1:26" s="24" customFormat="1" hidden="1" outlineLevel="1" x14ac:dyDescent="0.25">
      <c r="A37" s="44"/>
      <c r="B37" s="11" t="str">
        <f>CONCATENATE("          ", "4145", " - ", "NON-TAXABLE SALES-SPECIAL ORDE")</f>
        <v xml:space="preserve">          4145 - NON-TAXABLE SALES-SPECIAL ORDE</v>
      </c>
      <c r="C37" s="11"/>
      <c r="D37" s="2">
        <f>--350</f>
        <v>350</v>
      </c>
      <c r="E37" s="2"/>
      <c r="F37" s="19"/>
      <c r="G37" s="2"/>
      <c r="H37" s="2">
        <f>--90</f>
        <v>90</v>
      </c>
      <c r="I37" s="2"/>
      <c r="J37" s="19"/>
      <c r="K37" s="2"/>
      <c r="L37" s="2">
        <f t="shared" si="0"/>
        <v>260</v>
      </c>
      <c r="M37" s="2"/>
      <c r="N37" s="19">
        <f t="shared" si="1"/>
        <v>2.8888888888888888</v>
      </c>
      <c r="O37" s="11"/>
      <c r="P37" s="2">
        <f>--35839</f>
        <v>35839</v>
      </c>
      <c r="Q37" s="2"/>
      <c r="R37" s="19"/>
      <c r="S37" s="2"/>
      <c r="T37" s="2">
        <f>--90</f>
        <v>90</v>
      </c>
      <c r="U37" s="2"/>
      <c r="V37" s="19"/>
      <c r="W37" s="2"/>
      <c r="X37" s="2">
        <f t="shared" si="2"/>
        <v>35749</v>
      </c>
      <c r="Y37" s="2"/>
      <c r="Z37" s="19">
        <f t="shared" si="3"/>
        <v>397.21111111111111</v>
      </c>
    </row>
    <row r="38" spans="1:26" s="24" customFormat="1" hidden="1" outlineLevel="1" x14ac:dyDescent="0.25">
      <c r="A38" s="44"/>
      <c r="B38" s="11" t="str">
        <f>CONCATENATE("          ", "4226", " - ", "SALES RETURN TAXABLE-WRITING I")</f>
        <v xml:space="preserve">          4226 - SALES RETURN TAXABLE-WRITING I</v>
      </c>
      <c r="C38" s="11"/>
      <c r="D38" s="2">
        <f>0</f>
        <v>0</v>
      </c>
      <c r="E38" s="2"/>
      <c r="F38" s="19"/>
      <c r="G38" s="2"/>
      <c r="H38" s="2">
        <f t="shared" ref="H38:H39" si="9">0</f>
        <v>0</v>
      </c>
      <c r="I38" s="2"/>
      <c r="J38" s="19"/>
      <c r="K38" s="2"/>
      <c r="L38" s="2">
        <f t="shared" si="0"/>
        <v>0</v>
      </c>
      <c r="M38" s="2"/>
      <c r="N38" s="19">
        <f t="shared" si="1"/>
        <v>0</v>
      </c>
      <c r="O38" s="11"/>
      <c r="P38" s="2">
        <f>-6.38</f>
        <v>-6.38</v>
      </c>
      <c r="Q38" s="2"/>
      <c r="R38" s="19"/>
      <c r="S38" s="2"/>
      <c r="T38" s="2">
        <f t="shared" ref="T38:T39" si="10">0</f>
        <v>0</v>
      </c>
      <c r="U38" s="2"/>
      <c r="V38" s="19"/>
      <c r="W38" s="2"/>
      <c r="X38" s="2">
        <f t="shared" si="2"/>
        <v>-6.38</v>
      </c>
      <c r="Y38" s="2"/>
      <c r="Z38" s="19">
        <f t="shared" si="3"/>
        <v>0</v>
      </c>
    </row>
    <row r="39" spans="1:26" s="24" customFormat="1" hidden="1" outlineLevel="1" x14ac:dyDescent="0.25">
      <c r="A39" s="44"/>
      <c r="B39" s="11" t="str">
        <f>CONCATENATE("          ", "4227", " - ", "SALES RETURN TAXABLE-SCHOOL SU")</f>
        <v xml:space="preserve">          4227 - SALES RETURN TAXABLE-SCHOOL SU</v>
      </c>
      <c r="C39" s="11"/>
      <c r="D39" s="2">
        <f>-219.22</f>
        <v>-219.22</v>
      </c>
      <c r="E39" s="2"/>
      <c r="F39" s="19"/>
      <c r="G39" s="2"/>
      <c r="H39" s="2">
        <f t="shared" si="9"/>
        <v>0</v>
      </c>
      <c r="I39" s="2"/>
      <c r="J39" s="19"/>
      <c r="K39" s="2"/>
      <c r="L39" s="2">
        <f t="shared" si="0"/>
        <v>-219.22</v>
      </c>
      <c r="M39" s="2"/>
      <c r="N39" s="19">
        <f t="shared" si="1"/>
        <v>0</v>
      </c>
      <c r="O39" s="11"/>
      <c r="P39" s="2">
        <f>-245.99</f>
        <v>-245.99</v>
      </c>
      <c r="Q39" s="2"/>
      <c r="R39" s="19"/>
      <c r="S39" s="2"/>
      <c r="T39" s="2">
        <f t="shared" si="10"/>
        <v>0</v>
      </c>
      <c r="U39" s="2"/>
      <c r="V39" s="19"/>
      <c r="W39" s="2"/>
      <c r="X39" s="2">
        <f t="shared" si="2"/>
        <v>-245.99</v>
      </c>
      <c r="Y39" s="2"/>
      <c r="Z39" s="19">
        <f t="shared" si="3"/>
        <v>0</v>
      </c>
    </row>
    <row r="40" spans="1:26" s="24" customFormat="1" hidden="1" outlineLevel="1" x14ac:dyDescent="0.25">
      <c r="A40" s="44"/>
      <c r="B40" s="11" t="str">
        <f>CONCATENATE("          ", "4240", " - ", "SALES RETURN TAXABLE-LOGO CLOT")</f>
        <v xml:space="preserve">          4240 - SALES RETURN TAXABLE-LOGO CLOT</v>
      </c>
      <c r="C40" s="11"/>
      <c r="D40" s="2">
        <f>-4088.27</f>
        <v>-4088.27</v>
      </c>
      <c r="E40" s="2"/>
      <c r="F40" s="19"/>
      <c r="G40" s="2"/>
      <c r="H40" s="2">
        <f>-5099.76</f>
        <v>-5099.76</v>
      </c>
      <c r="I40" s="2"/>
      <c r="J40" s="19"/>
      <c r="K40" s="2"/>
      <c r="L40" s="2">
        <f t="shared" si="0"/>
        <v>1011.4900000000002</v>
      </c>
      <c r="M40" s="2"/>
      <c r="N40" s="19">
        <f t="shared" si="1"/>
        <v>-0.1983407062293128</v>
      </c>
      <c r="O40" s="11"/>
      <c r="P40" s="2">
        <f>-6706.72</f>
        <v>-6706.72</v>
      </c>
      <c r="Q40" s="2"/>
      <c r="R40" s="19"/>
      <c r="S40" s="2"/>
      <c r="T40" s="2">
        <f>-8188.65</f>
        <v>-8188.65</v>
      </c>
      <c r="U40" s="2"/>
      <c r="V40" s="19"/>
      <c r="W40" s="2"/>
      <c r="X40" s="2">
        <f t="shared" si="2"/>
        <v>1481.9299999999994</v>
      </c>
      <c r="Y40" s="2"/>
      <c r="Z40" s="19">
        <f t="shared" si="3"/>
        <v>-0.18097366476769669</v>
      </c>
    </row>
    <row r="41" spans="1:26" s="24" customFormat="1" hidden="1" outlineLevel="1" x14ac:dyDescent="0.25">
      <c r="A41" s="44"/>
      <c r="B41" s="11" t="str">
        <f>CONCATENATE("          ", "4241", " - ", "SALES RETURN TAXABLE-LOGO GIFT")</f>
        <v xml:space="preserve">          4241 - SALES RETURN TAXABLE-LOGO GIFT</v>
      </c>
      <c r="C41" s="11"/>
      <c r="D41" s="2">
        <f>-435.91</f>
        <v>-435.91</v>
      </c>
      <c r="E41" s="2"/>
      <c r="F41" s="19"/>
      <c r="G41" s="2"/>
      <c r="H41" s="2">
        <f>-348.61</f>
        <v>-348.61</v>
      </c>
      <c r="I41" s="2"/>
      <c r="J41" s="19"/>
      <c r="K41" s="2"/>
      <c r="L41" s="2">
        <f t="shared" si="0"/>
        <v>-87.300000000000011</v>
      </c>
      <c r="M41" s="2"/>
      <c r="N41" s="19">
        <f t="shared" si="1"/>
        <v>0.25042310891827546</v>
      </c>
      <c r="O41" s="11"/>
      <c r="P41" s="2">
        <f>-744.04</f>
        <v>-744.04</v>
      </c>
      <c r="Q41" s="2"/>
      <c r="R41" s="19"/>
      <c r="S41" s="2"/>
      <c r="T41" s="2">
        <f>-890.3</f>
        <v>-890.3</v>
      </c>
      <c r="U41" s="2"/>
      <c r="V41" s="19"/>
      <c r="W41" s="2"/>
      <c r="X41" s="2">
        <f t="shared" si="2"/>
        <v>146.26</v>
      </c>
      <c r="Y41" s="2"/>
      <c r="Z41" s="19">
        <f t="shared" si="3"/>
        <v>-0.16428170279681006</v>
      </c>
    </row>
    <row r="42" spans="1:26" s="24" customFormat="1" hidden="1" outlineLevel="1" x14ac:dyDescent="0.25">
      <c r="A42" s="44"/>
      <c r="B42" s="11" t="str">
        <f>CONCATENATE("          ", "4242", " - ", "SALES RETURN TAXABLE-EVERYDAY")</f>
        <v xml:space="preserve">          4242 - SALES RETURN TAXABLE-EVERYDAY</v>
      </c>
      <c r="C42" s="11"/>
      <c r="D42" s="2">
        <f>-447.81</f>
        <v>-447.81</v>
      </c>
      <c r="E42" s="2"/>
      <c r="F42" s="19"/>
      <c r="G42" s="2"/>
      <c r="H42" s="2">
        <f>-349.49</f>
        <v>-349.49</v>
      </c>
      <c r="I42" s="2"/>
      <c r="J42" s="19"/>
      <c r="K42" s="2"/>
      <c r="L42" s="2">
        <f t="shared" si="0"/>
        <v>-98.32</v>
      </c>
      <c r="M42" s="2"/>
      <c r="N42" s="19">
        <f t="shared" si="1"/>
        <v>0.28132421528512974</v>
      </c>
      <c r="O42" s="11"/>
      <c r="P42" s="2">
        <f>-552.91</f>
        <v>-552.91</v>
      </c>
      <c r="Q42" s="2"/>
      <c r="R42" s="19"/>
      <c r="S42" s="2"/>
      <c r="T42" s="2">
        <f>-664.32</f>
        <v>-664.32</v>
      </c>
      <c r="U42" s="2"/>
      <c r="V42" s="19"/>
      <c r="W42" s="2"/>
      <c r="X42" s="2">
        <f t="shared" si="2"/>
        <v>111.41000000000008</v>
      </c>
      <c r="Y42" s="2"/>
      <c r="Z42" s="19">
        <f t="shared" si="3"/>
        <v>-0.16770532273603095</v>
      </c>
    </row>
    <row r="43" spans="1:26" s="24" customFormat="1" hidden="1" outlineLevel="1" x14ac:dyDescent="0.25">
      <c r="A43" s="44"/>
      <c r="B43" s="11" t="str">
        <f>CONCATENATE("          ", "4243", " - ", "SALES RETURN TAXABLE-CARDS")</f>
        <v xml:space="preserve">          4243 - SALES RETURN TAXABLE-CARDS</v>
      </c>
      <c r="C43" s="11"/>
      <c r="D43" s="2">
        <f>-93.43</f>
        <v>-93.43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-93.43</v>
      </c>
      <c r="M43" s="2"/>
      <c r="N43" s="19">
        <f t="shared" si="1"/>
        <v>0</v>
      </c>
      <c r="O43" s="11"/>
      <c r="P43" s="2">
        <f>-93.43</f>
        <v>-93.43</v>
      </c>
      <c r="Q43" s="2"/>
      <c r="R43" s="19"/>
      <c r="S43" s="2"/>
      <c r="T43" s="2">
        <f>0</f>
        <v>0</v>
      </c>
      <c r="U43" s="2"/>
      <c r="V43" s="19"/>
      <c r="W43" s="2"/>
      <c r="X43" s="2">
        <f t="shared" si="2"/>
        <v>-93.43</v>
      </c>
      <c r="Y43" s="2"/>
      <c r="Z43" s="19">
        <f t="shared" si="3"/>
        <v>0</v>
      </c>
    </row>
    <row r="44" spans="1:26" s="24" customFormat="1" hidden="1" outlineLevel="1" x14ac:dyDescent="0.25">
      <c r="A44" s="44"/>
      <c r="B44" s="11" t="str">
        <f>CONCATENATE("          ", "4244", " - ", "SALES RETURN TAXABLE-ACCESSORI")</f>
        <v xml:space="preserve">          4244 - SALES RETURN TAXABLE-ACCESSORI</v>
      </c>
      <c r="C44" s="11"/>
      <c r="D44" s="2">
        <f>-350.99</f>
        <v>-350.99</v>
      </c>
      <c r="E44" s="2"/>
      <c r="F44" s="19"/>
      <c r="G44" s="2"/>
      <c r="H44" s="2">
        <f>-420.73</f>
        <v>-420.73</v>
      </c>
      <c r="I44" s="2"/>
      <c r="J44" s="19"/>
      <c r="K44" s="2"/>
      <c r="L44" s="2">
        <f t="shared" si="0"/>
        <v>69.740000000000009</v>
      </c>
      <c r="M44" s="2"/>
      <c r="N44" s="19">
        <f t="shared" si="1"/>
        <v>-0.16575951322701021</v>
      </c>
      <c r="O44" s="11"/>
      <c r="P44" s="2">
        <f>-350.99</f>
        <v>-350.99</v>
      </c>
      <c r="Q44" s="2"/>
      <c r="R44" s="19"/>
      <c r="S44" s="2"/>
      <c r="T44" s="2">
        <f>-527.52</f>
        <v>-527.52</v>
      </c>
      <c r="U44" s="2"/>
      <c r="V44" s="19"/>
      <c r="W44" s="2"/>
      <c r="X44" s="2">
        <f t="shared" si="2"/>
        <v>176.52999999999997</v>
      </c>
      <c r="Y44" s="2"/>
      <c r="Z44" s="19">
        <f t="shared" si="3"/>
        <v>-0.33464134061267814</v>
      </c>
    </row>
    <row r="45" spans="1:26" s="24" customFormat="1" hidden="1" outlineLevel="1" x14ac:dyDescent="0.25">
      <c r="A45" s="44"/>
      <c r="B45" s="11" t="str">
        <f>CONCATENATE("          ", "4245", " - ", "SALES RETURN TAXABLE-SPECIAL O")</f>
        <v xml:space="preserve">          4245 - SALES RETURN TAXABLE-SPECIAL O</v>
      </c>
      <c r="C45" s="11"/>
      <c r="D45" s="2">
        <f>-57.96</f>
        <v>-57.96</v>
      </c>
      <c r="E45" s="2"/>
      <c r="F45" s="19"/>
      <c r="G45" s="2"/>
      <c r="H45" s="2">
        <f>-9.99</f>
        <v>-9.99</v>
      </c>
      <c r="I45" s="2"/>
      <c r="J45" s="19"/>
      <c r="K45" s="2"/>
      <c r="L45" s="2">
        <f t="shared" si="0"/>
        <v>-47.97</v>
      </c>
      <c r="M45" s="2"/>
      <c r="N45" s="19">
        <f t="shared" si="1"/>
        <v>4.8018018018018012</v>
      </c>
      <c r="O45" s="11"/>
      <c r="P45" s="2">
        <f>-1171.96</f>
        <v>-1171.96</v>
      </c>
      <c r="Q45" s="2"/>
      <c r="R45" s="19"/>
      <c r="S45" s="2"/>
      <c r="T45" s="2">
        <f>-9.99</f>
        <v>-9.99</v>
      </c>
      <c r="U45" s="2"/>
      <c r="V45" s="19"/>
      <c r="W45" s="2"/>
      <c r="X45" s="2">
        <f t="shared" si="2"/>
        <v>-1161.97</v>
      </c>
      <c r="Y45" s="2"/>
      <c r="Z45" s="19">
        <f t="shared" si="3"/>
        <v>116.31331331331332</v>
      </c>
    </row>
    <row r="46" spans="1:26" s="24" customFormat="1" hidden="1" outlineLevel="1" x14ac:dyDescent="0.25">
      <c r="A46" s="44"/>
      <c r="B46" s="11" t="str">
        <f>CONCATENATE("          ", "4340", " - ", "SALES RETURN NON TAXABLE-LOGO")</f>
        <v xml:space="preserve">          4340 - SALES RETURN NON TAXABLE-LOGO</v>
      </c>
      <c r="C46" s="11"/>
      <c r="D46" s="2">
        <f>-69.9</f>
        <v>-69.900000000000006</v>
      </c>
      <c r="E46" s="2"/>
      <c r="F46" s="19"/>
      <c r="G46" s="2"/>
      <c r="H46" s="2">
        <f>-44.95</f>
        <v>-44.95</v>
      </c>
      <c r="I46" s="2"/>
      <c r="J46" s="19"/>
      <c r="K46" s="2"/>
      <c r="L46" s="2">
        <f t="shared" si="0"/>
        <v>-24.950000000000003</v>
      </c>
      <c r="M46" s="2"/>
      <c r="N46" s="19">
        <f t="shared" si="1"/>
        <v>0.55506117908787544</v>
      </c>
      <c r="O46" s="11"/>
      <c r="P46" s="2">
        <f>-504.14</f>
        <v>-504.14</v>
      </c>
      <c r="Q46" s="2"/>
      <c r="R46" s="19"/>
      <c r="S46" s="2"/>
      <c r="T46" s="2">
        <f>-268.5</f>
        <v>-268.5</v>
      </c>
      <c r="U46" s="2"/>
      <c r="V46" s="19"/>
      <c r="W46" s="2"/>
      <c r="X46" s="2">
        <f t="shared" si="2"/>
        <v>-235.64</v>
      </c>
      <c r="Y46" s="2"/>
      <c r="Z46" s="19">
        <f t="shared" si="3"/>
        <v>0.87761638733705771</v>
      </c>
    </row>
    <row r="47" spans="1:26" s="24" customFormat="1" hidden="1" outlineLevel="1" x14ac:dyDescent="0.25">
      <c r="A47" s="44"/>
      <c r="B47" s="11" t="str">
        <f>CONCATENATE("          ", "4341", " - ", "SALES RETURN NON TAXABLE-LOGO")</f>
        <v xml:space="preserve">          4341 - SALES RETURN NON TAXABLE-LOGO</v>
      </c>
      <c r="C47" s="11"/>
      <c r="D47" s="2">
        <f>0</f>
        <v>0</v>
      </c>
      <c r="E47" s="2"/>
      <c r="F47" s="19"/>
      <c r="G47" s="2"/>
      <c r="H47" s="2">
        <f>-3.95</f>
        <v>-3.95</v>
      </c>
      <c r="I47" s="2"/>
      <c r="J47" s="19"/>
      <c r="K47" s="2"/>
      <c r="L47" s="2">
        <f t="shared" si="0"/>
        <v>3.95</v>
      </c>
      <c r="M47" s="2"/>
      <c r="N47" s="19">
        <f t="shared" si="1"/>
        <v>-1</v>
      </c>
      <c r="O47" s="11"/>
      <c r="P47" s="2">
        <f>-16.95</f>
        <v>-16.95</v>
      </c>
      <c r="Q47" s="2"/>
      <c r="R47" s="19"/>
      <c r="S47" s="2"/>
      <c r="T47" s="2">
        <f>-3.95</f>
        <v>-3.95</v>
      </c>
      <c r="U47" s="2"/>
      <c r="V47" s="19"/>
      <c r="W47" s="2"/>
      <c r="X47" s="2">
        <f t="shared" si="2"/>
        <v>-13</v>
      </c>
      <c r="Y47" s="2"/>
      <c r="Z47" s="19">
        <f t="shared" si="3"/>
        <v>3.2911392405063289</v>
      </c>
    </row>
    <row r="48" spans="1:26" s="24" customFormat="1" hidden="1" outlineLevel="1" x14ac:dyDescent="0.25">
      <c r="A48" s="44"/>
      <c r="B48" s="11" t="str">
        <f>CONCATENATE("          ", "4342", " - ", "SALES RETURN NON TAXABLE-EVERY")</f>
        <v xml:space="preserve">          4342 - SALES RETURN NON TAXABLE-EVERY</v>
      </c>
      <c r="C48" s="11"/>
      <c r="D48" s="2">
        <f>-13.9</f>
        <v>-13.9</v>
      </c>
      <c r="E48" s="2"/>
      <c r="F48" s="19"/>
      <c r="G48" s="2"/>
      <c r="H48" s="2">
        <f>0</f>
        <v>0</v>
      </c>
      <c r="I48" s="2"/>
      <c r="J48" s="19"/>
      <c r="K48" s="2"/>
      <c r="L48" s="2">
        <f t="shared" si="0"/>
        <v>-13.9</v>
      </c>
      <c r="M48" s="2"/>
      <c r="N48" s="19">
        <f t="shared" si="1"/>
        <v>0</v>
      </c>
      <c r="O48" s="11"/>
      <c r="P48" s="2">
        <f>-93.75</f>
        <v>-93.75</v>
      </c>
      <c r="Q48" s="2"/>
      <c r="R48" s="19"/>
      <c r="S48" s="2"/>
      <c r="T48" s="2">
        <f>0</f>
        <v>0</v>
      </c>
      <c r="U48" s="2"/>
      <c r="V48" s="19"/>
      <c r="W48" s="2"/>
      <c r="X48" s="2">
        <f t="shared" si="2"/>
        <v>-93.75</v>
      </c>
      <c r="Y48" s="2"/>
      <c r="Z48" s="19">
        <f t="shared" si="3"/>
        <v>0</v>
      </c>
    </row>
    <row r="49" spans="1:26" x14ac:dyDescent="0.25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collapsed="1" x14ac:dyDescent="0.25">
      <c r="A50" s="10"/>
      <c r="B50" s="25" t="s">
        <v>8</v>
      </c>
      <c r="C50" s="10"/>
      <c r="D50" s="4">
        <f>SUM(OSRRefD16x_0)</f>
        <v>171786</v>
      </c>
      <c r="E50" s="4"/>
      <c r="F50" s="12">
        <f t="shared" ref="F50:F65" si="11">IF(D$12=0,0,D50/D$12)</f>
        <v>0.59593905551295145</v>
      </c>
      <c r="G50" s="4"/>
      <c r="H50" s="4">
        <f>SUM(OSRRefH16x_0)</f>
        <v>115676.49999999999</v>
      </c>
      <c r="I50" s="4"/>
      <c r="J50" s="12">
        <f t="shared" ref="J50:J65" si="12">IF(H$12=0,0,H50/H$12)</f>
        <v>0.45698328966024276</v>
      </c>
      <c r="K50" s="4"/>
      <c r="L50" s="4">
        <f t="shared" ref="L50:L65" si="13">+D50-H50</f>
        <v>56109.500000000015</v>
      </c>
      <c r="M50" s="4"/>
      <c r="N50" s="12">
        <f t="shared" ref="N50:N65" si="14">IF(H50=0,0,L50/H50)</f>
        <v>0.48505530509654099</v>
      </c>
      <c r="O50" s="10"/>
      <c r="P50" s="4">
        <f>SUM(OSRRefP16x_0)</f>
        <v>271955.94000000006</v>
      </c>
      <c r="Q50" s="4"/>
      <c r="R50" s="12">
        <f t="shared" ref="R50:R65" si="15">IF(P$12=0,0,P50/P$12)</f>
        <v>0.62352038085292472</v>
      </c>
      <c r="S50" s="4"/>
      <c r="T50" s="4">
        <f>SUM(OSRRefT16x_0)</f>
        <v>201523.28000000003</v>
      </c>
      <c r="U50" s="4"/>
      <c r="V50" s="12">
        <f t="shared" ref="V50:V65" si="16">IF(T$12=0,0,T50/T$12)</f>
        <v>0.46457928756109212</v>
      </c>
      <c r="W50" s="4"/>
      <c r="X50" s="4">
        <f t="shared" ref="X50:X65" si="17">+P50-T50</f>
        <v>70432.660000000033</v>
      </c>
      <c r="Y50" s="4"/>
      <c r="Z50" s="12">
        <f t="shared" ref="Z50:Z65" si="18">IF(T50=0,0,X50/T50)</f>
        <v>0.34950135785801034</v>
      </c>
    </row>
    <row r="51" spans="1:26" s="24" customFormat="1" hidden="1" outlineLevel="1" x14ac:dyDescent="0.25">
      <c r="A51" s="44"/>
      <c r="B51" s="11" t="str">
        <f>CONCATENATE("          ", "5027", " - ", "PURCHASES @ COST-SCHOOL SUPPLI")</f>
        <v xml:space="preserve">          5027 - PURCHASES @ COST-SCHOOL SUPPLI</v>
      </c>
      <c r="C51" s="11"/>
      <c r="D51" s="2"/>
      <c r="E51" s="2"/>
      <c r="F51" s="19">
        <f t="shared" si="11"/>
        <v>0</v>
      </c>
      <c r="G51" s="2"/>
      <c r="H51" s="2"/>
      <c r="I51" s="2"/>
      <c r="J51" s="19">
        <f t="shared" si="12"/>
        <v>0</v>
      </c>
      <c r="K51" s="2"/>
      <c r="L51" s="2">
        <f t="shared" si="13"/>
        <v>0</v>
      </c>
      <c r="M51" s="2"/>
      <c r="N51" s="19">
        <f t="shared" si="14"/>
        <v>0</v>
      </c>
      <c r="O51" s="11"/>
      <c r="P51" s="2">
        <v>8503.4</v>
      </c>
      <c r="Q51" s="2"/>
      <c r="R51" s="19">
        <f t="shared" si="15"/>
        <v>1.9495963965871672E-2</v>
      </c>
      <c r="S51" s="2"/>
      <c r="T51" s="2"/>
      <c r="U51" s="2"/>
      <c r="V51" s="19">
        <f t="shared" si="16"/>
        <v>0</v>
      </c>
      <c r="W51" s="2"/>
      <c r="X51" s="2">
        <f t="shared" si="17"/>
        <v>8503.4</v>
      </c>
      <c r="Y51" s="2"/>
      <c r="Z51" s="19">
        <f t="shared" si="18"/>
        <v>0</v>
      </c>
    </row>
    <row r="52" spans="1:26" s="24" customFormat="1" hidden="1" outlineLevel="1" x14ac:dyDescent="0.25">
      <c r="A52" s="44"/>
      <c r="B52" s="11" t="str">
        <f>CONCATENATE("          ", "5040", " - ", "PURCHASES @ COST-LOGO CLOTHING")</f>
        <v xml:space="preserve">          5040 - PURCHASES @ COST-LOGO CLOTHING</v>
      </c>
      <c r="C52" s="11"/>
      <c r="D52" s="2">
        <v>7628.83</v>
      </c>
      <c r="E52" s="2"/>
      <c r="F52" s="19">
        <f t="shared" si="11"/>
        <v>2.646500730483782E-2</v>
      </c>
      <c r="G52" s="2"/>
      <c r="H52" s="2">
        <v>73580.819999999992</v>
      </c>
      <c r="I52" s="2"/>
      <c r="J52" s="19">
        <f t="shared" si="12"/>
        <v>0.29068311350618475</v>
      </c>
      <c r="K52" s="2"/>
      <c r="L52" s="2">
        <f t="shared" si="13"/>
        <v>-65951.989999999991</v>
      </c>
      <c r="M52" s="2"/>
      <c r="N52" s="19">
        <f t="shared" si="14"/>
        <v>-0.89632039979983913</v>
      </c>
      <c r="O52" s="11"/>
      <c r="P52" s="2">
        <v>9351.9</v>
      </c>
      <c r="Q52" s="2"/>
      <c r="R52" s="19">
        <f t="shared" si="15"/>
        <v>2.1441341747117072E-2</v>
      </c>
      <c r="S52" s="2"/>
      <c r="T52" s="2">
        <v>127717.81</v>
      </c>
      <c r="U52" s="2"/>
      <c r="V52" s="19">
        <f t="shared" si="16"/>
        <v>0.2944327284602698</v>
      </c>
      <c r="W52" s="2"/>
      <c r="X52" s="2">
        <f t="shared" si="17"/>
        <v>-118365.91</v>
      </c>
      <c r="Y52" s="2"/>
      <c r="Z52" s="19">
        <f t="shared" si="18"/>
        <v>-0.92677685281324507</v>
      </c>
    </row>
    <row r="53" spans="1:26" s="24" customFormat="1" hidden="1" outlineLevel="1" x14ac:dyDescent="0.25">
      <c r="A53" s="44"/>
      <c r="B53" s="11" t="str">
        <f>CONCATENATE("          ", "5041", " - ", "PURCHASES @ COST-LOGO GIFTS")</f>
        <v xml:space="preserve">          5041 - PURCHASES @ COST-LOGO GIFTS</v>
      </c>
      <c r="C53" s="11"/>
      <c r="D53" s="2">
        <v>1843.29</v>
      </c>
      <c r="E53" s="2"/>
      <c r="F53" s="19">
        <f t="shared" si="11"/>
        <v>6.3945170248825185E-3</v>
      </c>
      <c r="G53" s="2"/>
      <c r="H53" s="2">
        <v>13295.03</v>
      </c>
      <c r="I53" s="2"/>
      <c r="J53" s="19">
        <f t="shared" si="12"/>
        <v>5.2522392582171992E-2</v>
      </c>
      <c r="K53" s="2"/>
      <c r="L53" s="2">
        <f t="shared" si="13"/>
        <v>-11451.740000000002</v>
      </c>
      <c r="M53" s="2"/>
      <c r="N53" s="19">
        <f t="shared" si="14"/>
        <v>-0.86135495745402613</v>
      </c>
      <c r="O53" s="11"/>
      <c r="P53" s="2">
        <v>1129.54</v>
      </c>
      <c r="Q53" s="2"/>
      <c r="R53" s="19">
        <f t="shared" si="15"/>
        <v>2.5897254201861244E-3</v>
      </c>
      <c r="S53" s="2"/>
      <c r="T53" s="2">
        <v>20062.54</v>
      </c>
      <c r="U53" s="2"/>
      <c r="V53" s="19">
        <f t="shared" si="16"/>
        <v>4.6250937062288347E-2</v>
      </c>
      <c r="W53" s="2"/>
      <c r="X53" s="2">
        <f t="shared" si="17"/>
        <v>-18933</v>
      </c>
      <c r="Y53" s="2"/>
      <c r="Z53" s="19">
        <f t="shared" si="18"/>
        <v>-0.94369905306107793</v>
      </c>
    </row>
    <row r="54" spans="1:26" s="24" customFormat="1" hidden="1" outlineLevel="1" x14ac:dyDescent="0.25">
      <c r="A54" s="44"/>
      <c r="B54" s="11" t="str">
        <f>CONCATENATE("          ", "5042", " - ", "PURCHASES @ COST-EVERYDAY GIFT")</f>
        <v xml:space="preserve">          5042 - PURCHASES @ COST-EVERYDAY GIFT</v>
      </c>
      <c r="C54" s="11"/>
      <c r="D54" s="2">
        <v>732.99</v>
      </c>
      <c r="E54" s="2"/>
      <c r="F54" s="19">
        <f t="shared" si="11"/>
        <v>2.5427995779658315E-3</v>
      </c>
      <c r="G54" s="2"/>
      <c r="H54" s="2">
        <v>12210.66</v>
      </c>
      <c r="I54" s="2"/>
      <c r="J54" s="19">
        <f t="shared" si="12"/>
        <v>4.8238558183578688E-2</v>
      </c>
      <c r="K54" s="2"/>
      <c r="L54" s="2">
        <f t="shared" si="13"/>
        <v>-11477.67</v>
      </c>
      <c r="M54" s="2"/>
      <c r="N54" s="19">
        <f t="shared" si="14"/>
        <v>-0.93997130376245019</v>
      </c>
      <c r="O54" s="11"/>
      <c r="P54" s="2">
        <v>969.15</v>
      </c>
      <c r="Q54" s="2"/>
      <c r="R54" s="19">
        <f t="shared" si="15"/>
        <v>2.2219951404761074E-3</v>
      </c>
      <c r="S54" s="2"/>
      <c r="T54" s="2">
        <v>17343.7</v>
      </c>
      <c r="U54" s="2"/>
      <c r="V54" s="19">
        <f t="shared" si="16"/>
        <v>3.9983091728525419E-2</v>
      </c>
      <c r="W54" s="2"/>
      <c r="X54" s="2">
        <f t="shared" si="17"/>
        <v>-16374.550000000001</v>
      </c>
      <c r="Y54" s="2"/>
      <c r="Z54" s="19">
        <f t="shared" si="18"/>
        <v>-0.94412091998823777</v>
      </c>
    </row>
    <row r="55" spans="1:26" s="24" customFormat="1" hidden="1" outlineLevel="1" x14ac:dyDescent="0.25">
      <c r="A55" s="44"/>
      <c r="B55" s="11" t="str">
        <f>CONCATENATE("          ", "5043", " - ", "PURCHASES @ COST-CARDS")</f>
        <v xml:space="preserve">          5043 - PURCHASES @ COST-CARDS</v>
      </c>
      <c r="C55" s="11"/>
      <c r="D55" s="2">
        <v>1406.55</v>
      </c>
      <c r="E55" s="2"/>
      <c r="F55" s="19">
        <f t="shared" si="11"/>
        <v>4.8794318427097779E-3</v>
      </c>
      <c r="G55" s="2"/>
      <c r="H55" s="2">
        <v>15.24</v>
      </c>
      <c r="I55" s="2"/>
      <c r="J55" s="19">
        <f t="shared" si="12"/>
        <v>6.0206051656318267E-5</v>
      </c>
      <c r="K55" s="2"/>
      <c r="L55" s="2">
        <f t="shared" si="13"/>
        <v>1391.31</v>
      </c>
      <c r="M55" s="2"/>
      <c r="N55" s="19">
        <f t="shared" si="14"/>
        <v>91.293307086614163</v>
      </c>
      <c r="O55" s="11"/>
      <c r="P55" s="2">
        <v>1715.25</v>
      </c>
      <c r="Q55" s="2"/>
      <c r="R55" s="19">
        <f t="shared" si="15"/>
        <v>3.9325978070491084E-3</v>
      </c>
      <c r="S55" s="2"/>
      <c r="T55" s="2">
        <v>513.5</v>
      </c>
      <c r="U55" s="2"/>
      <c r="V55" s="19">
        <f t="shared" si="16"/>
        <v>1.1837910943223074E-3</v>
      </c>
      <c r="W55" s="2"/>
      <c r="X55" s="2">
        <f t="shared" si="17"/>
        <v>1201.75</v>
      </c>
      <c r="Y55" s="2"/>
      <c r="Z55" s="19">
        <f t="shared" si="18"/>
        <v>2.3403115871470304</v>
      </c>
    </row>
    <row r="56" spans="1:26" s="24" customFormat="1" hidden="1" outlineLevel="1" x14ac:dyDescent="0.25">
      <c r="A56" s="44"/>
      <c r="B56" s="11" t="str">
        <f>CONCATENATE("          ", "5044", " - ", "PURCHASES @ COST-ACCESSORIES")</f>
        <v xml:space="preserve">          5044 - PURCHASES @ COST-ACCESSORIES</v>
      </c>
      <c r="C56" s="11"/>
      <c r="D56" s="2"/>
      <c r="E56" s="2"/>
      <c r="F56" s="19">
        <f t="shared" si="11"/>
        <v>0</v>
      </c>
      <c r="G56" s="2"/>
      <c r="H56" s="2">
        <v>12089.9</v>
      </c>
      <c r="I56" s="2"/>
      <c r="J56" s="19">
        <f t="shared" si="12"/>
        <v>4.7761492383183869E-2</v>
      </c>
      <c r="K56" s="2"/>
      <c r="L56" s="2">
        <f t="shared" si="13"/>
        <v>-12089.9</v>
      </c>
      <c r="M56" s="2"/>
      <c r="N56" s="19">
        <f t="shared" si="14"/>
        <v>-1</v>
      </c>
      <c r="O56" s="11"/>
      <c r="P56" s="2"/>
      <c r="Q56" s="2"/>
      <c r="R56" s="19">
        <f t="shared" si="15"/>
        <v>0</v>
      </c>
      <c r="S56" s="2"/>
      <c r="T56" s="2">
        <v>16594.79</v>
      </c>
      <c r="U56" s="2"/>
      <c r="V56" s="19">
        <f t="shared" si="16"/>
        <v>3.825660100126365E-2</v>
      </c>
      <c r="W56" s="2"/>
      <c r="X56" s="2">
        <f t="shared" si="17"/>
        <v>-16594.79</v>
      </c>
      <c r="Y56" s="2"/>
      <c r="Z56" s="19">
        <f t="shared" si="18"/>
        <v>-1</v>
      </c>
    </row>
    <row r="57" spans="1:26" s="24" customFormat="1" hidden="1" outlineLevel="1" x14ac:dyDescent="0.25">
      <c r="A57" s="44"/>
      <c r="B57" s="11" t="str">
        <f>CONCATENATE("          ", "5045", " - ", "PURCHASES @ COST-SPECIAL ORDER")</f>
        <v xml:space="preserve">          5045 - PURCHASES @ COST-SPECIAL ORDER</v>
      </c>
      <c r="C57" s="11"/>
      <c r="D57" s="2">
        <v>5633.96</v>
      </c>
      <c r="E57" s="2"/>
      <c r="F57" s="19">
        <f t="shared" si="11"/>
        <v>1.9544647417122165E-2</v>
      </c>
      <c r="G57" s="2"/>
      <c r="H57" s="2">
        <v>3898.78</v>
      </c>
      <c r="I57" s="2"/>
      <c r="J57" s="19">
        <f t="shared" si="12"/>
        <v>1.5402240818675889E-2</v>
      </c>
      <c r="K57" s="2"/>
      <c r="L57" s="2">
        <f t="shared" si="13"/>
        <v>1735.1799999999998</v>
      </c>
      <c r="M57" s="2"/>
      <c r="N57" s="19">
        <f t="shared" si="14"/>
        <v>0.44505717173064391</v>
      </c>
      <c r="O57" s="11"/>
      <c r="P57" s="2">
        <v>8390.17</v>
      </c>
      <c r="Q57" s="2"/>
      <c r="R57" s="19">
        <f t="shared" si="15"/>
        <v>1.9236358631551796E-2</v>
      </c>
      <c r="S57" s="2"/>
      <c r="T57" s="2">
        <v>19846.63</v>
      </c>
      <c r="U57" s="2"/>
      <c r="V57" s="19">
        <f t="shared" si="16"/>
        <v>4.5753191521538339E-2</v>
      </c>
      <c r="W57" s="2"/>
      <c r="X57" s="2">
        <f t="shared" si="17"/>
        <v>-11456.460000000001</v>
      </c>
      <c r="Y57" s="2"/>
      <c r="Z57" s="19">
        <f t="shared" si="18"/>
        <v>-0.57724963885556391</v>
      </c>
    </row>
    <row r="58" spans="1:26" s="24" customFormat="1" hidden="1" outlineLevel="1" x14ac:dyDescent="0.25">
      <c r="A58" s="44"/>
      <c r="B58" s="11" t="str">
        <f>CONCATENATE("          ", "5200", " - ", "PURCHASES OFFSET")</f>
        <v xml:space="preserve">          5200 - PURCHASES OFFSET</v>
      </c>
      <c r="C58" s="11"/>
      <c r="D58" s="2">
        <v>-18536.04</v>
      </c>
      <c r="E58" s="2"/>
      <c r="F58" s="19">
        <f t="shared" si="11"/>
        <v>-6.4302970967077003E-2</v>
      </c>
      <c r="G58" s="2"/>
      <c r="H58" s="2">
        <v>-117616</v>
      </c>
      <c r="I58" s="2"/>
      <c r="J58" s="19">
        <f t="shared" si="12"/>
        <v>-0.46464533934445734</v>
      </c>
      <c r="K58" s="2"/>
      <c r="L58" s="2">
        <f t="shared" si="13"/>
        <v>99079.959999999992</v>
      </c>
      <c r="M58" s="2"/>
      <c r="N58" s="19">
        <f t="shared" si="14"/>
        <v>-0.84240205414229352</v>
      </c>
      <c r="O58" s="11"/>
      <c r="P58" s="2">
        <v>-31649.64</v>
      </c>
      <c r="Q58" s="2"/>
      <c r="R58" s="19">
        <f t="shared" si="15"/>
        <v>-7.256394394863358E-2</v>
      </c>
      <c r="S58" s="2"/>
      <c r="T58" s="2">
        <v>-205588</v>
      </c>
      <c r="U58" s="2"/>
      <c r="V58" s="19">
        <f t="shared" si="16"/>
        <v>-0.47394984128439055</v>
      </c>
      <c r="W58" s="2"/>
      <c r="X58" s="2">
        <f t="shared" si="17"/>
        <v>173938.36</v>
      </c>
      <c r="Y58" s="2"/>
      <c r="Z58" s="19">
        <f t="shared" si="18"/>
        <v>-0.84605307702784205</v>
      </c>
    </row>
    <row r="59" spans="1:26" s="24" customFormat="1" hidden="1" outlineLevel="1" x14ac:dyDescent="0.25">
      <c r="A59" s="44"/>
      <c r="B59" s="11" t="str">
        <f>CONCATENATE("          ", "5300", " - ", "COG$ OFFSET")</f>
        <v xml:space="preserve">          5300 - COG$ OFFSET</v>
      </c>
      <c r="C59" s="11"/>
      <c r="D59" s="2">
        <v>171786</v>
      </c>
      <c r="E59" s="2"/>
      <c r="F59" s="19">
        <f t="shared" si="11"/>
        <v>0.59593905551295145</v>
      </c>
      <c r="G59" s="2"/>
      <c r="H59" s="2">
        <v>115678</v>
      </c>
      <c r="I59" s="2"/>
      <c r="J59" s="19">
        <f t="shared" si="12"/>
        <v>0.45698921545272864</v>
      </c>
      <c r="K59" s="2"/>
      <c r="L59" s="2">
        <f t="shared" si="13"/>
        <v>56108</v>
      </c>
      <c r="M59" s="2"/>
      <c r="N59" s="19">
        <f t="shared" si="14"/>
        <v>0.48503604834108471</v>
      </c>
      <c r="O59" s="11"/>
      <c r="P59" s="2">
        <v>270956</v>
      </c>
      <c r="Q59" s="2"/>
      <c r="R59" s="19">
        <f t="shared" si="15"/>
        <v>0.62122779268724571</v>
      </c>
      <c r="S59" s="2"/>
      <c r="T59" s="2">
        <v>201525</v>
      </c>
      <c r="U59" s="2"/>
      <c r="V59" s="19">
        <f t="shared" si="16"/>
        <v>0.46458325274255696</v>
      </c>
      <c r="W59" s="2"/>
      <c r="X59" s="2">
        <f t="shared" si="17"/>
        <v>69431</v>
      </c>
      <c r="Y59" s="2"/>
      <c r="Z59" s="19">
        <f t="shared" si="18"/>
        <v>0.3445279741967498</v>
      </c>
    </row>
    <row r="60" spans="1:26" s="24" customFormat="1" hidden="1" outlineLevel="1" x14ac:dyDescent="0.25">
      <c r="A60" s="44"/>
      <c r="B60" s="11" t="str">
        <f>CONCATENATE("          ", "5540", " - ", "FREIGHT-IN-LOGO CLOTHING")</f>
        <v xml:space="preserve">          5540 - FREIGHT-IN-LOGO CLOTHING</v>
      </c>
      <c r="C60" s="11"/>
      <c r="D60" s="2">
        <v>1021.7</v>
      </c>
      <c r="E60" s="2"/>
      <c r="F60" s="19">
        <f t="shared" si="11"/>
        <v>3.5443571246643068E-3</v>
      </c>
      <c r="G60" s="2"/>
      <c r="H60" s="2">
        <v>1936.72</v>
      </c>
      <c r="I60" s="2"/>
      <c r="J60" s="19">
        <f t="shared" si="12"/>
        <v>7.6510672154740632E-3</v>
      </c>
      <c r="K60" s="2"/>
      <c r="L60" s="2">
        <f t="shared" si="13"/>
        <v>-915.02</v>
      </c>
      <c r="M60" s="2"/>
      <c r="N60" s="19">
        <f t="shared" si="14"/>
        <v>-0.47245858978066008</v>
      </c>
      <c r="O60" s="11"/>
      <c r="P60" s="2">
        <v>1931.53</v>
      </c>
      <c r="Q60" s="2"/>
      <c r="R60" s="19">
        <f t="shared" si="15"/>
        <v>4.4284685277653779E-3</v>
      </c>
      <c r="S60" s="2"/>
      <c r="T60" s="2">
        <v>2331.94</v>
      </c>
      <c r="U60" s="2"/>
      <c r="V60" s="19">
        <f t="shared" si="16"/>
        <v>5.3759100379629247E-3</v>
      </c>
      <c r="W60" s="2"/>
      <c r="X60" s="2">
        <f t="shared" si="17"/>
        <v>-400.41000000000008</v>
      </c>
      <c r="Y60" s="2"/>
      <c r="Z60" s="19">
        <f t="shared" si="18"/>
        <v>-0.17170681921490263</v>
      </c>
    </row>
    <row r="61" spans="1:26" s="24" customFormat="1" hidden="1" outlineLevel="1" x14ac:dyDescent="0.25">
      <c r="A61" s="44"/>
      <c r="B61" s="11" t="str">
        <f>CONCATENATE("          ", "5541", " - ", "FREIGHT-IN-LOGO GIFTS")</f>
        <v xml:space="preserve">          5541 - FREIGHT-IN-LOGO GIFTS</v>
      </c>
      <c r="C61" s="11"/>
      <c r="D61" s="2">
        <v>123.12</v>
      </c>
      <c r="E61" s="2"/>
      <c r="F61" s="19">
        <f t="shared" si="11"/>
        <v>4.2711289927441464E-4</v>
      </c>
      <c r="G61" s="2"/>
      <c r="H61" s="2">
        <v>405.92</v>
      </c>
      <c r="I61" s="2"/>
      <c r="J61" s="19">
        <f t="shared" si="12"/>
        <v>1.6035984572396794E-3</v>
      </c>
      <c r="K61" s="2"/>
      <c r="L61" s="2">
        <f t="shared" si="13"/>
        <v>-282.8</v>
      </c>
      <c r="M61" s="2"/>
      <c r="N61" s="19">
        <f t="shared" si="14"/>
        <v>-0.69668900275916434</v>
      </c>
      <c r="O61" s="11"/>
      <c r="P61" s="2">
        <v>206.7</v>
      </c>
      <c r="Q61" s="2"/>
      <c r="R61" s="19">
        <f t="shared" si="15"/>
        <v>4.739064082303167E-4</v>
      </c>
      <c r="S61" s="2"/>
      <c r="T61" s="2">
        <v>720.41</v>
      </c>
      <c r="U61" s="2"/>
      <c r="V61" s="19">
        <f t="shared" si="16"/>
        <v>1.6607885925233369E-3</v>
      </c>
      <c r="W61" s="2"/>
      <c r="X61" s="2">
        <f t="shared" si="17"/>
        <v>-513.71</v>
      </c>
      <c r="Y61" s="2"/>
      <c r="Z61" s="19">
        <f t="shared" si="18"/>
        <v>-0.71308005163726218</v>
      </c>
    </row>
    <row r="62" spans="1:26" s="24" customFormat="1" hidden="1" outlineLevel="1" x14ac:dyDescent="0.25">
      <c r="A62" s="44"/>
      <c r="B62" s="11" t="str">
        <f>CONCATENATE("          ", "5542", " - ", "FREIGHT-IN-EVERYDAY GIFTS")</f>
        <v xml:space="preserve">          5542 - FREIGHT-IN-EVERYDAY GIFTS</v>
      </c>
      <c r="C62" s="11"/>
      <c r="D62" s="2"/>
      <c r="E62" s="2"/>
      <c r="F62" s="19">
        <f t="shared" si="11"/>
        <v>0</v>
      </c>
      <c r="G62" s="2"/>
      <c r="H62" s="2">
        <v>83.05</v>
      </c>
      <c r="I62" s="2"/>
      <c r="J62" s="19">
        <f t="shared" si="12"/>
        <v>3.2809137730034328E-4</v>
      </c>
      <c r="K62" s="2"/>
      <c r="L62" s="2">
        <f t="shared" si="13"/>
        <v>-83.05</v>
      </c>
      <c r="M62" s="2"/>
      <c r="N62" s="19">
        <f t="shared" si="14"/>
        <v>-1</v>
      </c>
      <c r="O62" s="11"/>
      <c r="P62" s="2">
        <v>5.94</v>
      </c>
      <c r="Q62" s="2"/>
      <c r="R62" s="19">
        <f t="shared" si="15"/>
        <v>1.3618790831582397E-5</v>
      </c>
      <c r="S62" s="2"/>
      <c r="T62" s="2">
        <v>112.77</v>
      </c>
      <c r="U62" s="2"/>
      <c r="V62" s="19">
        <f t="shared" si="16"/>
        <v>2.5997297313870809E-4</v>
      </c>
      <c r="W62" s="2"/>
      <c r="X62" s="2">
        <f t="shared" si="17"/>
        <v>-106.83</v>
      </c>
      <c r="Y62" s="2"/>
      <c r="Z62" s="19">
        <f t="shared" si="18"/>
        <v>-0.94732641660015959</v>
      </c>
    </row>
    <row r="63" spans="1:26" s="24" customFormat="1" hidden="1" outlineLevel="1" x14ac:dyDescent="0.25">
      <c r="A63" s="44"/>
      <c r="B63" s="11" t="str">
        <f>CONCATENATE("          ", "5543", " - ", "FREIGHT-IN-CARDS")</f>
        <v xml:space="preserve">          5543 - FREIGHT-IN-CARDS</v>
      </c>
      <c r="C63" s="11"/>
      <c r="D63" s="2"/>
      <c r="E63" s="2"/>
      <c r="F63" s="19">
        <f t="shared" si="11"/>
        <v>0</v>
      </c>
      <c r="G63" s="2"/>
      <c r="H63" s="2">
        <v>4.58</v>
      </c>
      <c r="I63" s="2"/>
      <c r="J63" s="19">
        <f t="shared" si="12"/>
        <v>1.8093419723486725E-5</v>
      </c>
      <c r="K63" s="2"/>
      <c r="L63" s="2">
        <f t="shared" si="13"/>
        <v>-4.58</v>
      </c>
      <c r="M63" s="2"/>
      <c r="N63" s="19">
        <f t="shared" si="14"/>
        <v>-1</v>
      </c>
      <c r="O63" s="11"/>
      <c r="P63" s="2"/>
      <c r="Q63" s="2"/>
      <c r="R63" s="19">
        <f t="shared" si="15"/>
        <v>0</v>
      </c>
      <c r="S63" s="2"/>
      <c r="T63" s="2">
        <v>4.58</v>
      </c>
      <c r="U63" s="2"/>
      <c r="V63" s="19">
        <f t="shared" si="16"/>
        <v>1.0558448319369363E-5</v>
      </c>
      <c r="W63" s="2"/>
      <c r="X63" s="2">
        <f t="shared" si="17"/>
        <v>-4.58</v>
      </c>
      <c r="Y63" s="2"/>
      <c r="Z63" s="19">
        <f t="shared" si="18"/>
        <v>-1</v>
      </c>
    </row>
    <row r="64" spans="1:26" s="24" customFormat="1" hidden="1" outlineLevel="1" x14ac:dyDescent="0.25">
      <c r="A64" s="44"/>
      <c r="B64" s="11" t="str">
        <f>CONCATENATE("          ", "5544", " - ", "FREIGHT-IN-ACCESSORIES")</f>
        <v xml:space="preserve">          5544 - FREIGHT-IN-ACCESSORIES</v>
      </c>
      <c r="C64" s="11"/>
      <c r="D64" s="2"/>
      <c r="E64" s="2"/>
      <c r="F64" s="19">
        <f t="shared" si="11"/>
        <v>0</v>
      </c>
      <c r="G64" s="2"/>
      <c r="H64" s="2">
        <v>84.93</v>
      </c>
      <c r="I64" s="2"/>
      <c r="J64" s="19">
        <f t="shared" si="12"/>
        <v>3.3551837054928552E-4</v>
      </c>
      <c r="K64" s="2"/>
      <c r="L64" s="2">
        <f t="shared" si="13"/>
        <v>-84.93</v>
      </c>
      <c r="M64" s="2"/>
      <c r="N64" s="19">
        <f t="shared" si="14"/>
        <v>-1</v>
      </c>
      <c r="O64" s="11"/>
      <c r="P64" s="2"/>
      <c r="Q64" s="2"/>
      <c r="R64" s="19">
        <f t="shared" si="15"/>
        <v>0</v>
      </c>
      <c r="S64" s="2"/>
      <c r="T64" s="2">
        <v>101.66</v>
      </c>
      <c r="U64" s="2"/>
      <c r="V64" s="19">
        <f t="shared" si="16"/>
        <v>2.3436066728102389E-4</v>
      </c>
      <c r="W64" s="2"/>
      <c r="X64" s="2">
        <f t="shared" si="17"/>
        <v>-101.66</v>
      </c>
      <c r="Y64" s="2"/>
      <c r="Z64" s="19">
        <f t="shared" si="18"/>
        <v>-1</v>
      </c>
    </row>
    <row r="65" spans="1:26" s="24" customFormat="1" hidden="1" outlineLevel="1" x14ac:dyDescent="0.25">
      <c r="A65" s="44"/>
      <c r="B65" s="11" t="str">
        <f>CONCATENATE("          ", "5545", " - ", "FREIGHT-IN-SPECIAL ORDERS")</f>
        <v xml:space="preserve">          5545 - FREIGHT-IN-SPECIAL ORDERS</v>
      </c>
      <c r="C65" s="11"/>
      <c r="D65" s="2">
        <v>145.6</v>
      </c>
      <c r="E65" s="2"/>
      <c r="F65" s="19">
        <f t="shared" si="11"/>
        <v>5.0509777562016546E-4</v>
      </c>
      <c r="G65" s="2"/>
      <c r="H65" s="2">
        <v>8.8699999999999992</v>
      </c>
      <c r="I65" s="2"/>
      <c r="J65" s="19">
        <f t="shared" si="12"/>
        <v>3.5041186233040882E-5</v>
      </c>
      <c r="K65" s="2"/>
      <c r="L65" s="2">
        <f t="shared" si="13"/>
        <v>136.72999999999999</v>
      </c>
      <c r="M65" s="2"/>
      <c r="N65" s="19">
        <f t="shared" si="14"/>
        <v>15.414881623449832</v>
      </c>
      <c r="O65" s="11"/>
      <c r="P65" s="2">
        <v>446</v>
      </c>
      <c r="Q65" s="2"/>
      <c r="R65" s="19">
        <f t="shared" si="15"/>
        <v>1.022555675233291E-3</v>
      </c>
      <c r="S65" s="2"/>
      <c r="T65" s="2">
        <v>235.95</v>
      </c>
      <c r="U65" s="2"/>
      <c r="V65" s="19">
        <f t="shared" si="16"/>
        <v>5.43944515492402E-4</v>
      </c>
      <c r="W65" s="2"/>
      <c r="X65" s="2">
        <f t="shared" si="17"/>
        <v>210.05</v>
      </c>
      <c r="Y65" s="2"/>
      <c r="Z65" s="19">
        <f t="shared" si="18"/>
        <v>0.89023098114007215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6" t="s">
        <v>6</v>
      </c>
      <c r="C67" s="26"/>
      <c r="D67" s="22">
        <f>D12-D50</f>
        <v>116475.01999999996</v>
      </c>
      <c r="E67" s="13"/>
      <c r="F67" s="21">
        <f>IF(D$12=0,0,D67/D$12)</f>
        <v>0.40406094448704849</v>
      </c>
      <c r="G67" s="13"/>
      <c r="H67" s="22">
        <f>H12-H50</f>
        <v>137454.19999999995</v>
      </c>
      <c r="I67" s="13"/>
      <c r="J67" s="21">
        <f>IF(H$12=0,0,H67/H$12)</f>
        <v>0.54301671033975718</v>
      </c>
      <c r="K67" s="16"/>
      <c r="L67" s="22">
        <f>+D67-H67</f>
        <v>-20979.179999999993</v>
      </c>
      <c r="M67" s="16"/>
      <c r="N67" s="21">
        <f>IF(H67=0,0,L67/H67)</f>
        <v>-0.1526266931094139</v>
      </c>
      <c r="O67" s="25"/>
      <c r="P67" s="22">
        <f>P12-P50</f>
        <v>164206.13</v>
      </c>
      <c r="Q67" s="13"/>
      <c r="R67" s="21">
        <f>IF(P$12=0,0,P67/P$12)</f>
        <v>0.37647961914707528</v>
      </c>
      <c r="S67" s="13"/>
      <c r="T67" s="22">
        <f>T12-T50</f>
        <v>232252.57999999996</v>
      </c>
      <c r="U67" s="13"/>
      <c r="V67" s="21">
        <f>IF(T$12=0,0,T67/T$12)</f>
        <v>0.53542071243890788</v>
      </c>
      <c r="W67" s="16"/>
      <c r="X67" s="22">
        <f>+P67-T67</f>
        <v>-68046.449999999953</v>
      </c>
      <c r="Y67" s="16"/>
      <c r="Z67" s="21">
        <f>IF(T67=0,0,X67/T67)</f>
        <v>-0.29298468934123345</v>
      </c>
    </row>
    <row r="68" spans="1:26" x14ac:dyDescent="0.25">
      <c r="A68" s="9"/>
      <c r="B68" s="10"/>
      <c r="C68" s="9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25">
      <c r="A69" s="10"/>
      <c r="B69" s="25" t="s">
        <v>9</v>
      </c>
      <c r="C69" s="10"/>
      <c r="D69" s="20">
        <f>SUM(OSRRefD22x_0)</f>
        <v>60098.720000000001</v>
      </c>
      <c r="E69" s="20"/>
      <c r="F69" s="35">
        <f t="shared" ref="F69:F78" si="19">IF(D$12=0,0,D69/D$12)</f>
        <v>0.20848715514848318</v>
      </c>
      <c r="G69" s="20"/>
      <c r="H69" s="20">
        <f>SUM(OSRRefH22x_0)</f>
        <v>50269.74</v>
      </c>
      <c r="I69" s="20"/>
      <c r="J69" s="35">
        <f t="shared" ref="J69:J78" si="20">IF(H$12=0,0,H69/H$12)</f>
        <v>0.19859203170536013</v>
      </c>
      <c r="K69" s="4"/>
      <c r="L69" s="20">
        <f t="shared" ref="L69:L78" si="21">+D69-H69</f>
        <v>9828.9800000000032</v>
      </c>
      <c r="M69" s="4"/>
      <c r="N69" s="35">
        <f t="shared" ref="N69:N78" si="22">IF(H69=0,0,L69/H69)</f>
        <v>0.19552478290120465</v>
      </c>
      <c r="O69" s="10"/>
      <c r="P69" s="20">
        <f>SUM(OSRRefP22x_0)</f>
        <v>99809.78</v>
      </c>
      <c r="Q69" s="20"/>
      <c r="R69" s="35">
        <f t="shared" ref="R69:R78" si="23">IF(P$12=0,0,P69/P$12)</f>
        <v>0.22883645063404984</v>
      </c>
      <c r="S69" s="20"/>
      <c r="T69" s="20">
        <f>SUM(OSRRefT22x_0)</f>
        <v>107002.96000000002</v>
      </c>
      <c r="U69" s="20"/>
      <c r="V69" s="35">
        <f t="shared" ref="V69:V78" si="24">IF(T$12=0,0,T69/T$12)</f>
        <v>0.24667799632741211</v>
      </c>
      <c r="W69" s="4"/>
      <c r="X69" s="20">
        <f t="shared" ref="X69:X78" si="25">+P69-T69</f>
        <v>-7193.1800000000221</v>
      </c>
      <c r="Y69" s="4"/>
      <c r="Z69" s="35">
        <f t="shared" ref="Z69:Z78" si="26">IF(T69=0,0,X69/T69)</f>
        <v>-6.7224121650466692E-2</v>
      </c>
    </row>
    <row r="70" spans="1:26" s="28" customFormat="1" outlineLevel="1" collapsed="1" x14ac:dyDescent="0.25">
      <c r="A70" s="27"/>
      <c r="B70" s="14" t="str">
        <f>CONCATENATE("     ","*Benefits                                         ")</f>
        <v xml:space="preserve">     *Benefits                                         </v>
      </c>
      <c r="C70" s="14"/>
      <c r="D70" s="1">
        <f>SUM(OSRRefD22_0x_0)</f>
        <v>10388.86</v>
      </c>
      <c r="E70" s="1"/>
      <c r="F70" s="5">
        <f t="shared" si="19"/>
        <v>3.6039767013937581E-2</v>
      </c>
      <c r="G70" s="1"/>
      <c r="H70" s="1">
        <f>SUM(OSRRefH22_0x_0)</f>
        <v>5904.8899999999994</v>
      </c>
      <c r="I70" s="1"/>
      <c r="J70" s="5">
        <f t="shared" si="20"/>
        <v>2.3327435194545745E-2</v>
      </c>
      <c r="K70" s="1"/>
      <c r="L70" s="1">
        <f t="shared" si="21"/>
        <v>4483.9700000000012</v>
      </c>
      <c r="M70" s="1"/>
      <c r="N70" s="5">
        <f t="shared" si="22"/>
        <v>0.75936554279588642</v>
      </c>
      <c r="O70" s="14"/>
      <c r="P70" s="1">
        <f>SUM(OSRRefP22_0x_0)</f>
        <v>19271.57</v>
      </c>
      <c r="Q70" s="1"/>
      <c r="R70" s="5">
        <f t="shared" si="23"/>
        <v>4.4184424381514875E-2</v>
      </c>
      <c r="S70" s="1"/>
      <c r="T70" s="1">
        <f>SUM(OSRRefT22_0x_0)</f>
        <v>14523.439999999999</v>
      </c>
      <c r="U70" s="1"/>
      <c r="V70" s="5">
        <f t="shared" si="24"/>
        <v>3.348143900861611E-2</v>
      </c>
      <c r="W70" s="1"/>
      <c r="X70" s="1">
        <f t="shared" si="25"/>
        <v>4748.130000000001</v>
      </c>
      <c r="Y70" s="1"/>
      <c r="Z70" s="5">
        <f t="shared" si="26"/>
        <v>0.32692874415427758</v>
      </c>
    </row>
    <row r="71" spans="1:26" s="24" customFormat="1" hidden="1" outlineLevel="2" x14ac:dyDescent="0.25">
      <c r="A71" s="29"/>
      <c r="B71" s="11" t="str">
        <f>CONCATENATE("          ", "6111", " - ", "F.I.C.A.")</f>
        <v xml:space="preserve">          6111 - F.I.C.A.</v>
      </c>
      <c r="C71" s="11"/>
      <c r="D71" s="7">
        <v>2014.11</v>
      </c>
      <c r="E71" s="2"/>
      <c r="F71" s="6">
        <f t="shared" si="19"/>
        <v>6.9871049509226055E-3</v>
      </c>
      <c r="G71" s="2"/>
      <c r="H71" s="7">
        <v>1775.23</v>
      </c>
      <c r="I71" s="2"/>
      <c r="J71" s="6">
        <f t="shared" si="20"/>
        <v>7.0130963964465803E-3</v>
      </c>
      <c r="K71" s="2"/>
      <c r="L71" s="7">
        <f t="shared" si="21"/>
        <v>238.87999999999988</v>
      </c>
      <c r="M71" s="2"/>
      <c r="N71" s="6">
        <f t="shared" si="22"/>
        <v>0.13456284537778196</v>
      </c>
      <c r="O71" s="11"/>
      <c r="P71" s="7">
        <v>3414.17</v>
      </c>
      <c r="Q71" s="2"/>
      <c r="R71" s="6">
        <f t="shared" si="23"/>
        <v>7.8277554029400117E-3</v>
      </c>
      <c r="S71" s="2"/>
      <c r="T71" s="7">
        <v>3397.81</v>
      </c>
      <c r="U71" s="2"/>
      <c r="V71" s="6">
        <f t="shared" si="24"/>
        <v>7.8331007170385179E-3</v>
      </c>
      <c r="W71" s="2"/>
      <c r="X71" s="7">
        <f t="shared" si="25"/>
        <v>16.360000000000127</v>
      </c>
      <c r="Y71" s="2"/>
      <c r="Z71" s="6">
        <f t="shared" si="26"/>
        <v>4.8148660460708894E-3</v>
      </c>
    </row>
    <row r="72" spans="1:26" s="24" customFormat="1" hidden="1" outlineLevel="2" x14ac:dyDescent="0.25">
      <c r="A72" s="29"/>
      <c r="B72" s="11" t="str">
        <f>CONCATENATE("          ", "6112", " - ", "COMPENSATION INSURANCE")</f>
        <v xml:space="preserve">          6112 - COMPENSATION INSURANCE</v>
      </c>
      <c r="C72" s="11"/>
      <c r="D72" s="7">
        <v>600.29</v>
      </c>
      <c r="E72" s="2"/>
      <c r="F72" s="6">
        <f t="shared" si="19"/>
        <v>2.0824529102131117E-3</v>
      </c>
      <c r="G72" s="2"/>
      <c r="H72" s="7">
        <v>525.63</v>
      </c>
      <c r="I72" s="2"/>
      <c r="J72" s="6">
        <f t="shared" si="20"/>
        <v>2.0765162028943945E-3</v>
      </c>
      <c r="K72" s="2"/>
      <c r="L72" s="7">
        <f t="shared" si="21"/>
        <v>74.659999999999968</v>
      </c>
      <c r="M72" s="2"/>
      <c r="N72" s="6">
        <f t="shared" si="22"/>
        <v>0.14203907691722309</v>
      </c>
      <c r="O72" s="11"/>
      <c r="P72" s="7">
        <v>962.34</v>
      </c>
      <c r="Q72" s="2"/>
      <c r="R72" s="6">
        <f t="shared" si="23"/>
        <v>2.2063816782601016E-3</v>
      </c>
      <c r="S72" s="2"/>
      <c r="T72" s="7">
        <v>882.11</v>
      </c>
      <c r="U72" s="2"/>
      <c r="V72" s="6">
        <f t="shared" si="24"/>
        <v>2.0335617569866614E-3</v>
      </c>
      <c r="W72" s="2"/>
      <c r="X72" s="7">
        <f t="shared" si="25"/>
        <v>80.230000000000018</v>
      </c>
      <c r="Y72" s="2"/>
      <c r="Z72" s="6">
        <f t="shared" si="26"/>
        <v>9.0952375554069237E-2</v>
      </c>
    </row>
    <row r="73" spans="1:26" s="24" customFormat="1" hidden="1" outlineLevel="2" x14ac:dyDescent="0.25">
      <c r="A73" s="29"/>
      <c r="B73" s="11" t="str">
        <f>CONCATENATE("          ", "6113", " - ", "GROUP INSURANCE")</f>
        <v xml:space="preserve">          6113 - GROUP INSURANCE</v>
      </c>
      <c r="C73" s="11"/>
      <c r="D73" s="7">
        <v>3662.35</v>
      </c>
      <c r="E73" s="2"/>
      <c r="F73" s="6">
        <f t="shared" si="19"/>
        <v>1.2704978286693083E-2</v>
      </c>
      <c r="G73" s="2"/>
      <c r="H73" s="7">
        <v>1818.68</v>
      </c>
      <c r="I73" s="2"/>
      <c r="J73" s="6">
        <f t="shared" si="20"/>
        <v>7.1847468521202698E-3</v>
      </c>
      <c r="K73" s="2"/>
      <c r="L73" s="7">
        <f t="shared" si="21"/>
        <v>1843.6699999999998</v>
      </c>
      <c r="M73" s="2"/>
      <c r="N73" s="6">
        <f t="shared" si="22"/>
        <v>1.0137407350385994</v>
      </c>
      <c r="O73" s="11"/>
      <c r="P73" s="7">
        <v>6488.48</v>
      </c>
      <c r="Q73" s="2"/>
      <c r="R73" s="6">
        <f t="shared" si="23"/>
        <v>1.4876305039546421E-2</v>
      </c>
      <c r="S73" s="2"/>
      <c r="T73" s="7">
        <v>4572.66</v>
      </c>
      <c r="U73" s="2"/>
      <c r="V73" s="6">
        <f t="shared" si="24"/>
        <v>1.054152713800164E-2</v>
      </c>
      <c r="W73" s="2"/>
      <c r="X73" s="7">
        <f t="shared" si="25"/>
        <v>1915.8199999999997</v>
      </c>
      <c r="Y73" s="2"/>
      <c r="Z73" s="6">
        <f t="shared" si="26"/>
        <v>0.41897276421164042</v>
      </c>
    </row>
    <row r="74" spans="1:26" s="24" customFormat="1" hidden="1" outlineLevel="2" x14ac:dyDescent="0.25">
      <c r="A74" s="29"/>
      <c r="B74" s="11" t="str">
        <f>CONCATENATE("          ", "6114", " - ", "STATE UNEMPLOYMENT INSURANCE")</f>
        <v xml:space="preserve">          6114 - STATE UNEMPLOYMENT INSURANCE</v>
      </c>
      <c r="C74" s="11"/>
      <c r="D74" s="7">
        <v>71.73</v>
      </c>
      <c r="E74" s="2"/>
      <c r="F74" s="6">
        <f t="shared" si="19"/>
        <v>2.4883697421177522E-4</v>
      </c>
      <c r="G74" s="2"/>
      <c r="H74" s="7">
        <v>63.2</v>
      </c>
      <c r="I74" s="2"/>
      <c r="J74" s="6">
        <f t="shared" si="20"/>
        <v>2.4967339007082119E-4</v>
      </c>
      <c r="K74" s="2"/>
      <c r="L74" s="7">
        <f t="shared" si="21"/>
        <v>8.5300000000000011</v>
      </c>
      <c r="M74" s="2"/>
      <c r="N74" s="6">
        <f t="shared" si="22"/>
        <v>0.13496835443037977</v>
      </c>
      <c r="O74" s="11"/>
      <c r="P74" s="7">
        <v>115.48</v>
      </c>
      <c r="Q74" s="2"/>
      <c r="R74" s="6">
        <f t="shared" si="23"/>
        <v>2.6476396721062881E-4</v>
      </c>
      <c r="S74" s="2"/>
      <c r="T74" s="7">
        <v>111.98</v>
      </c>
      <c r="U74" s="2"/>
      <c r="V74" s="6">
        <f t="shared" si="24"/>
        <v>2.5815175607051991E-4</v>
      </c>
      <c r="W74" s="2"/>
      <c r="X74" s="7">
        <f t="shared" si="25"/>
        <v>3.5</v>
      </c>
      <c r="Y74" s="2"/>
      <c r="Z74" s="6">
        <f t="shared" si="26"/>
        <v>3.1255581353813178E-2</v>
      </c>
    </row>
    <row r="75" spans="1:26" s="24" customFormat="1" hidden="1" outlineLevel="2" x14ac:dyDescent="0.25">
      <c r="A75" s="29"/>
      <c r="B75" s="11" t="str">
        <f>CONCATENATE("          ", "6115", " - ", "P.E.R.S.")</f>
        <v xml:space="preserve">          6115 - P.E.R.S.</v>
      </c>
      <c r="C75" s="11"/>
      <c r="D75" s="7">
        <v>1527.17</v>
      </c>
      <c r="E75" s="2"/>
      <c r="F75" s="6">
        <f t="shared" si="19"/>
        <v>5.2978720466610443E-3</v>
      </c>
      <c r="G75" s="2"/>
      <c r="H75" s="7">
        <v>691.92</v>
      </c>
      <c r="I75" s="2"/>
      <c r="J75" s="6">
        <f t="shared" si="20"/>
        <v>2.7334495578766231E-3</v>
      </c>
      <c r="K75" s="2"/>
      <c r="L75" s="7">
        <f t="shared" si="21"/>
        <v>835.25000000000011</v>
      </c>
      <c r="M75" s="2"/>
      <c r="N75" s="6">
        <f t="shared" si="22"/>
        <v>1.2071482252283503</v>
      </c>
      <c r="O75" s="11"/>
      <c r="P75" s="7">
        <v>3496.36</v>
      </c>
      <c r="Q75" s="2"/>
      <c r="R75" s="6">
        <f t="shared" si="23"/>
        <v>8.0161945306248192E-3</v>
      </c>
      <c r="S75" s="2"/>
      <c r="T75" s="7">
        <v>1364.79</v>
      </c>
      <c r="U75" s="2"/>
      <c r="V75" s="6">
        <f t="shared" si="24"/>
        <v>3.1463023322690202E-3</v>
      </c>
      <c r="W75" s="2"/>
      <c r="X75" s="7">
        <f t="shared" si="25"/>
        <v>2131.5700000000002</v>
      </c>
      <c r="Y75" s="2"/>
      <c r="Z75" s="6">
        <f t="shared" si="26"/>
        <v>1.5618300251320718</v>
      </c>
    </row>
    <row r="76" spans="1:26" s="24" customFormat="1" hidden="1" outlineLevel="2" x14ac:dyDescent="0.25">
      <c r="A76" s="29"/>
      <c r="B76" s="11" t="str">
        <f>CONCATENATE("          ", "6118", " - ", "VACATION")</f>
        <v xml:space="preserve">          6118 - VACATION</v>
      </c>
      <c r="C76" s="11"/>
      <c r="D76" s="7">
        <v>1351.22</v>
      </c>
      <c r="E76" s="2"/>
      <c r="F76" s="6">
        <f t="shared" si="19"/>
        <v>4.6874877498178568E-3</v>
      </c>
      <c r="G76" s="2"/>
      <c r="H76" s="7">
        <v>556.86</v>
      </c>
      <c r="I76" s="2"/>
      <c r="J76" s="6">
        <f t="shared" si="20"/>
        <v>2.1998912024499603E-3</v>
      </c>
      <c r="K76" s="2"/>
      <c r="L76" s="7">
        <f t="shared" si="21"/>
        <v>794.36</v>
      </c>
      <c r="M76" s="2"/>
      <c r="N76" s="6">
        <f t="shared" si="22"/>
        <v>1.4264985813310347</v>
      </c>
      <c r="O76" s="11"/>
      <c r="P76" s="7">
        <v>2573.7399999999998</v>
      </c>
      <c r="Q76" s="2"/>
      <c r="R76" s="6">
        <f t="shared" si="23"/>
        <v>5.9008799183294398E-3</v>
      </c>
      <c r="S76" s="2"/>
      <c r="T76" s="7">
        <v>1519.01</v>
      </c>
      <c r="U76" s="2"/>
      <c r="V76" s="6">
        <f t="shared" si="24"/>
        <v>3.5018315680360821E-3</v>
      </c>
      <c r="W76" s="2"/>
      <c r="X76" s="7">
        <f t="shared" si="25"/>
        <v>1054.7299999999998</v>
      </c>
      <c r="Y76" s="2"/>
      <c r="Z76" s="6">
        <f t="shared" si="26"/>
        <v>0.69435355922607478</v>
      </c>
    </row>
    <row r="77" spans="1:26" s="24" customFormat="1" hidden="1" outlineLevel="2" x14ac:dyDescent="0.25">
      <c r="A77" s="29"/>
      <c r="B77" s="11" t="str">
        <f>CONCATENATE("          ", "6119", " - ", "SICK LEAVE")</f>
        <v xml:space="preserve">          6119 - SICK LEAVE</v>
      </c>
      <c r="C77" s="11"/>
      <c r="D77" s="7">
        <v>873.12</v>
      </c>
      <c r="E77" s="2"/>
      <c r="F77" s="6">
        <f t="shared" si="19"/>
        <v>3.0289214962189483E-3</v>
      </c>
      <c r="G77" s="2"/>
      <c r="H77" s="7">
        <v>326.89</v>
      </c>
      <c r="I77" s="2"/>
      <c r="J77" s="6">
        <f t="shared" si="20"/>
        <v>1.2913882038014357E-3</v>
      </c>
      <c r="K77" s="2"/>
      <c r="L77" s="7">
        <f t="shared" si="21"/>
        <v>546.23</v>
      </c>
      <c r="M77" s="2"/>
      <c r="N77" s="6">
        <f t="shared" si="22"/>
        <v>1.670990241365597</v>
      </c>
      <c r="O77" s="11"/>
      <c r="P77" s="7">
        <v>1650.3</v>
      </c>
      <c r="Q77" s="2"/>
      <c r="R77" s="6">
        <f t="shared" si="23"/>
        <v>3.7836852709360988E-3</v>
      </c>
      <c r="S77" s="2"/>
      <c r="T77" s="7">
        <v>2380.5</v>
      </c>
      <c r="U77" s="2"/>
      <c r="V77" s="6">
        <f t="shared" si="24"/>
        <v>5.4878572542049718E-3</v>
      </c>
      <c r="W77" s="2"/>
      <c r="X77" s="7">
        <f t="shared" si="25"/>
        <v>-730.2</v>
      </c>
      <c r="Y77" s="2"/>
      <c r="Z77" s="6">
        <f t="shared" si="26"/>
        <v>-0.30674228103339635</v>
      </c>
    </row>
    <row r="78" spans="1:26" s="24" customFormat="1" hidden="1" outlineLevel="2" x14ac:dyDescent="0.25">
      <c r="A78" s="29"/>
      <c r="B78" s="11" t="str">
        <f>CONCATENATE("          ", "6156", " - ", "EMPLOYEE MEALS")</f>
        <v xml:space="preserve">          6156 - EMPLOYEE MEALS</v>
      </c>
      <c r="C78" s="11"/>
      <c r="D78" s="7">
        <v>288.87</v>
      </c>
      <c r="E78" s="2"/>
      <c r="F78" s="6">
        <f t="shared" si="19"/>
        <v>1.0021125991991565E-3</v>
      </c>
      <c r="G78" s="2"/>
      <c r="H78" s="7">
        <v>146.47999999999999</v>
      </c>
      <c r="I78" s="2"/>
      <c r="J78" s="6">
        <f t="shared" si="20"/>
        <v>5.7867338888566264E-4</v>
      </c>
      <c r="K78" s="2"/>
      <c r="L78" s="7">
        <f t="shared" si="21"/>
        <v>142.39000000000001</v>
      </c>
      <c r="M78" s="2"/>
      <c r="N78" s="6">
        <f t="shared" si="22"/>
        <v>0.97207809939923551</v>
      </c>
      <c r="O78" s="11"/>
      <c r="P78" s="7">
        <v>570.70000000000005</v>
      </c>
      <c r="Q78" s="2"/>
      <c r="R78" s="6">
        <f t="shared" si="23"/>
        <v>1.3084585736673525E-3</v>
      </c>
      <c r="S78" s="2"/>
      <c r="T78" s="7">
        <v>294.58</v>
      </c>
      <c r="U78" s="2"/>
      <c r="V78" s="6">
        <f t="shared" si="24"/>
        <v>6.7910648600869581E-4</v>
      </c>
      <c r="W78" s="2"/>
      <c r="X78" s="7">
        <f t="shared" si="25"/>
        <v>276.12000000000006</v>
      </c>
      <c r="Y78" s="2"/>
      <c r="Z78" s="6">
        <f t="shared" si="26"/>
        <v>0.93733451015004443</v>
      </c>
    </row>
    <row r="79" spans="1:26" s="28" customFormat="1" outlineLevel="1" collapsed="1" x14ac:dyDescent="0.25">
      <c r="A79" s="27"/>
      <c r="B79" s="14" t="str">
        <f>CONCATENATE("     ","*Payroll                                          ")</f>
        <v xml:space="preserve">     *Payroll                                          </v>
      </c>
      <c r="C79" s="14"/>
      <c r="D79" s="1">
        <f>SUM(OSRRefD22_1x_0)</f>
        <v>36584.700000000004</v>
      </c>
      <c r="E79" s="1"/>
      <c r="F79" s="5">
        <f t="shared" ref="F79:F84" si="27">IF(D$12=0,0,D79/D$12)</f>
        <v>0.12691518263551557</v>
      </c>
      <c r="G79" s="1"/>
      <c r="H79" s="1">
        <f>SUM(OSRRefH22_1x_0)</f>
        <v>23952.43</v>
      </c>
      <c r="I79" s="1"/>
      <c r="J79" s="5">
        <f t="shared" ref="J79:J84" si="28">IF(H$12=0,0,H79/H$12)</f>
        <v>9.4624753141361373E-2</v>
      </c>
      <c r="K79" s="1"/>
      <c r="L79" s="1">
        <f t="shared" ref="L79:L84" si="29">+D79-H79</f>
        <v>12632.270000000004</v>
      </c>
      <c r="M79" s="1"/>
      <c r="N79" s="5">
        <f t="shared" ref="N79:N84" si="30">IF(H79=0,0,L79/H79)</f>
        <v>0.5273899140922238</v>
      </c>
      <c r="O79" s="14"/>
      <c r="P79" s="1">
        <f>SUM(OSRRefP22_1x_0)</f>
        <v>57859.549999999996</v>
      </c>
      <c r="Q79" s="1"/>
      <c r="R79" s="5">
        <f t="shared" ref="R79:R84" si="31">IF(P$12=0,0,P79/P$12)</f>
        <v>0.13265607896624296</v>
      </c>
      <c r="S79" s="1"/>
      <c r="T79" s="1">
        <f>SUM(OSRRefT22_1x_0)</f>
        <v>49132.070000000007</v>
      </c>
      <c r="U79" s="1"/>
      <c r="V79" s="5">
        <f t="shared" ref="V79:V84" si="32">IF(T$12=0,0,T79/T$12)</f>
        <v>0.11326603098660218</v>
      </c>
      <c r="W79" s="1"/>
      <c r="X79" s="1">
        <f t="shared" ref="X79:X84" si="33">+P79-T79</f>
        <v>8727.4799999999886</v>
      </c>
      <c r="Y79" s="1"/>
      <c r="Z79" s="5">
        <f t="shared" ref="Z79:Z84" si="34">IF(T79=0,0,X79/T79)</f>
        <v>0.1776330612571379</v>
      </c>
    </row>
    <row r="80" spans="1:26" s="24" customFormat="1" hidden="1" outlineLevel="2" x14ac:dyDescent="0.25">
      <c r="A80" s="29"/>
      <c r="B80" s="11" t="str">
        <f>CONCATENATE("          ", "6002", " - ", "STAFF SALARIES")</f>
        <v xml:space="preserve">          6002 - STAFF SALARIES</v>
      </c>
      <c r="C80" s="11"/>
      <c r="D80" s="7">
        <v>13398.32</v>
      </c>
      <c r="E80" s="2"/>
      <c r="F80" s="6">
        <f t="shared" si="27"/>
        <v>4.6479818880818508E-2</v>
      </c>
      <c r="G80" s="2"/>
      <c r="H80" s="7">
        <v>6858.33</v>
      </c>
      <c r="I80" s="2"/>
      <c r="J80" s="6">
        <f t="shared" si="28"/>
        <v>2.7094026919690109E-2</v>
      </c>
      <c r="K80" s="2"/>
      <c r="L80" s="7">
        <f t="shared" si="29"/>
        <v>6539.99</v>
      </c>
      <c r="M80" s="2"/>
      <c r="N80" s="6">
        <f t="shared" si="30"/>
        <v>0.95358345253144716</v>
      </c>
      <c r="O80" s="11"/>
      <c r="P80" s="7">
        <v>29633.100000000002</v>
      </c>
      <c r="Q80" s="2"/>
      <c r="R80" s="6">
        <f t="shared" si="31"/>
        <v>6.7940570806626993E-2</v>
      </c>
      <c r="S80" s="2"/>
      <c r="T80" s="7">
        <v>15620.070000000002</v>
      </c>
      <c r="U80" s="2"/>
      <c r="V80" s="6">
        <f t="shared" si="32"/>
        <v>3.6009541886447997E-2</v>
      </c>
      <c r="W80" s="2"/>
      <c r="X80" s="7">
        <f t="shared" si="33"/>
        <v>14013.03</v>
      </c>
      <c r="Y80" s="2"/>
      <c r="Z80" s="6">
        <f t="shared" si="34"/>
        <v>0.89711697834900861</v>
      </c>
    </row>
    <row r="81" spans="1:26" s="24" customFormat="1" hidden="1" outlineLevel="2" x14ac:dyDescent="0.25">
      <c r="A81" s="29"/>
      <c r="B81" s="11" t="str">
        <f>CONCATENATE("          ", "6004", " - ", "STAFF HOURLY")</f>
        <v xml:space="preserve">          6004 - STAFF HOURLY</v>
      </c>
      <c r="C81" s="11"/>
      <c r="D81" s="7">
        <v>10122.790000000001</v>
      </c>
      <c r="E81" s="2"/>
      <c r="F81" s="6">
        <f t="shared" si="27"/>
        <v>3.5116749396085542E-2</v>
      </c>
      <c r="G81" s="2"/>
      <c r="H81" s="7"/>
      <c r="I81" s="2"/>
      <c r="J81" s="6">
        <f t="shared" si="28"/>
        <v>0</v>
      </c>
      <c r="K81" s="2"/>
      <c r="L81" s="7">
        <f t="shared" si="29"/>
        <v>10122.790000000001</v>
      </c>
      <c r="M81" s="2"/>
      <c r="N81" s="6">
        <f t="shared" si="30"/>
        <v>0</v>
      </c>
      <c r="O81" s="11"/>
      <c r="P81" s="7">
        <v>14112.04</v>
      </c>
      <c r="Q81" s="2"/>
      <c r="R81" s="6">
        <f t="shared" si="31"/>
        <v>3.2355037199818866E-2</v>
      </c>
      <c r="S81" s="2"/>
      <c r="T81" s="7"/>
      <c r="U81" s="2"/>
      <c r="V81" s="6">
        <f t="shared" si="32"/>
        <v>0</v>
      </c>
      <c r="W81" s="2"/>
      <c r="X81" s="7">
        <f t="shared" si="33"/>
        <v>14112.04</v>
      </c>
      <c r="Y81" s="2"/>
      <c r="Z81" s="6">
        <f t="shared" si="34"/>
        <v>0</v>
      </c>
    </row>
    <row r="82" spans="1:26" s="24" customFormat="1" hidden="1" outlineLevel="2" x14ac:dyDescent="0.25">
      <c r="A82" s="29"/>
      <c r="B82" s="11" t="str">
        <f>CONCATENATE("          ", "6005", " - ", "TEMPORARY WAGES-HOURLY")</f>
        <v xml:space="preserve">          6005 - TEMPORARY WAGES-HOURLY</v>
      </c>
      <c r="C82" s="11"/>
      <c r="D82" s="7">
        <v>3399.25</v>
      </c>
      <c r="E82" s="2"/>
      <c r="F82" s="6">
        <f t="shared" si="27"/>
        <v>1.179226383088494E-2</v>
      </c>
      <c r="G82" s="2"/>
      <c r="H82" s="7">
        <v>3471.22</v>
      </c>
      <c r="I82" s="2"/>
      <c r="J82" s="6">
        <f t="shared" si="28"/>
        <v>1.3713152928506896E-2</v>
      </c>
      <c r="K82" s="2"/>
      <c r="L82" s="7">
        <f t="shared" si="29"/>
        <v>-71.9699999999998</v>
      </c>
      <c r="M82" s="2"/>
      <c r="N82" s="6">
        <f t="shared" si="30"/>
        <v>-2.0733344472548501E-2</v>
      </c>
      <c r="O82" s="11"/>
      <c r="P82" s="7">
        <v>4126.07</v>
      </c>
      <c r="Q82" s="2"/>
      <c r="R82" s="6">
        <f t="shared" si="31"/>
        <v>9.4599468495735976E-3</v>
      </c>
      <c r="S82" s="2"/>
      <c r="T82" s="7">
        <v>7664.59</v>
      </c>
      <c r="U82" s="2"/>
      <c r="V82" s="6">
        <f t="shared" si="32"/>
        <v>1.766947104894219E-2</v>
      </c>
      <c r="W82" s="2"/>
      <c r="X82" s="7">
        <f t="shared" si="33"/>
        <v>-3538.5200000000004</v>
      </c>
      <c r="Y82" s="2"/>
      <c r="Z82" s="6">
        <f t="shared" si="34"/>
        <v>-0.46167113961738337</v>
      </c>
    </row>
    <row r="83" spans="1:26" s="24" customFormat="1" hidden="1" outlineLevel="2" x14ac:dyDescent="0.25">
      <c r="A83" s="29"/>
      <c r="B83" s="11" t="str">
        <f>CONCATENATE("          ", "6007", " - ", "STUDENT HOURLY")</f>
        <v xml:space="preserve">          6007 - STUDENT HOURLY</v>
      </c>
      <c r="C83" s="11"/>
      <c r="D83" s="7">
        <v>9325.2999999999993</v>
      </c>
      <c r="E83" s="2"/>
      <c r="F83" s="6">
        <f t="shared" si="27"/>
        <v>3.2350194278782475E-2</v>
      </c>
      <c r="G83" s="2"/>
      <c r="H83" s="7">
        <v>13427.88</v>
      </c>
      <c r="I83" s="2"/>
      <c r="J83" s="6">
        <f t="shared" si="28"/>
        <v>5.3047220270002818E-2</v>
      </c>
      <c r="K83" s="2"/>
      <c r="L83" s="7">
        <f t="shared" si="29"/>
        <v>-4102.58</v>
      </c>
      <c r="M83" s="2"/>
      <c r="N83" s="6">
        <f t="shared" si="30"/>
        <v>-0.30552700798636867</v>
      </c>
      <c r="O83" s="11"/>
      <c r="P83" s="7">
        <v>9649.2999999999993</v>
      </c>
      <c r="Q83" s="2"/>
      <c r="R83" s="6">
        <f t="shared" si="31"/>
        <v>2.2123198378987879E-2</v>
      </c>
      <c r="S83" s="2"/>
      <c r="T83" s="7">
        <v>25652.41</v>
      </c>
      <c r="U83" s="2"/>
      <c r="V83" s="6">
        <f t="shared" si="32"/>
        <v>5.9137477129317433E-2</v>
      </c>
      <c r="W83" s="2"/>
      <c r="X83" s="7">
        <f t="shared" si="33"/>
        <v>-16003.11</v>
      </c>
      <c r="Y83" s="2"/>
      <c r="Z83" s="6">
        <f t="shared" si="34"/>
        <v>-0.62384430936508506</v>
      </c>
    </row>
    <row r="84" spans="1:26" s="24" customFormat="1" hidden="1" outlineLevel="2" x14ac:dyDescent="0.25">
      <c r="A84" s="29"/>
      <c r="B84" s="11" t="str">
        <f>CONCATENATE("          ", "6008", " - ", "STUDENT HOURLY-FICA EXEMPT")</f>
        <v xml:space="preserve">          6008 - STUDENT HOURLY-FICA EXEMPT</v>
      </c>
      <c r="C84" s="11"/>
      <c r="D84" s="7">
        <v>339.04</v>
      </c>
      <c r="E84" s="2"/>
      <c r="F84" s="6">
        <f t="shared" si="27"/>
        <v>1.1761562489440995E-3</v>
      </c>
      <c r="G84" s="2"/>
      <c r="H84" s="7">
        <v>195</v>
      </c>
      <c r="I84" s="2"/>
      <c r="J84" s="6">
        <f t="shared" si="28"/>
        <v>7.7035302316155263E-4</v>
      </c>
      <c r="K84" s="2"/>
      <c r="L84" s="7">
        <f t="shared" si="29"/>
        <v>144.04000000000002</v>
      </c>
      <c r="M84" s="2"/>
      <c r="N84" s="6">
        <f t="shared" si="30"/>
        <v>0.7386666666666668</v>
      </c>
      <c r="O84" s="11"/>
      <c r="P84" s="7">
        <v>339.04</v>
      </c>
      <c r="Q84" s="2"/>
      <c r="R84" s="6">
        <f t="shared" si="31"/>
        <v>7.7732573123563903E-4</v>
      </c>
      <c r="S84" s="2"/>
      <c r="T84" s="7">
        <v>195</v>
      </c>
      <c r="U84" s="2"/>
      <c r="V84" s="6">
        <f t="shared" si="32"/>
        <v>4.4954092189454715E-4</v>
      </c>
      <c r="W84" s="2"/>
      <c r="X84" s="7">
        <f t="shared" si="33"/>
        <v>144.04000000000002</v>
      </c>
      <c r="Y84" s="2"/>
      <c r="Z84" s="6">
        <f t="shared" si="34"/>
        <v>0.7386666666666668</v>
      </c>
    </row>
    <row r="85" spans="1:26" s="28" customFormat="1" outlineLevel="1" collapsed="1" x14ac:dyDescent="0.25">
      <c r="A85" s="27"/>
      <c r="B85" s="14" t="str">
        <f>CONCATENATE("     ","Advertising/Promo                                 ")</f>
        <v xml:space="preserve">     Advertising/Promo                                 </v>
      </c>
      <c r="C85" s="14"/>
      <c r="D85" s="1">
        <f>SUM(OSRRefD22_2x_0)</f>
        <v>9301.39</v>
      </c>
      <c r="E85" s="1"/>
      <c r="F85" s="5">
        <f t="shared" ref="F85:F97" si="35">IF(D$12=0,0,D85/D$12)</f>
        <v>3.2267248620711883E-2</v>
      </c>
      <c r="G85" s="1"/>
      <c r="H85" s="1">
        <f>SUM(OSRRefH22_2x_0)</f>
        <v>2173.7800000000002</v>
      </c>
      <c r="I85" s="1"/>
      <c r="J85" s="5">
        <f t="shared" ref="J85:J97" si="36">IF(H$12=0,0,H85/H$12)</f>
        <v>8.5875794599390778E-3</v>
      </c>
      <c r="K85" s="1"/>
      <c r="L85" s="1">
        <f t="shared" ref="L85:L97" si="37">+D85-H85</f>
        <v>7127.6099999999988</v>
      </c>
      <c r="M85" s="1"/>
      <c r="N85" s="5">
        <f t="shared" ref="N85:N97" si="38">IF(H85=0,0,L85/H85)</f>
        <v>3.2789012687576471</v>
      </c>
      <c r="O85" s="14"/>
      <c r="P85" s="1">
        <f>SUM(OSRRefP22_2x_0)</f>
        <v>10642.32</v>
      </c>
      <c r="Q85" s="1"/>
      <c r="R85" s="5">
        <f t="shared" ref="R85:R97" si="39">IF(P$12=0,0,P85/P$12)</f>
        <v>2.4399920882620531E-2</v>
      </c>
      <c r="S85" s="1"/>
      <c r="T85" s="1">
        <f>SUM(OSRRefT22_2x_0)</f>
        <v>2365.7800000000002</v>
      </c>
      <c r="U85" s="1"/>
      <c r="V85" s="5">
        <f t="shared" ref="V85:V97" si="40">IF(T$12=0,0,T85/T$12)</f>
        <v>5.4539226779470864E-3</v>
      </c>
      <c r="W85" s="1"/>
      <c r="X85" s="1">
        <f t="shared" ref="X85:X97" si="41">+P85-T85</f>
        <v>8276.5399999999991</v>
      </c>
      <c r="Y85" s="1"/>
      <c r="Z85" s="5">
        <f t="shared" ref="Z85:Z97" si="42">IF(T85=0,0,X85/T85)</f>
        <v>3.4984402607173948</v>
      </c>
    </row>
    <row r="86" spans="1:26" s="24" customFormat="1" hidden="1" outlineLevel="2" x14ac:dyDescent="0.25">
      <c r="A86" s="29"/>
      <c r="B86" s="11" t="str">
        <f>CONCATENATE("          ", "6362", " - ", "ADVERTISING EXPENSE")</f>
        <v xml:space="preserve">          6362 - ADVERTISING EXPENSE</v>
      </c>
      <c r="C86" s="11"/>
      <c r="D86" s="7">
        <v>9301.39</v>
      </c>
      <c r="E86" s="2"/>
      <c r="F86" s="6">
        <f t="shared" si="35"/>
        <v>3.2267248620711883E-2</v>
      </c>
      <c r="G86" s="2"/>
      <c r="H86" s="7">
        <v>2173.7800000000002</v>
      </c>
      <c r="I86" s="2"/>
      <c r="J86" s="6">
        <f t="shared" si="36"/>
        <v>8.5875794599390778E-3</v>
      </c>
      <c r="K86" s="2"/>
      <c r="L86" s="7">
        <f t="shared" si="37"/>
        <v>7127.6099999999988</v>
      </c>
      <c r="M86" s="2"/>
      <c r="N86" s="6">
        <f t="shared" si="38"/>
        <v>3.2789012687576471</v>
      </c>
      <c r="O86" s="11"/>
      <c r="P86" s="7">
        <v>10642.32</v>
      </c>
      <c r="Q86" s="2"/>
      <c r="R86" s="6">
        <f t="shared" si="39"/>
        <v>2.4399920882620531E-2</v>
      </c>
      <c r="S86" s="2"/>
      <c r="T86" s="7">
        <v>2365.7800000000002</v>
      </c>
      <c r="U86" s="2"/>
      <c r="V86" s="6">
        <f t="shared" si="40"/>
        <v>5.4539226779470864E-3</v>
      </c>
      <c r="W86" s="2"/>
      <c r="X86" s="7">
        <f t="shared" si="41"/>
        <v>8276.5399999999991</v>
      </c>
      <c r="Y86" s="2"/>
      <c r="Z86" s="6">
        <f t="shared" si="42"/>
        <v>3.4984402607173948</v>
      </c>
    </row>
    <row r="87" spans="1:26" s="28" customFormat="1" outlineLevel="1" collapsed="1" x14ac:dyDescent="0.25">
      <c r="A87" s="27"/>
      <c r="B87" s="14" t="str">
        <f>CONCATENATE("     ","Discounts and Markdowns                           ")</f>
        <v xml:space="preserve">     Discounts and Markdowns                           </v>
      </c>
      <c r="C87" s="14"/>
      <c r="D87" s="1">
        <f>SUM(OSRRefD22_3x_0)</f>
        <v>0</v>
      </c>
      <c r="E87" s="1"/>
      <c r="F87" s="5">
        <f t="shared" si="35"/>
        <v>0</v>
      </c>
      <c r="G87" s="1"/>
      <c r="H87" s="1">
        <f>SUM(OSRRefH22_3x_0)</f>
        <v>14457.36</v>
      </c>
      <c r="I87" s="1"/>
      <c r="J87" s="5">
        <f t="shared" si="36"/>
        <v>5.7114210168896951E-2</v>
      </c>
      <c r="K87" s="1"/>
      <c r="L87" s="1">
        <f t="shared" si="37"/>
        <v>-14457.36</v>
      </c>
      <c r="M87" s="1"/>
      <c r="N87" s="5">
        <f t="shared" si="38"/>
        <v>-1</v>
      </c>
      <c r="O87" s="14"/>
      <c r="P87" s="1">
        <f>SUM(OSRRefP22_3x_0)</f>
        <v>0</v>
      </c>
      <c r="Q87" s="1"/>
      <c r="R87" s="5">
        <f t="shared" si="39"/>
        <v>0</v>
      </c>
      <c r="S87" s="1"/>
      <c r="T87" s="1">
        <f>SUM(OSRRefT22_3x_0)</f>
        <v>28295</v>
      </c>
      <c r="U87" s="1"/>
      <c r="V87" s="5">
        <f t="shared" si="40"/>
        <v>6.5229540435929281E-2</v>
      </c>
      <c r="W87" s="1"/>
      <c r="X87" s="1">
        <f t="shared" si="41"/>
        <v>-28295</v>
      </c>
      <c r="Y87" s="1"/>
      <c r="Z87" s="5">
        <f t="shared" si="42"/>
        <v>-1</v>
      </c>
    </row>
    <row r="88" spans="1:26" s="24" customFormat="1" hidden="1" outlineLevel="2" x14ac:dyDescent="0.25">
      <c r="A88" s="29"/>
      <c r="B88" s="11" t="str">
        <f>CONCATENATE("          ", "6382", " - ", "DISCOUNTS/MARK DOWNS")</f>
        <v xml:space="preserve">          6382 - DISCOUNTS/MARK DOWNS</v>
      </c>
      <c r="C88" s="11"/>
      <c r="D88" s="7"/>
      <c r="E88" s="2"/>
      <c r="F88" s="6">
        <f t="shared" si="35"/>
        <v>0</v>
      </c>
      <c r="G88" s="2"/>
      <c r="H88" s="7">
        <v>14457.36</v>
      </c>
      <c r="I88" s="2"/>
      <c r="J88" s="6">
        <f t="shared" si="36"/>
        <v>5.7114210168896951E-2</v>
      </c>
      <c r="K88" s="2"/>
      <c r="L88" s="7">
        <f t="shared" si="37"/>
        <v>-14457.36</v>
      </c>
      <c r="M88" s="2"/>
      <c r="N88" s="6">
        <f t="shared" si="38"/>
        <v>-1</v>
      </c>
      <c r="O88" s="11"/>
      <c r="P88" s="7"/>
      <c r="Q88" s="2"/>
      <c r="R88" s="6">
        <f t="shared" si="39"/>
        <v>0</v>
      </c>
      <c r="S88" s="2"/>
      <c r="T88" s="7">
        <v>28295</v>
      </c>
      <c r="U88" s="2"/>
      <c r="V88" s="6">
        <f t="shared" si="40"/>
        <v>6.5229540435929281E-2</v>
      </c>
      <c r="W88" s="2"/>
      <c r="X88" s="7">
        <f t="shared" si="41"/>
        <v>-28295</v>
      </c>
      <c r="Y88" s="2"/>
      <c r="Z88" s="6">
        <f t="shared" si="42"/>
        <v>-1</v>
      </c>
    </row>
    <row r="89" spans="1:26" s="28" customFormat="1" outlineLevel="1" collapsed="1" x14ac:dyDescent="0.25">
      <c r="A89" s="27"/>
      <c r="B89" s="14" t="str">
        <f>CONCATENATE("     ","Employees' Appreciation                           ")</f>
        <v xml:space="preserve">     Employees' Appreciation                           </v>
      </c>
      <c r="C89" s="14"/>
      <c r="D89" s="1">
        <f>SUM(OSRRefD22_4x_0)</f>
        <v>0</v>
      </c>
      <c r="E89" s="1"/>
      <c r="F89" s="5">
        <f t="shared" si="35"/>
        <v>0</v>
      </c>
      <c r="G89" s="1"/>
      <c r="H89" s="1">
        <f>SUM(OSRRefH22_4x_0)</f>
        <v>0</v>
      </c>
      <c r="I89" s="1"/>
      <c r="J89" s="5">
        <f t="shared" si="36"/>
        <v>0</v>
      </c>
      <c r="K89" s="1"/>
      <c r="L89" s="1">
        <f t="shared" si="37"/>
        <v>0</v>
      </c>
      <c r="M89" s="1"/>
      <c r="N89" s="5">
        <f t="shared" si="38"/>
        <v>0</v>
      </c>
      <c r="O89" s="14"/>
      <c r="P89" s="1">
        <f>SUM(OSRRefP22_4x_0)</f>
        <v>0</v>
      </c>
      <c r="Q89" s="1"/>
      <c r="R89" s="5">
        <f t="shared" si="39"/>
        <v>0</v>
      </c>
      <c r="S89" s="1"/>
      <c r="T89" s="1">
        <f>SUM(OSRRefT22_4x_0)</f>
        <v>12.98</v>
      </c>
      <c r="U89" s="1"/>
      <c r="V89" s="5">
        <f t="shared" si="40"/>
        <v>2.9923288031749857E-5</v>
      </c>
      <c r="W89" s="1"/>
      <c r="X89" s="1">
        <f t="shared" si="41"/>
        <v>-12.98</v>
      </c>
      <c r="Y89" s="1"/>
      <c r="Z89" s="5">
        <f t="shared" si="42"/>
        <v>-1</v>
      </c>
    </row>
    <row r="90" spans="1:26" s="24" customFormat="1" hidden="1" outlineLevel="2" x14ac:dyDescent="0.25">
      <c r="A90" s="29"/>
      <c r="B90" s="11" t="str">
        <f>CONCATENATE("          ", "6277", " - ", "EMPLOYEE APPRECIATION")</f>
        <v xml:space="preserve">          6277 - EMPLOYEE APPRECIATION</v>
      </c>
      <c r="C90" s="11"/>
      <c r="D90" s="7"/>
      <c r="E90" s="2"/>
      <c r="F90" s="6">
        <f t="shared" si="35"/>
        <v>0</v>
      </c>
      <c r="G90" s="2"/>
      <c r="H90" s="7"/>
      <c r="I90" s="2"/>
      <c r="J90" s="6">
        <f t="shared" si="36"/>
        <v>0</v>
      </c>
      <c r="K90" s="2"/>
      <c r="L90" s="7">
        <f t="shared" si="37"/>
        <v>0</v>
      </c>
      <c r="M90" s="2"/>
      <c r="N90" s="6">
        <f t="shared" si="38"/>
        <v>0</v>
      </c>
      <c r="O90" s="11"/>
      <c r="P90" s="7"/>
      <c r="Q90" s="2"/>
      <c r="R90" s="6">
        <f t="shared" si="39"/>
        <v>0</v>
      </c>
      <c r="S90" s="2"/>
      <c r="T90" s="7">
        <v>12.98</v>
      </c>
      <c r="U90" s="2"/>
      <c r="V90" s="6">
        <f t="shared" si="40"/>
        <v>2.9923288031749857E-5</v>
      </c>
      <c r="W90" s="2"/>
      <c r="X90" s="7">
        <f t="shared" si="41"/>
        <v>-12.98</v>
      </c>
      <c r="Y90" s="2"/>
      <c r="Z90" s="6">
        <f t="shared" si="42"/>
        <v>-1</v>
      </c>
    </row>
    <row r="91" spans="1:26" s="28" customFormat="1" outlineLevel="1" collapsed="1" x14ac:dyDescent="0.25">
      <c r="A91" s="27"/>
      <c r="B91" s="14" t="str">
        <f>CONCATENATE("     ","Freight out/Postage                               ")</f>
        <v xml:space="preserve">     Freight out/Postage                               </v>
      </c>
      <c r="C91" s="14"/>
      <c r="D91" s="1">
        <f>SUM(OSRRefD22_5x_0)</f>
        <v>34.06</v>
      </c>
      <c r="E91" s="1"/>
      <c r="F91" s="5">
        <f t="shared" si="35"/>
        <v>1.1815680108257442E-4</v>
      </c>
      <c r="G91" s="1"/>
      <c r="H91" s="1">
        <f>SUM(OSRRefH22_5x_0)</f>
        <v>0</v>
      </c>
      <c r="I91" s="1"/>
      <c r="J91" s="5">
        <f t="shared" si="36"/>
        <v>0</v>
      </c>
      <c r="K91" s="1"/>
      <c r="L91" s="1">
        <f t="shared" si="37"/>
        <v>34.06</v>
      </c>
      <c r="M91" s="1"/>
      <c r="N91" s="5">
        <f t="shared" si="38"/>
        <v>0</v>
      </c>
      <c r="O91" s="14"/>
      <c r="P91" s="1">
        <f>SUM(OSRRefP22_5x_0)</f>
        <v>50.45</v>
      </c>
      <c r="Q91" s="1"/>
      <c r="R91" s="5">
        <f t="shared" si="39"/>
        <v>1.1566801303928146E-4</v>
      </c>
      <c r="S91" s="1"/>
      <c r="T91" s="1">
        <f>SUM(OSRRefT22_5x_0)</f>
        <v>0</v>
      </c>
      <c r="U91" s="1"/>
      <c r="V91" s="5">
        <f t="shared" si="40"/>
        <v>0</v>
      </c>
      <c r="W91" s="1"/>
      <c r="X91" s="1">
        <f t="shared" si="41"/>
        <v>50.45</v>
      </c>
      <c r="Y91" s="1"/>
      <c r="Z91" s="5">
        <f t="shared" si="42"/>
        <v>0</v>
      </c>
    </row>
    <row r="92" spans="1:26" s="24" customFormat="1" hidden="1" outlineLevel="2" x14ac:dyDescent="0.25">
      <c r="A92" s="29"/>
      <c r="B92" s="11" t="str">
        <f>CONCATENATE("          ", "6305", " - ", "FREIGHT OUT")</f>
        <v xml:space="preserve">          6305 - FREIGHT OUT</v>
      </c>
      <c r="C92" s="11"/>
      <c r="D92" s="7">
        <v>34.06</v>
      </c>
      <c r="E92" s="2"/>
      <c r="F92" s="6">
        <f t="shared" si="35"/>
        <v>1.1815680108257442E-4</v>
      </c>
      <c r="G92" s="2"/>
      <c r="H92" s="7"/>
      <c r="I92" s="2"/>
      <c r="J92" s="6">
        <f t="shared" si="36"/>
        <v>0</v>
      </c>
      <c r="K92" s="2"/>
      <c r="L92" s="7">
        <f t="shared" si="37"/>
        <v>34.06</v>
      </c>
      <c r="M92" s="2"/>
      <c r="N92" s="6">
        <f t="shared" si="38"/>
        <v>0</v>
      </c>
      <c r="O92" s="11"/>
      <c r="P92" s="7">
        <v>50.45</v>
      </c>
      <c r="Q92" s="2"/>
      <c r="R92" s="6">
        <f t="shared" si="39"/>
        <v>1.1566801303928146E-4</v>
      </c>
      <c r="S92" s="2"/>
      <c r="T92" s="7"/>
      <c r="U92" s="2"/>
      <c r="V92" s="6">
        <f t="shared" si="40"/>
        <v>0</v>
      </c>
      <c r="W92" s="2"/>
      <c r="X92" s="7">
        <f t="shared" si="41"/>
        <v>50.45</v>
      </c>
      <c r="Y92" s="2"/>
      <c r="Z92" s="6">
        <f t="shared" si="42"/>
        <v>0</v>
      </c>
    </row>
    <row r="93" spans="1:26" s="28" customFormat="1" outlineLevel="1" collapsed="1" x14ac:dyDescent="0.25">
      <c r="A93" s="27"/>
      <c r="B93" s="14" t="str">
        <f>CONCATENATE("     ","Inventory Adjustment                              ")</f>
        <v xml:space="preserve">     Inventory Adjustment                              </v>
      </c>
      <c r="C93" s="14"/>
      <c r="D93" s="1">
        <f>SUM(OSRRefD22_6x_0)</f>
        <v>1000</v>
      </c>
      <c r="E93" s="1"/>
      <c r="F93" s="5">
        <f t="shared" si="35"/>
        <v>3.4690781292593779E-3</v>
      </c>
      <c r="G93" s="1"/>
      <c r="H93" s="1">
        <f>SUM(OSRRefH22_6x_0)</f>
        <v>2850</v>
      </c>
      <c r="I93" s="1"/>
      <c r="J93" s="5">
        <f t="shared" si="36"/>
        <v>1.1259005723130384E-2</v>
      </c>
      <c r="K93" s="1"/>
      <c r="L93" s="1">
        <f t="shared" si="37"/>
        <v>-1850</v>
      </c>
      <c r="M93" s="1"/>
      <c r="N93" s="5">
        <f t="shared" si="38"/>
        <v>-0.64912280701754388</v>
      </c>
      <c r="O93" s="14"/>
      <c r="P93" s="1">
        <f>SUM(OSRRefP22_6x_0)</f>
        <v>2000</v>
      </c>
      <c r="Q93" s="1"/>
      <c r="R93" s="5">
        <f t="shared" si="39"/>
        <v>4.5854514584452513E-3</v>
      </c>
      <c r="S93" s="1"/>
      <c r="T93" s="1">
        <f>SUM(OSRRefT22_6x_0)</f>
        <v>5700</v>
      </c>
      <c r="U93" s="1"/>
      <c r="V93" s="5">
        <f t="shared" si="40"/>
        <v>1.3140426947686763E-2</v>
      </c>
      <c r="W93" s="1"/>
      <c r="X93" s="1">
        <f t="shared" si="41"/>
        <v>-3700</v>
      </c>
      <c r="Y93" s="1"/>
      <c r="Z93" s="5">
        <f t="shared" si="42"/>
        <v>-0.64912280701754388</v>
      </c>
    </row>
    <row r="94" spans="1:26" s="24" customFormat="1" hidden="1" outlineLevel="2" x14ac:dyDescent="0.25">
      <c r="A94" s="29"/>
      <c r="B94" s="11" t="str">
        <f>CONCATENATE("          ", "6408", " - ", "INVENTORY ADJUSTMENT")</f>
        <v xml:space="preserve">          6408 - INVENTORY ADJUSTMENT</v>
      </c>
      <c r="C94" s="11"/>
      <c r="D94" s="7">
        <v>1000</v>
      </c>
      <c r="E94" s="2"/>
      <c r="F94" s="6">
        <f t="shared" si="35"/>
        <v>3.4690781292593779E-3</v>
      </c>
      <c r="G94" s="2"/>
      <c r="H94" s="7">
        <v>2850</v>
      </c>
      <c r="I94" s="2"/>
      <c r="J94" s="6">
        <f t="shared" si="36"/>
        <v>1.1259005723130384E-2</v>
      </c>
      <c r="K94" s="2"/>
      <c r="L94" s="7">
        <f t="shared" si="37"/>
        <v>-1850</v>
      </c>
      <c r="M94" s="2"/>
      <c r="N94" s="6">
        <f t="shared" si="38"/>
        <v>-0.64912280701754388</v>
      </c>
      <c r="O94" s="11"/>
      <c r="P94" s="7">
        <v>2000</v>
      </c>
      <c r="Q94" s="2"/>
      <c r="R94" s="6">
        <f t="shared" si="39"/>
        <v>4.5854514584452513E-3</v>
      </c>
      <c r="S94" s="2"/>
      <c r="T94" s="7">
        <v>5700</v>
      </c>
      <c r="U94" s="2"/>
      <c r="V94" s="6">
        <f t="shared" si="40"/>
        <v>1.3140426947686763E-2</v>
      </c>
      <c r="W94" s="2"/>
      <c r="X94" s="7">
        <f t="shared" si="41"/>
        <v>-3700</v>
      </c>
      <c r="Y94" s="2"/>
      <c r="Z94" s="6">
        <f t="shared" si="42"/>
        <v>-0.64912280701754388</v>
      </c>
    </row>
    <row r="95" spans="1:26" s="28" customFormat="1" outlineLevel="1" collapsed="1" x14ac:dyDescent="0.25">
      <c r="A95" s="27"/>
      <c r="B95" s="14" t="str">
        <f>CONCATENATE("     ","Royalty &amp; Commissions                             ")</f>
        <v xml:space="preserve">     Royalty &amp; Commissions                             </v>
      </c>
      <c r="C95" s="14"/>
      <c r="D95" s="1">
        <f>SUM(OSRRefD22_7x_0)</f>
        <v>2250</v>
      </c>
      <c r="E95" s="1"/>
      <c r="F95" s="5">
        <f t="shared" si="35"/>
        <v>7.8054257908336004E-3</v>
      </c>
      <c r="G95" s="1"/>
      <c r="H95" s="1">
        <f>SUM(OSRRefH22_7x_0)</f>
        <v>136.4</v>
      </c>
      <c r="I95" s="1"/>
      <c r="J95" s="5">
        <f t="shared" si="36"/>
        <v>5.3885206338069635E-4</v>
      </c>
      <c r="K95" s="1"/>
      <c r="L95" s="1">
        <f t="shared" si="37"/>
        <v>2113.6</v>
      </c>
      <c r="M95" s="1"/>
      <c r="N95" s="5">
        <f t="shared" si="38"/>
        <v>15.495601173020527</v>
      </c>
      <c r="O95" s="14"/>
      <c r="P95" s="1">
        <f>SUM(OSRRefP22_7x_0)</f>
        <v>7922.2</v>
      </c>
      <c r="Q95" s="1"/>
      <c r="R95" s="5">
        <f t="shared" si="39"/>
        <v>1.8163431772047482E-2</v>
      </c>
      <c r="S95" s="1"/>
      <c r="T95" s="1">
        <f>SUM(OSRRefT22_7x_0)</f>
        <v>4617.4399999999996</v>
      </c>
      <c r="U95" s="1"/>
      <c r="V95" s="5">
        <f t="shared" si="40"/>
        <v>1.0644760176373115E-2</v>
      </c>
      <c r="W95" s="1"/>
      <c r="X95" s="1">
        <f t="shared" si="41"/>
        <v>3304.76</v>
      </c>
      <c r="Y95" s="1"/>
      <c r="Z95" s="5">
        <f t="shared" si="42"/>
        <v>0.71571260265428471</v>
      </c>
    </row>
    <row r="96" spans="1:26" s="24" customFormat="1" hidden="1" outlineLevel="2" x14ac:dyDescent="0.25">
      <c r="A96" s="29"/>
      <c r="B96" s="11" t="str">
        <f>CONCATENATE("          ", "6253", " - ", "ROYALTY DUE ATHLETICS-LRG")</f>
        <v xml:space="preserve">          6253 - ROYALTY DUE ATHLETICS-LRG</v>
      </c>
      <c r="C96" s="11"/>
      <c r="D96" s="7">
        <v>2250</v>
      </c>
      <c r="E96" s="2"/>
      <c r="F96" s="6">
        <f t="shared" si="35"/>
        <v>7.8054257908336004E-3</v>
      </c>
      <c r="G96" s="2"/>
      <c r="H96" s="7"/>
      <c r="I96" s="2"/>
      <c r="J96" s="6">
        <f t="shared" si="36"/>
        <v>0</v>
      </c>
      <c r="K96" s="2"/>
      <c r="L96" s="7">
        <f t="shared" si="37"/>
        <v>2250</v>
      </c>
      <c r="M96" s="2"/>
      <c r="N96" s="6">
        <f t="shared" si="38"/>
        <v>0</v>
      </c>
      <c r="O96" s="11"/>
      <c r="P96" s="7">
        <v>7922.2</v>
      </c>
      <c r="Q96" s="2"/>
      <c r="R96" s="6">
        <f t="shared" si="39"/>
        <v>1.8163431772047482E-2</v>
      </c>
      <c r="S96" s="2"/>
      <c r="T96" s="7">
        <v>4366.95</v>
      </c>
      <c r="U96" s="2"/>
      <c r="V96" s="6">
        <f t="shared" si="40"/>
        <v>1.0067296045473807E-2</v>
      </c>
      <c r="W96" s="2"/>
      <c r="X96" s="7">
        <f t="shared" si="41"/>
        <v>3555.25</v>
      </c>
      <c r="Y96" s="2"/>
      <c r="Z96" s="6">
        <f t="shared" si="42"/>
        <v>0.81412656430689612</v>
      </c>
    </row>
    <row r="97" spans="1:26" s="24" customFormat="1" hidden="1" outlineLevel="2" x14ac:dyDescent="0.25">
      <c r="A97" s="29"/>
      <c r="B97" s="11" t="str">
        <f>CONCATENATE("          ", "6254", " - ", "ROYALTY &amp; COMMISSIONS")</f>
        <v xml:space="preserve">          6254 - ROYALTY &amp; COMMISSIONS</v>
      </c>
      <c r="C97" s="11"/>
      <c r="D97" s="7"/>
      <c r="E97" s="2"/>
      <c r="F97" s="6">
        <f t="shared" si="35"/>
        <v>0</v>
      </c>
      <c r="G97" s="2"/>
      <c r="H97" s="7">
        <v>136.4</v>
      </c>
      <c r="I97" s="2"/>
      <c r="J97" s="6">
        <f t="shared" si="36"/>
        <v>5.3885206338069635E-4</v>
      </c>
      <c r="K97" s="2"/>
      <c r="L97" s="7">
        <f t="shared" si="37"/>
        <v>-136.4</v>
      </c>
      <c r="M97" s="2"/>
      <c r="N97" s="6">
        <f t="shared" si="38"/>
        <v>-1</v>
      </c>
      <c r="O97" s="11"/>
      <c r="P97" s="7"/>
      <c r="Q97" s="2"/>
      <c r="R97" s="6">
        <f t="shared" si="39"/>
        <v>0</v>
      </c>
      <c r="S97" s="2"/>
      <c r="T97" s="7">
        <v>250.49</v>
      </c>
      <c r="U97" s="2"/>
      <c r="V97" s="6">
        <f t="shared" si="40"/>
        <v>5.7746413089930829E-4</v>
      </c>
      <c r="W97" s="2"/>
      <c r="X97" s="7">
        <f t="shared" si="41"/>
        <v>-250.49</v>
      </c>
      <c r="Y97" s="2"/>
      <c r="Z97" s="6">
        <f t="shared" si="42"/>
        <v>-1</v>
      </c>
    </row>
    <row r="98" spans="1:26" s="28" customFormat="1" outlineLevel="1" collapsed="1" x14ac:dyDescent="0.25">
      <c r="A98" s="27"/>
      <c r="B98" s="14" t="str">
        <f>CONCATENATE("     ","Supplies                                          ")</f>
        <v xml:space="preserve">     Supplies                                          </v>
      </c>
      <c r="C98" s="14"/>
      <c r="D98" s="1">
        <f>SUM(OSRRefD22_8x_0)</f>
        <v>58.15</v>
      </c>
      <c r="E98" s="1"/>
      <c r="F98" s="5">
        <f t="shared" ref="F98:F102" si="43">IF(D$12=0,0,D98/D$12)</f>
        <v>2.0172689321643281E-4</v>
      </c>
      <c r="G98" s="1"/>
      <c r="H98" s="1">
        <f>SUM(OSRRefH22_8x_0)</f>
        <v>273.63</v>
      </c>
      <c r="I98" s="1"/>
      <c r="J98" s="5">
        <f t="shared" ref="J98:J102" si="44">IF(H$12=0,0,H98/H$12)</f>
        <v>1.0809830652702341E-3</v>
      </c>
      <c r="K98" s="1"/>
      <c r="L98" s="1">
        <f t="shared" ref="L98:L102" si="45">+D98-H98</f>
        <v>-215.48</v>
      </c>
      <c r="M98" s="1"/>
      <c r="N98" s="5">
        <f t="shared" ref="N98:N102" si="46">IF(H98=0,0,L98/H98)</f>
        <v>-0.78748675218360553</v>
      </c>
      <c r="O98" s="14"/>
      <c r="P98" s="1">
        <f>SUM(OSRRefP22_8x_0)</f>
        <v>1067.9100000000001</v>
      </c>
      <c r="Q98" s="1"/>
      <c r="R98" s="5">
        <f t="shared" ref="R98:R102" si="47">IF(P$12=0,0,P98/P$12)</f>
        <v>2.4484247334941342E-3</v>
      </c>
      <c r="S98" s="1"/>
      <c r="T98" s="1">
        <f>SUM(OSRRefT22_8x_0)</f>
        <v>1143.23</v>
      </c>
      <c r="U98" s="1"/>
      <c r="V98" s="5">
        <f t="shared" ref="V98:V102" si="48">IF(T$12=0,0,T98/T$12)</f>
        <v>2.6355316314743749E-3</v>
      </c>
      <c r="W98" s="1"/>
      <c r="X98" s="1">
        <f t="shared" ref="X98:X102" si="49">+P98-T98</f>
        <v>-75.319999999999936</v>
      </c>
      <c r="Y98" s="1"/>
      <c r="Z98" s="5">
        <f t="shared" ref="Z98:Z102" si="50">IF(T98=0,0,X98/T98)</f>
        <v>-6.5883505506328502E-2</v>
      </c>
    </row>
    <row r="99" spans="1:26" s="24" customFormat="1" hidden="1" outlineLevel="2" x14ac:dyDescent="0.25">
      <c r="A99" s="29"/>
      <c r="B99" s="11" t="str">
        <f>CONCATENATE("          ", "6234", " - ", "EXPENDABLE SUPPLIES &amp; EQUIPMEN")</f>
        <v xml:space="preserve">          6234 - EXPENDABLE SUPPLIES &amp; EQUIPMEN</v>
      </c>
      <c r="C99" s="11"/>
      <c r="D99" s="7"/>
      <c r="E99" s="2"/>
      <c r="F99" s="6">
        <f t="shared" si="43"/>
        <v>0</v>
      </c>
      <c r="G99" s="2"/>
      <c r="H99" s="7"/>
      <c r="I99" s="2"/>
      <c r="J99" s="6">
        <f t="shared" si="44"/>
        <v>0</v>
      </c>
      <c r="K99" s="2"/>
      <c r="L99" s="7">
        <f t="shared" si="45"/>
        <v>0</v>
      </c>
      <c r="M99" s="2"/>
      <c r="N99" s="6">
        <f t="shared" si="46"/>
        <v>0</v>
      </c>
      <c r="O99" s="11"/>
      <c r="P99" s="7"/>
      <c r="Q99" s="2"/>
      <c r="R99" s="6">
        <f t="shared" si="47"/>
        <v>0</v>
      </c>
      <c r="S99" s="2"/>
      <c r="T99" s="7">
        <v>-15.95</v>
      </c>
      <c r="U99" s="2"/>
      <c r="V99" s="6">
        <f t="shared" si="48"/>
        <v>-3.6770142072912952E-5</v>
      </c>
      <c r="W99" s="2"/>
      <c r="X99" s="7">
        <f t="shared" si="49"/>
        <v>15.95</v>
      </c>
      <c r="Y99" s="2"/>
      <c r="Z99" s="6">
        <f t="shared" si="50"/>
        <v>-1</v>
      </c>
    </row>
    <row r="100" spans="1:26" s="24" customFormat="1" hidden="1" outlineLevel="2" x14ac:dyDescent="0.25">
      <c r="A100" s="29"/>
      <c r="B100" s="11" t="str">
        <f>CONCATENATE("          ", "6235", " - ", "COVID-19 EXPENSES")</f>
        <v xml:space="preserve">          6235 - COVID-19 EXPENSES</v>
      </c>
      <c r="C100" s="11"/>
      <c r="D100" s="7"/>
      <c r="E100" s="2"/>
      <c r="F100" s="6">
        <f t="shared" si="43"/>
        <v>0</v>
      </c>
      <c r="G100" s="2"/>
      <c r="H100" s="7"/>
      <c r="I100" s="2"/>
      <c r="J100" s="6">
        <f t="shared" si="44"/>
        <v>0</v>
      </c>
      <c r="K100" s="2"/>
      <c r="L100" s="7">
        <f t="shared" si="45"/>
        <v>0</v>
      </c>
      <c r="M100" s="2"/>
      <c r="N100" s="6">
        <f t="shared" si="46"/>
        <v>0</v>
      </c>
      <c r="O100" s="11"/>
      <c r="P100" s="7">
        <v>961.38</v>
      </c>
      <c r="Q100" s="2"/>
      <c r="R100" s="6">
        <f t="shared" si="47"/>
        <v>2.2041806615600477E-3</v>
      </c>
      <c r="S100" s="2"/>
      <c r="T100" s="7"/>
      <c r="U100" s="2"/>
      <c r="V100" s="6">
        <f t="shared" si="48"/>
        <v>0</v>
      </c>
      <c r="W100" s="2"/>
      <c r="X100" s="7">
        <f t="shared" si="49"/>
        <v>961.38</v>
      </c>
      <c r="Y100" s="2"/>
      <c r="Z100" s="6">
        <f t="shared" si="50"/>
        <v>0</v>
      </c>
    </row>
    <row r="101" spans="1:26" s="24" customFormat="1" hidden="1" outlineLevel="2" x14ac:dyDescent="0.25">
      <c r="A101" s="29"/>
      <c r="B101" s="11" t="str">
        <f>CONCATENATE("          ", "6241", " - ", "OFFICE EXPENSE")</f>
        <v xml:space="preserve">          6241 - OFFICE EXPENSE</v>
      </c>
      <c r="C101" s="11"/>
      <c r="D101" s="7">
        <v>58.15</v>
      </c>
      <c r="E101" s="2"/>
      <c r="F101" s="6">
        <f t="shared" si="43"/>
        <v>2.0172689321643281E-4</v>
      </c>
      <c r="G101" s="2"/>
      <c r="H101" s="7">
        <v>246.64</v>
      </c>
      <c r="I101" s="2"/>
      <c r="J101" s="6">
        <f t="shared" si="44"/>
        <v>9.7435830580802738E-4</v>
      </c>
      <c r="K101" s="2"/>
      <c r="L101" s="7">
        <f t="shared" si="45"/>
        <v>-188.48999999999998</v>
      </c>
      <c r="M101" s="2"/>
      <c r="N101" s="6">
        <f t="shared" si="46"/>
        <v>-0.7642312682452157</v>
      </c>
      <c r="O101" s="11"/>
      <c r="P101" s="7">
        <v>106.53</v>
      </c>
      <c r="Q101" s="2"/>
      <c r="R101" s="6">
        <f t="shared" si="47"/>
        <v>2.4424407193408631E-4</v>
      </c>
      <c r="S101" s="2"/>
      <c r="T101" s="7">
        <v>1132.19</v>
      </c>
      <c r="U101" s="2"/>
      <c r="V101" s="6">
        <f t="shared" si="48"/>
        <v>2.6100806992809607E-3</v>
      </c>
      <c r="W101" s="2"/>
      <c r="X101" s="7">
        <f t="shared" si="49"/>
        <v>-1025.6600000000001</v>
      </c>
      <c r="Y101" s="2"/>
      <c r="Z101" s="6">
        <f t="shared" si="50"/>
        <v>-0.90590801897208073</v>
      </c>
    </row>
    <row r="102" spans="1:26" s="24" customFormat="1" hidden="1" outlineLevel="2" x14ac:dyDescent="0.25">
      <c r="A102" s="29"/>
      <c r="B102" s="11" t="str">
        <f>CONCATENATE("          ", "6247", " - ", "STORE SUPPLIES")</f>
        <v xml:space="preserve">          6247 - STORE SUPPLIES</v>
      </c>
      <c r="C102" s="11"/>
      <c r="D102" s="7"/>
      <c r="E102" s="2"/>
      <c r="F102" s="6">
        <f t="shared" si="43"/>
        <v>0</v>
      </c>
      <c r="G102" s="2"/>
      <c r="H102" s="7">
        <v>26.99</v>
      </c>
      <c r="I102" s="2"/>
      <c r="J102" s="6">
        <f t="shared" si="44"/>
        <v>1.0662475946220669E-4</v>
      </c>
      <c r="K102" s="2"/>
      <c r="L102" s="7">
        <f t="shared" si="45"/>
        <v>-26.99</v>
      </c>
      <c r="M102" s="2"/>
      <c r="N102" s="6">
        <f t="shared" si="46"/>
        <v>-1</v>
      </c>
      <c r="O102" s="11"/>
      <c r="P102" s="7"/>
      <c r="Q102" s="2"/>
      <c r="R102" s="6">
        <f t="shared" si="47"/>
        <v>0</v>
      </c>
      <c r="S102" s="2"/>
      <c r="T102" s="7">
        <v>26.99</v>
      </c>
      <c r="U102" s="2"/>
      <c r="V102" s="6">
        <f t="shared" si="48"/>
        <v>6.2221074266327313E-5</v>
      </c>
      <c r="W102" s="2"/>
      <c r="X102" s="7">
        <f t="shared" si="49"/>
        <v>-26.99</v>
      </c>
      <c r="Y102" s="2"/>
      <c r="Z102" s="6">
        <f t="shared" si="50"/>
        <v>-1</v>
      </c>
    </row>
    <row r="103" spans="1:26" s="28" customFormat="1" outlineLevel="1" collapsed="1" x14ac:dyDescent="0.25">
      <c r="A103" s="27"/>
      <c r="B103" s="14" t="str">
        <f>CONCATENATE("     ","Telephone/Data Lines                              ")</f>
        <v xml:space="preserve">     Telephone/Data Lines                              </v>
      </c>
      <c r="C103" s="14"/>
      <c r="D103" s="1">
        <f>SUM(OSRRefD22_9x_0)</f>
        <v>481.56</v>
      </c>
      <c r="E103" s="1"/>
      <c r="F103" s="5">
        <f t="shared" ref="F103:F106" si="51">IF(D$12=0,0,D103/D$12)</f>
        <v>1.6705692639261461E-3</v>
      </c>
      <c r="G103" s="1"/>
      <c r="H103" s="1">
        <f>SUM(OSRRefH22_9x_0)</f>
        <v>521.25</v>
      </c>
      <c r="I103" s="1"/>
      <c r="J103" s="5">
        <f t="shared" ref="J103:J106" si="52">IF(H$12=0,0,H103/H$12)</f>
        <v>2.059212888835689E-3</v>
      </c>
      <c r="K103" s="1"/>
      <c r="L103" s="1">
        <f t="shared" ref="L103:L106" si="53">+D103-H103</f>
        <v>-39.69</v>
      </c>
      <c r="M103" s="1"/>
      <c r="N103" s="5">
        <f t="shared" ref="N103:N106" si="54">IF(H103=0,0,L103/H103)</f>
        <v>-7.614388489208633E-2</v>
      </c>
      <c r="O103" s="14"/>
      <c r="P103" s="1">
        <f>SUM(OSRRefP22_9x_0)</f>
        <v>995.78</v>
      </c>
      <c r="Q103" s="1"/>
      <c r="R103" s="5">
        <f t="shared" ref="R103:R106" si="55">IF(P$12=0,0,P103/P$12)</f>
        <v>2.2830504266453059E-3</v>
      </c>
      <c r="S103" s="1"/>
      <c r="T103" s="1">
        <f>SUM(OSRRefT22_9x_0)</f>
        <v>1109.52</v>
      </c>
      <c r="U103" s="1"/>
      <c r="V103" s="5">
        <f t="shared" ref="V103:V106" si="56">IF(T$12=0,0,T103/T$12)</f>
        <v>2.5578186854381432E-3</v>
      </c>
      <c r="W103" s="1"/>
      <c r="X103" s="1">
        <f t="shared" ref="X103:X106" si="57">+P103-T103</f>
        <v>-113.74000000000001</v>
      </c>
      <c r="Y103" s="1"/>
      <c r="Z103" s="5">
        <f t="shared" ref="Z103:Z106" si="58">IF(T103=0,0,X103/T103)</f>
        <v>-0.10251279832720457</v>
      </c>
    </row>
    <row r="104" spans="1:26" s="24" customFormat="1" hidden="1" outlineLevel="2" x14ac:dyDescent="0.25">
      <c r="A104" s="29"/>
      <c r="B104" s="11" t="str">
        <f>CONCATENATE("          ", "6309", " - ", "TELEPHONE")</f>
        <v xml:space="preserve">          6309 - TELEPHONE</v>
      </c>
      <c r="C104" s="11"/>
      <c r="D104" s="7">
        <v>481.56</v>
      </c>
      <c r="E104" s="2"/>
      <c r="F104" s="6">
        <f t="shared" si="51"/>
        <v>1.6705692639261461E-3</v>
      </c>
      <c r="G104" s="2"/>
      <c r="H104" s="7">
        <v>521.25</v>
      </c>
      <c r="I104" s="2"/>
      <c r="J104" s="6">
        <f t="shared" si="52"/>
        <v>2.059212888835689E-3</v>
      </c>
      <c r="K104" s="2"/>
      <c r="L104" s="7">
        <f t="shared" si="53"/>
        <v>-39.69</v>
      </c>
      <c r="M104" s="2"/>
      <c r="N104" s="6">
        <f t="shared" si="54"/>
        <v>-7.614388489208633E-2</v>
      </c>
      <c r="O104" s="11"/>
      <c r="P104" s="7">
        <v>995.78</v>
      </c>
      <c r="Q104" s="2"/>
      <c r="R104" s="6">
        <f t="shared" si="55"/>
        <v>2.2830504266453059E-3</v>
      </c>
      <c r="S104" s="2"/>
      <c r="T104" s="7">
        <v>1109.52</v>
      </c>
      <c r="U104" s="2"/>
      <c r="V104" s="6">
        <f t="shared" si="56"/>
        <v>2.5578186854381432E-3</v>
      </c>
      <c r="W104" s="2"/>
      <c r="X104" s="7">
        <f t="shared" si="57"/>
        <v>-113.74000000000001</v>
      </c>
      <c r="Y104" s="2"/>
      <c r="Z104" s="6">
        <f t="shared" si="58"/>
        <v>-0.10251279832720457</v>
      </c>
    </row>
    <row r="105" spans="1:26" s="28" customFormat="1" outlineLevel="1" collapsed="1" x14ac:dyDescent="0.25">
      <c r="A105" s="27"/>
      <c r="B105" s="14" t="str">
        <f>CONCATENATE("     ","Training                                          ")</f>
        <v xml:space="preserve">     Training                                          </v>
      </c>
      <c r="C105" s="14"/>
      <c r="D105" s="1">
        <f>SUM(OSRRefD22_10x_0)</f>
        <v>0</v>
      </c>
      <c r="E105" s="1"/>
      <c r="F105" s="5">
        <f t="shared" si="51"/>
        <v>0</v>
      </c>
      <c r="G105" s="1"/>
      <c r="H105" s="1">
        <f>SUM(OSRRefH22_10x_0)</f>
        <v>0</v>
      </c>
      <c r="I105" s="1"/>
      <c r="J105" s="5">
        <f t="shared" si="52"/>
        <v>0</v>
      </c>
      <c r="K105" s="1"/>
      <c r="L105" s="1">
        <f t="shared" si="53"/>
        <v>0</v>
      </c>
      <c r="M105" s="1"/>
      <c r="N105" s="5">
        <f t="shared" si="54"/>
        <v>0</v>
      </c>
      <c r="O105" s="14"/>
      <c r="P105" s="1">
        <f>SUM(OSRRefP22_10x_0)</f>
        <v>0</v>
      </c>
      <c r="Q105" s="1"/>
      <c r="R105" s="5">
        <f t="shared" si="55"/>
        <v>0</v>
      </c>
      <c r="S105" s="1"/>
      <c r="T105" s="1">
        <f>SUM(OSRRefT22_10x_0)</f>
        <v>103.5</v>
      </c>
      <c r="U105" s="1"/>
      <c r="V105" s="5">
        <f t="shared" si="56"/>
        <v>2.3860248931325962E-4</v>
      </c>
      <c r="W105" s="1"/>
      <c r="X105" s="1">
        <f t="shared" si="57"/>
        <v>-103.5</v>
      </c>
      <c r="Y105" s="1"/>
      <c r="Z105" s="5">
        <f t="shared" si="58"/>
        <v>-1</v>
      </c>
    </row>
    <row r="106" spans="1:26" s="24" customFormat="1" hidden="1" outlineLevel="2" x14ac:dyDescent="0.25">
      <c r="A106" s="29"/>
      <c r="B106" s="11" t="str">
        <f>CONCATENATE("          ", "6376", " - ", "TRAINING")</f>
        <v xml:space="preserve">          6376 - TRAINING</v>
      </c>
      <c r="C106" s="11"/>
      <c r="D106" s="7"/>
      <c r="E106" s="2"/>
      <c r="F106" s="6">
        <f t="shared" si="51"/>
        <v>0</v>
      </c>
      <c r="G106" s="2"/>
      <c r="H106" s="7"/>
      <c r="I106" s="2"/>
      <c r="J106" s="6">
        <f t="shared" si="52"/>
        <v>0</v>
      </c>
      <c r="K106" s="2"/>
      <c r="L106" s="7">
        <f t="shared" si="53"/>
        <v>0</v>
      </c>
      <c r="M106" s="2"/>
      <c r="N106" s="6">
        <f t="shared" si="54"/>
        <v>0</v>
      </c>
      <c r="O106" s="11"/>
      <c r="P106" s="7"/>
      <c r="Q106" s="2"/>
      <c r="R106" s="6">
        <f t="shared" si="55"/>
        <v>0</v>
      </c>
      <c r="S106" s="2"/>
      <c r="T106" s="7">
        <v>103.5</v>
      </c>
      <c r="U106" s="2"/>
      <c r="V106" s="6">
        <f t="shared" si="56"/>
        <v>2.3860248931325962E-4</v>
      </c>
      <c r="W106" s="2"/>
      <c r="X106" s="7">
        <f t="shared" si="57"/>
        <v>-103.5</v>
      </c>
      <c r="Y106" s="2"/>
      <c r="Z106" s="6">
        <f t="shared" si="58"/>
        <v>-1</v>
      </c>
    </row>
    <row r="107" spans="1:26" s="52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25">
      <c r="A108" s="10"/>
      <c r="B108" s="25" t="s">
        <v>0</v>
      </c>
      <c r="C108" s="10"/>
      <c r="D108" s="4">
        <f>SUM(OSRRefD25x_0)</f>
        <v>0</v>
      </c>
      <c r="E108" s="4"/>
      <c r="F108" s="12">
        <f t="shared" ref="F108:F110" si="59">IF(D$12=0,0,D108/D$12)</f>
        <v>0</v>
      </c>
      <c r="G108" s="4"/>
      <c r="H108" s="4">
        <f>SUM(OSRRefH25x_0)</f>
        <v>5022.16</v>
      </c>
      <c r="I108" s="4"/>
      <c r="J108" s="12">
        <f t="shared" ref="J108:J110" si="60">IF(H$12=0,0,H108/H$12)</f>
        <v>1.9840185327184734E-2</v>
      </c>
      <c r="K108" s="4"/>
      <c r="L108" s="4">
        <f t="shared" ref="L108:L110" si="61">+D108-H108</f>
        <v>-5022.16</v>
      </c>
      <c r="M108" s="4"/>
      <c r="N108" s="12">
        <f t="shared" ref="N108:N110" si="62">IF(H108=0,0,L108/H108)</f>
        <v>-1</v>
      </c>
      <c r="O108" s="10"/>
      <c r="P108" s="4">
        <f>SUM(OSRRefP25x_0)</f>
        <v>172008.31</v>
      </c>
      <c r="Q108" s="4"/>
      <c r="R108" s="12">
        <f t="shared" ref="R108:R110" si="63">IF(P$12=0,0,P108/P$12)</f>
        <v>0.39436787797710143</v>
      </c>
      <c r="S108" s="4"/>
      <c r="T108" s="4">
        <f>SUM(OSRRefT25x_0)</f>
        <v>14396.98</v>
      </c>
      <c r="U108" s="4"/>
      <c r="V108" s="12">
        <f t="shared" ref="V108:V110" si="64">IF(T$12=0,0,T108/T$12)</f>
        <v>3.3189905957422342E-2</v>
      </c>
      <c r="W108" s="4"/>
      <c r="X108" s="4">
        <f t="shared" ref="X108:X110" si="65">+P108-T108</f>
        <v>157611.32999999999</v>
      </c>
      <c r="Y108" s="4"/>
      <c r="Z108" s="12">
        <f t="shared" ref="Z108:Z110" si="66">IF(T108=0,0,X108/T108)</f>
        <v>10.947527189730067</v>
      </c>
    </row>
    <row r="109" spans="1:26" s="24" customFormat="1" hidden="1" outlineLevel="1" x14ac:dyDescent="0.25">
      <c r="A109" s="44"/>
      <c r="B109" s="11" t="str">
        <f>CONCATENATE("          ", "9150", " - ", "MISC. INCOME")</f>
        <v xml:space="preserve">          9150 - MISC. INCOME</v>
      </c>
      <c r="C109" s="11"/>
      <c r="D109" s="2">
        <f t="shared" ref="D109:D110" si="67">0</f>
        <v>0</v>
      </c>
      <c r="E109" s="2"/>
      <c r="F109" s="19">
        <f t="shared" si="59"/>
        <v>0</v>
      </c>
      <c r="G109" s="2"/>
      <c r="H109" s="2">
        <f>--5022.16</f>
        <v>5022.16</v>
      </c>
      <c r="I109" s="2"/>
      <c r="J109" s="19">
        <f t="shared" si="60"/>
        <v>1.9840185327184734E-2</v>
      </c>
      <c r="K109" s="2"/>
      <c r="L109" s="2">
        <f t="shared" si="61"/>
        <v>-5022.16</v>
      </c>
      <c r="M109" s="2"/>
      <c r="N109" s="19">
        <f t="shared" si="62"/>
        <v>-1</v>
      </c>
      <c r="O109" s="11"/>
      <c r="P109" s="2">
        <f>--11344.41</f>
        <v>11344.41</v>
      </c>
      <c r="Q109" s="2"/>
      <c r="R109" s="19">
        <f t="shared" si="63"/>
        <v>2.6009620689850445E-2</v>
      </c>
      <c r="S109" s="2"/>
      <c r="T109" s="2">
        <f>--14396.98</f>
        <v>14396.98</v>
      </c>
      <c r="U109" s="2"/>
      <c r="V109" s="19">
        <f t="shared" si="64"/>
        <v>3.3189905957422342E-2</v>
      </c>
      <c r="W109" s="2"/>
      <c r="X109" s="2">
        <f t="shared" si="65"/>
        <v>-3052.5699999999997</v>
      </c>
      <c r="Y109" s="2"/>
      <c r="Z109" s="19">
        <f t="shared" si="66"/>
        <v>-0.21202849486489525</v>
      </c>
    </row>
    <row r="110" spans="1:26" s="24" customFormat="1" hidden="1" outlineLevel="1" x14ac:dyDescent="0.25">
      <c r="A110" s="44"/>
      <c r="B110" s="11" t="str">
        <f>CONCATENATE("          ", "9163", " - ", "MISC. INCOME")</f>
        <v xml:space="preserve">          9163 - MISC. INCOME</v>
      </c>
      <c r="C110" s="11"/>
      <c r="D110" s="2">
        <f t="shared" si="67"/>
        <v>0</v>
      </c>
      <c r="E110" s="2"/>
      <c r="F110" s="19">
        <f t="shared" si="59"/>
        <v>0</v>
      </c>
      <c r="G110" s="2"/>
      <c r="H110" s="2">
        <f>0</f>
        <v>0</v>
      </c>
      <c r="I110" s="2"/>
      <c r="J110" s="19">
        <f t="shared" si="60"/>
        <v>0</v>
      </c>
      <c r="K110" s="2"/>
      <c r="L110" s="2">
        <f t="shared" si="61"/>
        <v>0</v>
      </c>
      <c r="M110" s="2"/>
      <c r="N110" s="19">
        <f t="shared" si="62"/>
        <v>0</v>
      </c>
      <c r="O110" s="11"/>
      <c r="P110" s="2">
        <f>--160663.9</f>
        <v>160663.9</v>
      </c>
      <c r="Q110" s="2"/>
      <c r="R110" s="19">
        <f t="shared" si="63"/>
        <v>0.36835825728725097</v>
      </c>
      <c r="S110" s="2"/>
      <c r="T110" s="2">
        <f>0</f>
        <v>0</v>
      </c>
      <c r="U110" s="2"/>
      <c r="V110" s="19">
        <f t="shared" si="64"/>
        <v>0</v>
      </c>
      <c r="W110" s="2"/>
      <c r="X110" s="2">
        <f t="shared" si="65"/>
        <v>160663.9</v>
      </c>
      <c r="Y110" s="2"/>
      <c r="Z110" s="19">
        <f t="shared" si="66"/>
        <v>0</v>
      </c>
    </row>
    <row r="111" spans="1:26" x14ac:dyDescent="0.25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25">
      <c r="A112" s="10"/>
      <c r="B112" s="26" t="s">
        <v>3</v>
      </c>
      <c r="C112" s="26"/>
      <c r="D112" s="22">
        <f>+D67-D69+D108</f>
        <v>56376.299999999959</v>
      </c>
      <c r="E112" s="13"/>
      <c r="F112" s="21">
        <f>IF(D$12=0,0,D112/D$12)</f>
        <v>0.19557378933856534</v>
      </c>
      <c r="G112" s="13"/>
      <c r="H112" s="22">
        <f>+H67-H69+H108</f>
        <v>92206.619999999966</v>
      </c>
      <c r="I112" s="13"/>
      <c r="J112" s="21">
        <f>IF(H$12=0,0,H112/H$12)</f>
        <v>0.36426486396158181</v>
      </c>
      <c r="K112" s="16"/>
      <c r="L112" s="22">
        <f>+D112-H112</f>
        <v>-35830.320000000007</v>
      </c>
      <c r="M112" s="16"/>
      <c r="N112" s="21">
        <f>IF(H112=0,0,L112/H112)</f>
        <v>-0.38858728364622863</v>
      </c>
      <c r="O112" s="25"/>
      <c r="P112" s="22">
        <f>+P67-P69+P108</f>
        <v>236404.66</v>
      </c>
      <c r="Q112" s="13"/>
      <c r="R112" s="21">
        <f>IF(P$12=0,0,P112/P$12)</f>
        <v>0.54201104649012688</v>
      </c>
      <c r="S112" s="13"/>
      <c r="T112" s="22">
        <f>+T67-T69+T108</f>
        <v>139646.59999999995</v>
      </c>
      <c r="U112" s="13"/>
      <c r="V112" s="21">
        <f>IF(T$12=0,0,T112/T$12)</f>
        <v>0.32193262206891815</v>
      </c>
      <c r="W112" s="16"/>
      <c r="X112" s="22">
        <f>+P112-T112</f>
        <v>96758.060000000056</v>
      </c>
      <c r="Y112" s="16"/>
      <c r="Z112" s="21">
        <f>IF(T112=0,0,X112/T112)</f>
        <v>0.69287802209291238</v>
      </c>
    </row>
    <row r="113" spans="1:26" x14ac:dyDescent="0.25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25">
      <c r="A114" s="51"/>
      <c r="B114" s="10" t="s">
        <v>13</v>
      </c>
      <c r="C114" s="10"/>
      <c r="D114" s="4">
        <v>-2110.92</v>
      </c>
      <c r="E114" s="4"/>
      <c r="F114" s="12">
        <f>IF(D$12=0,0,D114/D$12)</f>
        <v>-7.3229464046162063E-3</v>
      </c>
      <c r="G114" s="4"/>
      <c r="H114" s="4">
        <v>16522.489999999998</v>
      </c>
      <c r="I114" s="4"/>
      <c r="J114" s="12">
        <f>IF(H$12=0,0,H114/H$12)</f>
        <v>6.5272564726443688E-2</v>
      </c>
      <c r="K114" s="4"/>
      <c r="L114" s="4">
        <f>+D114-H114</f>
        <v>-18633.409999999996</v>
      </c>
      <c r="M114" s="4"/>
      <c r="N114" s="12">
        <f>IF(H114=0,0,L114/H114)</f>
        <v>-1.1277604041521585</v>
      </c>
      <c r="O114" s="10"/>
      <c r="P114" s="4">
        <v>73640.17</v>
      </c>
      <c r="Q114" s="4"/>
      <c r="R114" s="12">
        <f>IF(P$12=0,0,P114/P$12)</f>
        <v>0.1688367124633281</v>
      </c>
      <c r="S114" s="4"/>
      <c r="T114" s="4">
        <v>54083.939999999995</v>
      </c>
      <c r="U114" s="4"/>
      <c r="V114" s="12">
        <f>IF(T$12=0,0,T114/T$12)</f>
        <v>0.12468176537071472</v>
      </c>
      <c r="W114" s="4"/>
      <c r="X114" s="4">
        <f>+P114-T114</f>
        <v>19556.230000000003</v>
      </c>
      <c r="Y114" s="4"/>
      <c r="Z114" s="12">
        <f>IF(T114=0,0,X114/T114)</f>
        <v>0.3615903353195053</v>
      </c>
    </row>
    <row r="115" spans="1:26" x14ac:dyDescent="0.25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.75" thickBot="1" x14ac:dyDescent="0.3">
      <c r="A116" s="10"/>
      <c r="B116" s="26" t="s">
        <v>4</v>
      </c>
      <c r="C116" s="26"/>
      <c r="D116" s="36">
        <f>+D112-D114</f>
        <v>58487.219999999958</v>
      </c>
      <c r="E116" s="13"/>
      <c r="F116" s="34">
        <f>IF(D$12=0,0,D116/D$12)</f>
        <v>0.20289673574318154</v>
      </c>
      <c r="G116" s="13"/>
      <c r="H116" s="36">
        <f>+H112-H114</f>
        <v>75684.129999999976</v>
      </c>
      <c r="I116" s="13"/>
      <c r="J116" s="34">
        <f>IF(H$12=0,0,H116/H$12)</f>
        <v>0.29899229923513815</v>
      </c>
      <c r="K116" s="16"/>
      <c r="L116" s="36">
        <f>D116-H116</f>
        <v>-17196.910000000018</v>
      </c>
      <c r="M116" s="16"/>
      <c r="N116" s="34">
        <f>IF(H116=0,0,L116/H116)</f>
        <v>-0.22721949766747696</v>
      </c>
      <c r="O116" s="25"/>
      <c r="P116" s="36">
        <f>+P112-P114</f>
        <v>162764.49</v>
      </c>
      <c r="Q116" s="13"/>
      <c r="R116" s="34">
        <f>IF(P$12=0,0,P116/P$12)</f>
        <v>0.37317433402679873</v>
      </c>
      <c r="S116" s="13"/>
      <c r="T116" s="36">
        <f>+T112-T114</f>
        <v>85562.659999999945</v>
      </c>
      <c r="U116" s="13"/>
      <c r="V116" s="34">
        <f>IF(T$12=0,0,T116/T$12)</f>
        <v>0.19725085669820341</v>
      </c>
      <c r="W116" s="16"/>
      <c r="X116" s="36">
        <f>P116-T116</f>
        <v>77201.830000000045</v>
      </c>
      <c r="Y116" s="16"/>
      <c r="Z116" s="34">
        <f>IF(T116=0,0,X116/T116)</f>
        <v>0.90228412721156748</v>
      </c>
    </row>
    <row r="117" spans="1:26" ht="15.75" thickTop="1" x14ac:dyDescent="0.25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.75" thickBot="1" x14ac:dyDescent="0.3">
      <c r="A119" s="10"/>
      <c r="B119" s="26" t="s">
        <v>5</v>
      </c>
      <c r="C119" s="26"/>
      <c r="D119" s="30">
        <f>SUM(D116:D118)</f>
        <v>58487.219999999958</v>
      </c>
      <c r="E119" s="13"/>
      <c r="F119" s="31">
        <f>IF(D$12=0,0,D119/D$12)</f>
        <v>0.20289673574318154</v>
      </c>
      <c r="G119" s="13"/>
      <c r="H119" s="30">
        <f>SUM(H116:H118)</f>
        <v>75684.129999999976</v>
      </c>
      <c r="I119" s="13"/>
      <c r="J119" s="31">
        <f>IF(H$12=0,0,H119/H$12)</f>
        <v>0.29899229923513815</v>
      </c>
      <c r="K119" s="16"/>
      <c r="L119" s="30">
        <f>+D119-H119</f>
        <v>-17196.910000000018</v>
      </c>
      <c r="M119" s="16"/>
      <c r="N119" s="31">
        <f>IF(H119=0,0,L119/H119)</f>
        <v>-0.22721949766747696</v>
      </c>
      <c r="O119" s="25"/>
      <c r="P119" s="30">
        <f>SUM(P116:P118)</f>
        <v>162764.49</v>
      </c>
      <c r="Q119" s="13"/>
      <c r="R119" s="31">
        <f>IF(P$12=0,0,P119/P$12)</f>
        <v>0.37317433402679873</v>
      </c>
      <c r="S119" s="13"/>
      <c r="T119" s="30">
        <f>SUM(T116:T118)</f>
        <v>85562.659999999945</v>
      </c>
      <c r="U119" s="13"/>
      <c r="V119" s="31">
        <f>IF(T$12=0,0,T119/T$12)</f>
        <v>0.19725085669820341</v>
      </c>
      <c r="W119" s="16"/>
      <c r="X119" s="30">
        <f>+P119-T119</f>
        <v>77201.830000000045</v>
      </c>
      <c r="Y119" s="16"/>
      <c r="Z119" s="31">
        <f>IF(T119=0,0,X119/T119)</f>
        <v>0.90228412721156748</v>
      </c>
    </row>
    <row r="120" spans="1:26" ht="15.75" thickTop="1" x14ac:dyDescent="0.25">
      <c r="A120" s="9"/>
      <c r="C120" s="9"/>
      <c r="D120" s="18"/>
      <c r="E120" s="18"/>
      <c r="G120" s="18"/>
      <c r="H120" s="18"/>
      <c r="I120" s="18"/>
      <c r="J120" s="43"/>
      <c r="K120" s="18"/>
      <c r="L120" s="18"/>
      <c r="M120" s="18"/>
      <c r="P120" s="18"/>
      <c r="Q120" s="18"/>
      <c r="R120" s="43"/>
      <c r="S120" s="18"/>
      <c r="T120" s="18"/>
      <c r="U120" s="18"/>
      <c r="V120" s="43"/>
      <c r="W120" s="18"/>
      <c r="X120" s="18"/>
    </row>
    <row r="121" spans="1:26" x14ac:dyDescent="0.25">
      <c r="A121" s="9"/>
      <c r="B121" s="61">
        <v>44113.696288043982</v>
      </c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56" t="s">
        <v>313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8"/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1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","326", " - ", "2nd Street Store")</f>
        <v>Department 326 - 2nd Street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22797.32</v>
      </c>
      <c r="E12" s="4"/>
      <c r="F12" s="12"/>
      <c r="G12" s="4"/>
      <c r="H12" s="4">
        <f>SUM(OSRRefH13x_0)</f>
        <v>69493.83</v>
      </c>
      <c r="I12" s="4"/>
      <c r="J12" s="12"/>
      <c r="K12" s="4"/>
      <c r="L12" s="4">
        <f t="shared" ref="L12:L35" si="0">+D12-H12</f>
        <v>-46696.51</v>
      </c>
      <c r="M12" s="4"/>
      <c r="N12" s="12">
        <f t="shared" ref="N12:N35" si="1">IF(H12=0,0,L12/H12)</f>
        <v>-0.67195188407373718</v>
      </c>
      <c r="O12" s="10"/>
      <c r="P12" s="4">
        <f>SUM(OSRRefP13x_0)</f>
        <v>49677.090000000004</v>
      </c>
      <c r="Q12" s="4"/>
      <c r="R12" s="12"/>
      <c r="S12" s="4"/>
      <c r="T12" s="4">
        <f>SUM(OSRRefT13x_0)</f>
        <v>120975.98000000003</v>
      </c>
      <c r="U12" s="4"/>
      <c r="V12" s="12"/>
      <c r="W12" s="4"/>
      <c r="X12" s="4">
        <f t="shared" ref="X12:X35" si="2">+P12-T12</f>
        <v>-71298.890000000014</v>
      </c>
      <c r="Y12" s="4"/>
      <c r="Z12" s="12">
        <f t="shared" ref="Z12:Z35" si="3">IF(T12=0,0,X12/T12)</f>
        <v>-0.58936402085769424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-295.67</f>
        <v>-295.67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-295.67</v>
      </c>
      <c r="M13" s="2"/>
      <c r="N13" s="19">
        <f t="shared" si="1"/>
        <v>0</v>
      </c>
      <c r="O13" s="11"/>
      <c r="P13" s="2">
        <f>-646</f>
        <v>-646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-646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>0</f>
        <v>0</v>
      </c>
      <c r="E14" s="2"/>
      <c r="F14" s="19"/>
      <c r="G14" s="2"/>
      <c r="H14" s="2">
        <f>--26</f>
        <v>26</v>
      </c>
      <c r="I14" s="2"/>
      <c r="J14" s="19"/>
      <c r="K14" s="2"/>
      <c r="L14" s="2">
        <f t="shared" si="0"/>
        <v>-26</v>
      </c>
      <c r="M14" s="2"/>
      <c r="N14" s="19">
        <f t="shared" si="1"/>
        <v>-1</v>
      </c>
      <c r="O14" s="11"/>
      <c r="P14" s="2">
        <f>--14.57</f>
        <v>14.57</v>
      </c>
      <c r="Q14" s="2"/>
      <c r="R14" s="19"/>
      <c r="S14" s="2"/>
      <c r="T14" s="2">
        <f>--64.56</f>
        <v>64.56</v>
      </c>
      <c r="U14" s="2"/>
      <c r="V14" s="19"/>
      <c r="W14" s="2"/>
      <c r="X14" s="2">
        <f t="shared" si="2"/>
        <v>-49.99</v>
      </c>
      <c r="Y14" s="2"/>
      <c r="Z14" s="19">
        <f t="shared" si="3"/>
        <v>-0.77431846344485755</v>
      </c>
    </row>
    <row r="15" spans="1:26" s="24" customFormat="1" hidden="1" outlineLevel="1" x14ac:dyDescent="0.25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>--8.99</f>
        <v>8.99</v>
      </c>
      <c r="E15" s="2"/>
      <c r="F15" s="19"/>
      <c r="G15" s="2"/>
      <c r="H15" s="2">
        <f>--40.43</f>
        <v>40.43</v>
      </c>
      <c r="I15" s="2"/>
      <c r="J15" s="19"/>
      <c r="K15" s="2"/>
      <c r="L15" s="2">
        <f t="shared" si="0"/>
        <v>-31.439999999999998</v>
      </c>
      <c r="M15" s="2"/>
      <c r="N15" s="19">
        <f t="shared" si="1"/>
        <v>-0.77764036606480336</v>
      </c>
      <c r="O15" s="11"/>
      <c r="P15" s="2">
        <f>--8.99</f>
        <v>8.99</v>
      </c>
      <c r="Q15" s="2"/>
      <c r="R15" s="19"/>
      <c r="S15" s="2"/>
      <c r="T15" s="2">
        <f>--40.43</f>
        <v>40.43</v>
      </c>
      <c r="U15" s="2"/>
      <c r="V15" s="19"/>
      <c r="W15" s="2"/>
      <c r="X15" s="2">
        <f t="shared" si="2"/>
        <v>-31.439999999999998</v>
      </c>
      <c r="Y15" s="2"/>
      <c r="Z15" s="19">
        <f t="shared" si="3"/>
        <v>-0.77764036606480336</v>
      </c>
    </row>
    <row r="16" spans="1:26" s="24" customFormat="1" hidden="1" outlineLevel="1" x14ac:dyDescent="0.25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>--19174.41</f>
        <v>19174.41</v>
      </c>
      <c r="E16" s="2"/>
      <c r="F16" s="19"/>
      <c r="G16" s="2"/>
      <c r="H16" s="2">
        <f>--56804.39</f>
        <v>56804.39</v>
      </c>
      <c r="I16" s="2"/>
      <c r="J16" s="19"/>
      <c r="K16" s="2"/>
      <c r="L16" s="2">
        <f t="shared" si="0"/>
        <v>-37629.979999999996</v>
      </c>
      <c r="M16" s="2"/>
      <c r="N16" s="19">
        <f t="shared" si="1"/>
        <v>-0.66244844808649461</v>
      </c>
      <c r="O16" s="11"/>
      <c r="P16" s="2">
        <f>--41086.07</f>
        <v>41086.07</v>
      </c>
      <c r="Q16" s="2"/>
      <c r="R16" s="19"/>
      <c r="S16" s="2"/>
      <c r="T16" s="2">
        <f>--100556.8</f>
        <v>100556.8</v>
      </c>
      <c r="U16" s="2"/>
      <c r="V16" s="19"/>
      <c r="W16" s="2"/>
      <c r="X16" s="2">
        <f t="shared" si="2"/>
        <v>-59470.73</v>
      </c>
      <c r="Y16" s="2"/>
      <c r="Z16" s="19">
        <f t="shared" si="3"/>
        <v>-0.59141430514893079</v>
      </c>
    </row>
    <row r="17" spans="1:26" s="24" customFormat="1" hidden="1" outlineLevel="1" x14ac:dyDescent="0.25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>--2843.88</f>
        <v>2843.88</v>
      </c>
      <c r="E17" s="2"/>
      <c r="F17" s="19"/>
      <c r="G17" s="2"/>
      <c r="H17" s="2">
        <f>--7240</f>
        <v>7240</v>
      </c>
      <c r="I17" s="2"/>
      <c r="J17" s="19"/>
      <c r="K17" s="2"/>
      <c r="L17" s="2">
        <f t="shared" si="0"/>
        <v>-4396.12</v>
      </c>
      <c r="M17" s="2"/>
      <c r="N17" s="19">
        <f t="shared" si="1"/>
        <v>-0.60719889502762425</v>
      </c>
      <c r="O17" s="11"/>
      <c r="P17" s="2">
        <f>--7029.35</f>
        <v>7029.35</v>
      </c>
      <c r="Q17" s="2"/>
      <c r="R17" s="19"/>
      <c r="S17" s="2"/>
      <c r="T17" s="2">
        <f>--13465.53</f>
        <v>13465.53</v>
      </c>
      <c r="U17" s="2"/>
      <c r="V17" s="19"/>
      <c r="W17" s="2"/>
      <c r="X17" s="2">
        <f t="shared" si="2"/>
        <v>-6436.18</v>
      </c>
      <c r="Y17" s="2"/>
      <c r="Z17" s="19">
        <f t="shared" si="3"/>
        <v>-0.47797450230328847</v>
      </c>
    </row>
    <row r="18" spans="1:26" s="24" customFormat="1" hidden="1" outlineLevel="1" x14ac:dyDescent="0.25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>--1249.5</f>
        <v>1249.5</v>
      </c>
      <c r="E18" s="2"/>
      <c r="F18" s="19"/>
      <c r="G18" s="2"/>
      <c r="H18" s="2">
        <f>--6729.58</f>
        <v>6729.58</v>
      </c>
      <c r="I18" s="2"/>
      <c r="J18" s="19"/>
      <c r="K18" s="2"/>
      <c r="L18" s="2">
        <f t="shared" si="0"/>
        <v>-5480.08</v>
      </c>
      <c r="M18" s="2"/>
      <c r="N18" s="19">
        <f t="shared" si="1"/>
        <v>-0.81432719426769573</v>
      </c>
      <c r="O18" s="11"/>
      <c r="P18" s="2">
        <f>--2848.83</f>
        <v>2848.83</v>
      </c>
      <c r="Q18" s="2"/>
      <c r="R18" s="19"/>
      <c r="S18" s="2"/>
      <c r="T18" s="2">
        <f>--9163.19</f>
        <v>9163.19</v>
      </c>
      <c r="U18" s="2"/>
      <c r="V18" s="19"/>
      <c r="W18" s="2"/>
      <c r="X18" s="2">
        <f t="shared" si="2"/>
        <v>-6314.3600000000006</v>
      </c>
      <c r="Y18" s="2"/>
      <c r="Z18" s="19">
        <f t="shared" si="3"/>
        <v>-0.68910062980250331</v>
      </c>
    </row>
    <row r="19" spans="1:26" s="24" customFormat="1" hidden="1" outlineLevel="1" x14ac:dyDescent="0.25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>--349.65</f>
        <v>349.65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349.65</v>
      </c>
      <c r="M19" s="2"/>
      <c r="N19" s="19">
        <f t="shared" si="1"/>
        <v>0</v>
      </c>
      <c r="O19" s="11"/>
      <c r="P19" s="2">
        <f>--379.64</f>
        <v>379.64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379.64</v>
      </c>
      <c r="Y19" s="2"/>
      <c r="Z19" s="19">
        <f t="shared" si="3"/>
        <v>0</v>
      </c>
    </row>
    <row r="20" spans="1:26" s="24" customFormat="1" hidden="1" outlineLevel="1" x14ac:dyDescent="0.25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>--194.6</f>
        <v>194.6</v>
      </c>
      <c r="E20" s="2"/>
      <c r="F20" s="19"/>
      <c r="G20" s="2"/>
      <c r="H20" s="2">
        <f>--513.75</f>
        <v>513.75</v>
      </c>
      <c r="I20" s="2"/>
      <c r="J20" s="19"/>
      <c r="K20" s="2"/>
      <c r="L20" s="2">
        <f t="shared" si="0"/>
        <v>-319.14999999999998</v>
      </c>
      <c r="M20" s="2"/>
      <c r="N20" s="19">
        <f t="shared" si="1"/>
        <v>-0.62121654501216539</v>
      </c>
      <c r="O20" s="11"/>
      <c r="P20" s="2">
        <f>--492.08</f>
        <v>492.08</v>
      </c>
      <c r="Q20" s="2"/>
      <c r="R20" s="19"/>
      <c r="S20" s="2"/>
      <c r="T20" s="2">
        <f>--761.95</f>
        <v>761.95</v>
      </c>
      <c r="U20" s="2"/>
      <c r="V20" s="19"/>
      <c r="W20" s="2"/>
      <c r="X20" s="2">
        <f t="shared" si="2"/>
        <v>-269.87000000000006</v>
      </c>
      <c r="Y20" s="2"/>
      <c r="Z20" s="19">
        <f t="shared" si="3"/>
        <v>-0.35418334536386908</v>
      </c>
    </row>
    <row r="21" spans="1:26" s="24" customFormat="1" hidden="1" outlineLevel="1" x14ac:dyDescent="0.25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 t="shared" ref="D21:D23" si="4">0</f>
        <v>0</v>
      </c>
      <c r="E21" s="2"/>
      <c r="F21" s="19"/>
      <c r="G21" s="2"/>
      <c r="H21" s="2">
        <f>--129.87</f>
        <v>129.87</v>
      </c>
      <c r="I21" s="2"/>
      <c r="J21" s="19"/>
      <c r="K21" s="2"/>
      <c r="L21" s="2">
        <f t="shared" si="0"/>
        <v>-129.87</v>
      </c>
      <c r="M21" s="2"/>
      <c r="N21" s="19">
        <f t="shared" si="1"/>
        <v>-1</v>
      </c>
      <c r="O21" s="11"/>
      <c r="P21" s="2">
        <f t="shared" ref="P21:P23" si="5">0</f>
        <v>0</v>
      </c>
      <c r="Q21" s="2"/>
      <c r="R21" s="19"/>
      <c r="S21" s="2"/>
      <c r="T21" s="2">
        <f>--367.76</f>
        <v>367.76</v>
      </c>
      <c r="U21" s="2"/>
      <c r="V21" s="19"/>
      <c r="W21" s="2"/>
      <c r="X21" s="2">
        <f t="shared" si="2"/>
        <v>-367.76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"4092", " - ", "TAXABLE SALES-GRAD MERCH")</f>
        <v xml:space="preserve">          4092 - TAXABLE SALES-GRAD MERCH</v>
      </c>
      <c r="C22" s="11"/>
      <c r="D22" s="2">
        <f t="shared" si="4"/>
        <v>0</v>
      </c>
      <c r="E22" s="2"/>
      <c r="F22" s="19"/>
      <c r="G22" s="2"/>
      <c r="H22" s="2">
        <f>-39.95</f>
        <v>-39.950000000000003</v>
      </c>
      <c r="I22" s="2"/>
      <c r="J22" s="19"/>
      <c r="K22" s="2"/>
      <c r="L22" s="2">
        <f t="shared" si="0"/>
        <v>39.950000000000003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-39.95</f>
        <v>-39.950000000000003</v>
      </c>
      <c r="U22" s="2"/>
      <c r="V22" s="19"/>
      <c r="W22" s="2"/>
      <c r="X22" s="2">
        <f t="shared" si="2"/>
        <v>39.950000000000003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"4095", " - ", "TAXABLE SALES-CUSTOMER SERVICE")</f>
        <v xml:space="preserve">          4095 - TAXABLE SALES-CUSTOMER SERVICE</v>
      </c>
      <c r="C23" s="11"/>
      <c r="D23" s="2">
        <f t="shared" si="4"/>
        <v>0</v>
      </c>
      <c r="E23" s="2"/>
      <c r="F23" s="19"/>
      <c r="G23" s="2"/>
      <c r="H23" s="2">
        <f>--5.94</f>
        <v>5.94</v>
      </c>
      <c r="I23" s="2"/>
      <c r="J23" s="19"/>
      <c r="K23" s="2"/>
      <c r="L23" s="2">
        <f t="shared" si="0"/>
        <v>-5.94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--16.83</f>
        <v>16.829999999999998</v>
      </c>
      <c r="U23" s="2"/>
      <c r="V23" s="19"/>
      <c r="W23" s="2"/>
      <c r="X23" s="2">
        <f t="shared" si="2"/>
        <v>-16.829999999999998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"4131", " - ", "NON-TAXABLE SALES-FOOD")</f>
        <v xml:space="preserve">          4131 - NON-TAXABLE SALES-FOOD</v>
      </c>
      <c r="C24" s="11"/>
      <c r="D24" s="2">
        <f>--9</f>
        <v>9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9</v>
      </c>
      <c r="M24" s="2"/>
      <c r="N24" s="19">
        <f t="shared" si="1"/>
        <v>0</v>
      </c>
      <c r="O24" s="11"/>
      <c r="P24" s="2">
        <f>--10.5</f>
        <v>10.5</v>
      </c>
      <c r="Q24" s="2"/>
      <c r="R24" s="19"/>
      <c r="S24" s="2"/>
      <c r="T24" s="2">
        <f>0</f>
        <v>0</v>
      </c>
      <c r="U24" s="2"/>
      <c r="V24" s="19"/>
      <c r="W24" s="2"/>
      <c r="X24" s="2">
        <f t="shared" si="2"/>
        <v>10.5</v>
      </c>
      <c r="Y24" s="2"/>
      <c r="Z24" s="19">
        <f t="shared" si="3"/>
        <v>0</v>
      </c>
    </row>
    <row r="25" spans="1:26" s="24" customFormat="1" hidden="1" outlineLevel="1" x14ac:dyDescent="0.25">
      <c r="A25" s="44"/>
      <c r="B25" s="11" t="str">
        <f>CONCATENATE("          ", "4137", " - ", "NON-TAXABLE SALES-WATER")</f>
        <v xml:space="preserve">          4137 - NON-TAXABLE SALES-WATER</v>
      </c>
      <c r="C25" s="11"/>
      <c r="D25" s="2">
        <f>0</f>
        <v>0</v>
      </c>
      <c r="E25" s="2"/>
      <c r="F25" s="19"/>
      <c r="G25" s="2"/>
      <c r="H25" s="2">
        <f>--31.5</f>
        <v>31.5</v>
      </c>
      <c r="I25" s="2"/>
      <c r="J25" s="19"/>
      <c r="K25" s="2"/>
      <c r="L25" s="2">
        <f t="shared" si="0"/>
        <v>-31.5</v>
      </c>
      <c r="M25" s="2"/>
      <c r="N25" s="19">
        <f t="shared" si="1"/>
        <v>-1</v>
      </c>
      <c r="O25" s="11"/>
      <c r="P25" s="2">
        <f>--9</f>
        <v>9</v>
      </c>
      <c r="Q25" s="2"/>
      <c r="R25" s="19"/>
      <c r="S25" s="2"/>
      <c r="T25" s="2">
        <f>--54</f>
        <v>54</v>
      </c>
      <c r="U25" s="2"/>
      <c r="V25" s="19"/>
      <c r="W25" s="2"/>
      <c r="X25" s="2">
        <f t="shared" si="2"/>
        <v>-45</v>
      </c>
      <c r="Y25" s="2"/>
      <c r="Z25" s="19">
        <f t="shared" si="3"/>
        <v>-0.83333333333333337</v>
      </c>
    </row>
    <row r="26" spans="1:26" s="24" customFormat="1" hidden="1" outlineLevel="1" x14ac:dyDescent="0.25">
      <c r="A26" s="44"/>
      <c r="B26" s="11" t="str">
        <f>CONCATENATE("          ", "4140", " - ", "NON-TAXABLE SALES-LOGO CLOTHIN")</f>
        <v xml:space="preserve">          4140 - NON-TAXABLE SALES-LOGO CLOTHIN</v>
      </c>
      <c r="C26" s="11"/>
      <c r="D26" s="2">
        <f>--14.98</f>
        <v>14.98</v>
      </c>
      <c r="E26" s="2"/>
      <c r="F26" s="19"/>
      <c r="G26" s="2"/>
      <c r="H26" s="2">
        <f>0</f>
        <v>0</v>
      </c>
      <c r="I26" s="2"/>
      <c r="J26" s="19"/>
      <c r="K26" s="2"/>
      <c r="L26" s="2">
        <f t="shared" si="0"/>
        <v>14.98</v>
      </c>
      <c r="M26" s="2"/>
      <c r="N26" s="19">
        <f t="shared" si="1"/>
        <v>0</v>
      </c>
      <c r="O26" s="11"/>
      <c r="P26" s="2">
        <f>--83.44</f>
        <v>83.44</v>
      </c>
      <c r="Q26" s="2"/>
      <c r="R26" s="19"/>
      <c r="S26" s="2"/>
      <c r="T26" s="2">
        <f>0</f>
        <v>0</v>
      </c>
      <c r="U26" s="2"/>
      <c r="V26" s="19"/>
      <c r="W26" s="2"/>
      <c r="X26" s="2">
        <f t="shared" si="2"/>
        <v>83.44</v>
      </c>
      <c r="Y26" s="2"/>
      <c r="Z26" s="19">
        <f t="shared" si="3"/>
        <v>0</v>
      </c>
    </row>
    <row r="27" spans="1:26" s="24" customFormat="1" hidden="1" outlineLevel="1" x14ac:dyDescent="0.25">
      <c r="A27" s="44"/>
      <c r="B27" s="11" t="str">
        <f>CONCATENATE("          ", "4142", " - ", "NON-TAXABLE SALES-EVERYDAY GIF")</f>
        <v xml:space="preserve">          4142 - NON-TAXABLE SALES-EVERYDAY GIF</v>
      </c>
      <c r="C27" s="11"/>
      <c r="D27" s="2">
        <f t="shared" ref="D27:D29" si="6">0</f>
        <v>0</v>
      </c>
      <c r="E27" s="2"/>
      <c r="F27" s="19"/>
      <c r="G27" s="2"/>
      <c r="H27" s="2">
        <f>--23.05</f>
        <v>23.05</v>
      </c>
      <c r="I27" s="2"/>
      <c r="J27" s="19"/>
      <c r="K27" s="2"/>
      <c r="L27" s="2">
        <f t="shared" si="0"/>
        <v>-23.05</v>
      </c>
      <c r="M27" s="2"/>
      <c r="N27" s="19">
        <f t="shared" si="1"/>
        <v>-1</v>
      </c>
      <c r="O27" s="11"/>
      <c r="P27" s="2">
        <f>0</f>
        <v>0</v>
      </c>
      <c r="Q27" s="2"/>
      <c r="R27" s="19"/>
      <c r="S27" s="2"/>
      <c r="T27" s="2">
        <f>--102.97</f>
        <v>102.97</v>
      </c>
      <c r="U27" s="2"/>
      <c r="V27" s="19"/>
      <c r="W27" s="2"/>
      <c r="X27" s="2">
        <f t="shared" si="2"/>
        <v>-102.97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"4145", " - ", "NON-TAXABLE SALES-SPECIAL ORDE")</f>
        <v xml:space="preserve">          4145 - NON-TAXABLE SALES-SPECIAL ORDE</v>
      </c>
      <c r="C28" s="11"/>
      <c r="D28" s="2">
        <f t="shared" si="6"/>
        <v>0</v>
      </c>
      <c r="E28" s="2"/>
      <c r="F28" s="19"/>
      <c r="G28" s="2"/>
      <c r="H28" s="2">
        <f t="shared" ref="H28:H29" si="7">0</f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>--7</f>
        <v>7</v>
      </c>
      <c r="Q28" s="2"/>
      <c r="R28" s="19"/>
      <c r="S28" s="2"/>
      <c r="T28" s="2">
        <f t="shared" ref="T28:T29" si="8">0</f>
        <v>0</v>
      </c>
      <c r="U28" s="2"/>
      <c r="V28" s="19"/>
      <c r="W28" s="2"/>
      <c r="X28" s="2">
        <f t="shared" si="2"/>
        <v>7</v>
      </c>
      <c r="Y28" s="2"/>
      <c r="Z28" s="19">
        <f t="shared" si="3"/>
        <v>0</v>
      </c>
    </row>
    <row r="29" spans="1:26" s="24" customFormat="1" hidden="1" outlineLevel="1" x14ac:dyDescent="0.25">
      <c r="A29" s="44"/>
      <c r="B29" s="11" t="str">
        <f>CONCATENATE("          ", "4227", " - ", "SALES RETURN TAXABLE-SCHOOL SU")</f>
        <v xml:space="preserve">          4227 - SALES RETURN TAXABLE-SCHOOL SU</v>
      </c>
      <c r="C29" s="11"/>
      <c r="D29" s="2">
        <f t="shared" si="6"/>
        <v>0</v>
      </c>
      <c r="E29" s="2"/>
      <c r="F29" s="19"/>
      <c r="G29" s="2"/>
      <c r="H29" s="2">
        <f t="shared" si="7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>-30</f>
        <v>-30</v>
      </c>
      <c r="Q29" s="2"/>
      <c r="R29" s="19"/>
      <c r="S29" s="2"/>
      <c r="T29" s="2">
        <f t="shared" si="8"/>
        <v>0</v>
      </c>
      <c r="U29" s="2"/>
      <c r="V29" s="19"/>
      <c r="W29" s="2"/>
      <c r="X29" s="2">
        <f t="shared" si="2"/>
        <v>-30</v>
      </c>
      <c r="Y29" s="2"/>
      <c r="Z29" s="19">
        <f t="shared" si="3"/>
        <v>0</v>
      </c>
    </row>
    <row r="30" spans="1:26" s="24" customFormat="1" hidden="1" outlineLevel="1" x14ac:dyDescent="0.25">
      <c r="A30" s="44"/>
      <c r="B30" s="11" t="str">
        <f>CONCATENATE("          ", "4240", " - ", "SALES RETURN TAXABLE-LOGO CLOT")</f>
        <v xml:space="preserve">          4240 - SALES RETURN TAXABLE-LOGO CLOT</v>
      </c>
      <c r="C30" s="11"/>
      <c r="D30" s="2">
        <f>-700.45</f>
        <v>-700.45</v>
      </c>
      <c r="E30" s="2"/>
      <c r="F30" s="19"/>
      <c r="G30" s="2"/>
      <c r="H30" s="2">
        <f>-1707.89</f>
        <v>-1707.89</v>
      </c>
      <c r="I30" s="2"/>
      <c r="J30" s="19"/>
      <c r="K30" s="2"/>
      <c r="L30" s="2">
        <f t="shared" si="0"/>
        <v>1007.44</v>
      </c>
      <c r="M30" s="2"/>
      <c r="N30" s="19">
        <f t="shared" si="1"/>
        <v>-0.58987405512064595</v>
      </c>
      <c r="O30" s="11"/>
      <c r="P30" s="2">
        <f>-1450.1</f>
        <v>-1450.1</v>
      </c>
      <c r="Q30" s="2"/>
      <c r="R30" s="19"/>
      <c r="S30" s="2"/>
      <c r="T30" s="2">
        <f>-3065.84</f>
        <v>-3065.84</v>
      </c>
      <c r="U30" s="2"/>
      <c r="V30" s="19"/>
      <c r="W30" s="2"/>
      <c r="X30" s="2">
        <f t="shared" si="2"/>
        <v>1615.7400000000002</v>
      </c>
      <c r="Y30" s="2"/>
      <c r="Z30" s="19">
        <f t="shared" si="3"/>
        <v>-0.52701380372100315</v>
      </c>
    </row>
    <row r="31" spans="1:26" s="24" customFormat="1" hidden="1" outlineLevel="1" x14ac:dyDescent="0.25">
      <c r="A31" s="44"/>
      <c r="B31" s="11" t="str">
        <f>CONCATENATE("          ", "4241", " - ", "SALES RETURN TAXABLE-LOGO GIFT")</f>
        <v xml:space="preserve">          4241 - SALES RETURN TAXABLE-LOGO GIFT</v>
      </c>
      <c r="C31" s="11"/>
      <c r="D31" s="2">
        <f>-28.85</f>
        <v>-28.85</v>
      </c>
      <c r="E31" s="2"/>
      <c r="F31" s="19"/>
      <c r="G31" s="2"/>
      <c r="H31" s="2">
        <f>-169.55</f>
        <v>-169.55</v>
      </c>
      <c r="I31" s="2"/>
      <c r="J31" s="19"/>
      <c r="K31" s="2"/>
      <c r="L31" s="2">
        <f t="shared" si="0"/>
        <v>140.70000000000002</v>
      </c>
      <c r="M31" s="2"/>
      <c r="N31" s="19">
        <f t="shared" si="1"/>
        <v>-0.8298437039221469</v>
      </c>
      <c r="O31" s="11"/>
      <c r="P31" s="2">
        <f>-62.7</f>
        <v>-62.7</v>
      </c>
      <c r="Q31" s="2"/>
      <c r="R31" s="19"/>
      <c r="S31" s="2"/>
      <c r="T31" s="2">
        <f>-336.01</f>
        <v>-336.01</v>
      </c>
      <c r="U31" s="2"/>
      <c r="V31" s="19"/>
      <c r="W31" s="2"/>
      <c r="X31" s="2">
        <f t="shared" si="2"/>
        <v>273.31</v>
      </c>
      <c r="Y31" s="2"/>
      <c r="Z31" s="19">
        <f t="shared" si="3"/>
        <v>-0.81339841076158448</v>
      </c>
    </row>
    <row r="32" spans="1:26" s="24" customFormat="1" hidden="1" outlineLevel="1" x14ac:dyDescent="0.25">
      <c r="A32" s="44"/>
      <c r="B32" s="11" t="str">
        <f>CONCATENATE("          ", "4242", " - ", "SALES RETURN TAXABLE-EVERYDAY")</f>
        <v xml:space="preserve">          4242 - SALES RETURN TAXABLE-EVERYDAY</v>
      </c>
      <c r="C32" s="11"/>
      <c r="D32" s="2">
        <f>-22.72</f>
        <v>-22.72</v>
      </c>
      <c r="E32" s="2"/>
      <c r="F32" s="19"/>
      <c r="G32" s="2"/>
      <c r="H32" s="2">
        <f>-101.34</f>
        <v>-101.34</v>
      </c>
      <c r="I32" s="2"/>
      <c r="J32" s="19"/>
      <c r="K32" s="2"/>
      <c r="L32" s="2">
        <f t="shared" si="0"/>
        <v>78.62</v>
      </c>
      <c r="M32" s="2"/>
      <c r="N32" s="19">
        <f t="shared" si="1"/>
        <v>-0.77580422340635491</v>
      </c>
      <c r="O32" s="11"/>
      <c r="P32" s="2">
        <f>-96.58</f>
        <v>-96.58</v>
      </c>
      <c r="Q32" s="2"/>
      <c r="R32" s="19"/>
      <c r="S32" s="2"/>
      <c r="T32" s="2">
        <f>-144.29</f>
        <v>-144.29</v>
      </c>
      <c r="U32" s="2"/>
      <c r="V32" s="19"/>
      <c r="W32" s="2"/>
      <c r="X32" s="2">
        <f t="shared" si="2"/>
        <v>47.709999999999994</v>
      </c>
      <c r="Y32" s="2"/>
      <c r="Z32" s="19">
        <f t="shared" si="3"/>
        <v>-0.33065354494420957</v>
      </c>
    </row>
    <row r="33" spans="1:26" s="24" customFormat="1" hidden="1" outlineLevel="1" x14ac:dyDescent="0.25">
      <c r="A33" s="44"/>
      <c r="B33" s="11" t="str">
        <f>CONCATENATE("          ", "4244", " - ", "SALES RETURN TAXABLE-ACCESSORI")</f>
        <v xml:space="preserve">          4244 - SALES RETURN TAXABLE-ACCESSORI</v>
      </c>
      <c r="C33" s="11"/>
      <c r="D33" s="2">
        <f t="shared" ref="D33:D35" si="9">0</f>
        <v>0</v>
      </c>
      <c r="E33" s="2"/>
      <c r="F33" s="19"/>
      <c r="G33" s="2"/>
      <c r="H33" s="2">
        <f>-22.95</f>
        <v>-22.95</v>
      </c>
      <c r="I33" s="2"/>
      <c r="J33" s="19"/>
      <c r="K33" s="2"/>
      <c r="L33" s="2">
        <f t="shared" si="0"/>
        <v>22.95</v>
      </c>
      <c r="M33" s="2"/>
      <c r="N33" s="19">
        <f t="shared" si="1"/>
        <v>-1</v>
      </c>
      <c r="O33" s="11"/>
      <c r="P33" s="2">
        <f>0</f>
        <v>0</v>
      </c>
      <c r="Q33" s="2"/>
      <c r="R33" s="19"/>
      <c r="S33" s="2"/>
      <c r="T33" s="2">
        <f>-22.95</f>
        <v>-22.95</v>
      </c>
      <c r="U33" s="2"/>
      <c r="V33" s="19"/>
      <c r="W33" s="2"/>
      <c r="X33" s="2">
        <f t="shared" si="2"/>
        <v>22.95</v>
      </c>
      <c r="Y33" s="2"/>
      <c r="Z33" s="19">
        <f t="shared" si="3"/>
        <v>-1</v>
      </c>
    </row>
    <row r="34" spans="1:26" s="24" customFormat="1" hidden="1" outlineLevel="1" x14ac:dyDescent="0.25">
      <c r="A34" s="44"/>
      <c r="B34" s="11" t="str">
        <f>CONCATENATE("          ", "4245", " - ", "SALES RETURN TAXABLE-SPECIAL O")</f>
        <v xml:space="preserve">          4245 - SALES RETURN TAXABLE-SPECIAL O</v>
      </c>
      <c r="C34" s="11"/>
      <c r="D34" s="2">
        <f t="shared" si="9"/>
        <v>0</v>
      </c>
      <c r="E34" s="2"/>
      <c r="F34" s="19"/>
      <c r="G34" s="2"/>
      <c r="H34" s="2">
        <f>-9.99</f>
        <v>-9.99</v>
      </c>
      <c r="I34" s="2"/>
      <c r="J34" s="19"/>
      <c r="K34" s="2"/>
      <c r="L34" s="2">
        <f t="shared" si="0"/>
        <v>9.99</v>
      </c>
      <c r="M34" s="2"/>
      <c r="N34" s="19">
        <f t="shared" si="1"/>
        <v>-1</v>
      </c>
      <c r="O34" s="11"/>
      <c r="P34" s="2">
        <f>-7</f>
        <v>-7</v>
      </c>
      <c r="Q34" s="2"/>
      <c r="R34" s="19"/>
      <c r="S34" s="2"/>
      <c r="T34" s="2">
        <f>-9.99</f>
        <v>-9.99</v>
      </c>
      <c r="U34" s="2"/>
      <c r="V34" s="19"/>
      <c r="W34" s="2"/>
      <c r="X34" s="2">
        <f t="shared" si="2"/>
        <v>2.99</v>
      </c>
      <c r="Y34" s="2"/>
      <c r="Z34" s="19">
        <f t="shared" si="3"/>
        <v>-0.29929929929929933</v>
      </c>
    </row>
    <row r="35" spans="1:26" s="24" customFormat="1" hidden="1" outlineLevel="1" x14ac:dyDescent="0.25">
      <c r="A35" s="44"/>
      <c r="B35" s="11" t="str">
        <f>CONCATENATE("          ", "4295", " - ", "SALES RETURN TAXABLE-CUSTOMER")</f>
        <v xml:space="preserve">          4295 - SALES RETURN TAXABLE-CUSTOMER</v>
      </c>
      <c r="C35" s="11"/>
      <c r="D35" s="2">
        <f t="shared" si="9"/>
        <v>0</v>
      </c>
      <c r="E35" s="2"/>
      <c r="F35" s="19"/>
      <c r="G35" s="2"/>
      <c r="H35" s="2">
        <f>--0.99</f>
        <v>0.99</v>
      </c>
      <c r="I35" s="2"/>
      <c r="J35" s="19"/>
      <c r="K35" s="2"/>
      <c r="L35" s="2">
        <f t="shared" si="0"/>
        <v>-0.99</v>
      </c>
      <c r="M35" s="2"/>
      <c r="N35" s="19">
        <f t="shared" si="1"/>
        <v>-1</v>
      </c>
      <c r="O35" s="11"/>
      <c r="P35" s="2">
        <f>0</f>
        <v>0</v>
      </c>
      <c r="Q35" s="2"/>
      <c r="R35" s="19"/>
      <c r="S35" s="2"/>
      <c r="T35" s="2">
        <f>--0.99</f>
        <v>0.99</v>
      </c>
      <c r="U35" s="2"/>
      <c r="V35" s="19"/>
      <c r="W35" s="2"/>
      <c r="X35" s="2">
        <f t="shared" si="2"/>
        <v>-0.99</v>
      </c>
      <c r="Y35" s="2"/>
      <c r="Z35" s="19">
        <f t="shared" si="3"/>
        <v>-1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collapsed="1" x14ac:dyDescent="0.25">
      <c r="A37" s="10"/>
      <c r="B37" s="25" t="s">
        <v>8</v>
      </c>
      <c r="C37" s="10"/>
      <c r="D37" s="4">
        <f>SUM(OSRRefD16x_0)</f>
        <v>8270</v>
      </c>
      <c r="E37" s="4"/>
      <c r="F37" s="12">
        <f t="shared" ref="F37:F49" si="10">IF(D$12=0,0,D37/D$12)</f>
        <v>0.36276193868402073</v>
      </c>
      <c r="G37" s="4"/>
      <c r="H37" s="4">
        <f>SUM(OSRRefH16x_0)</f>
        <v>29566.829999999987</v>
      </c>
      <c r="I37" s="4"/>
      <c r="J37" s="12">
        <f t="shared" ref="J37:J49" si="11">IF(H$12=0,0,H37/H$12)</f>
        <v>0.42545978542267687</v>
      </c>
      <c r="K37" s="4"/>
      <c r="L37" s="4">
        <f t="shared" ref="L37:L49" si="12">+D37-H37</f>
        <v>-21296.829999999987</v>
      </c>
      <c r="M37" s="4"/>
      <c r="N37" s="12">
        <f t="shared" ref="N37:N49" si="13">IF(H37=0,0,L37/H37)</f>
        <v>-0.72029466804523845</v>
      </c>
      <c r="O37" s="10"/>
      <c r="P37" s="4">
        <f>SUM(OSRRefP16x_0)</f>
        <v>18640</v>
      </c>
      <c r="Q37" s="4"/>
      <c r="R37" s="12">
        <f t="shared" ref="R37:R49" si="14">IF(P$12=0,0,P37/P$12)</f>
        <v>0.37522326690230845</v>
      </c>
      <c r="S37" s="4"/>
      <c r="T37" s="4">
        <f>SUM(OSRRefT16x_0)</f>
        <v>51093.39</v>
      </c>
      <c r="U37" s="4"/>
      <c r="V37" s="12">
        <f t="shared" ref="V37:V49" si="15">IF(T$12=0,0,T37/T$12)</f>
        <v>0.42234326186074284</v>
      </c>
      <c r="W37" s="4"/>
      <c r="X37" s="4">
        <f t="shared" ref="X37:X49" si="16">+P37-T37</f>
        <v>-32453.39</v>
      </c>
      <c r="Y37" s="4"/>
      <c r="Z37" s="12">
        <f t="shared" ref="Z37:Z49" si="17">IF(T37=0,0,X37/T37)</f>
        <v>-0.63517785764459944</v>
      </c>
    </row>
    <row r="38" spans="1:26" s="24" customFormat="1" hidden="1" outlineLevel="1" x14ac:dyDescent="0.25">
      <c r="A38" s="44"/>
      <c r="B38" s="11" t="str">
        <f>CONCATENATE("          ", "5026", " - ", "PURCHASES @ COST-WRITING INSTR")</f>
        <v xml:space="preserve">          5026 - PURCHASES @ COST-WRITING INSTR</v>
      </c>
      <c r="C38" s="11"/>
      <c r="D38" s="2"/>
      <c r="E38" s="2"/>
      <c r="F38" s="19">
        <f t="shared" si="10"/>
        <v>0</v>
      </c>
      <c r="G38" s="2"/>
      <c r="H38" s="2">
        <v>21.1</v>
      </c>
      <c r="I38" s="2"/>
      <c r="J38" s="19">
        <f t="shared" si="11"/>
        <v>3.0362407713030063E-4</v>
      </c>
      <c r="K38" s="2"/>
      <c r="L38" s="2">
        <f t="shared" si="12"/>
        <v>-21.1</v>
      </c>
      <c r="M38" s="2"/>
      <c r="N38" s="19">
        <f t="shared" si="13"/>
        <v>-1</v>
      </c>
      <c r="O38" s="11"/>
      <c r="P38" s="2"/>
      <c r="Q38" s="2"/>
      <c r="R38" s="19">
        <f t="shared" si="14"/>
        <v>0</v>
      </c>
      <c r="S38" s="2"/>
      <c r="T38" s="2">
        <v>-53.62</v>
      </c>
      <c r="U38" s="2"/>
      <c r="V38" s="19">
        <f t="shared" si="15"/>
        <v>-4.4322848221605636E-4</v>
      </c>
      <c r="W38" s="2"/>
      <c r="X38" s="2">
        <f t="shared" si="16"/>
        <v>53.62</v>
      </c>
      <c r="Y38" s="2"/>
      <c r="Z38" s="19">
        <f t="shared" si="17"/>
        <v>-1</v>
      </c>
    </row>
    <row r="39" spans="1:26" s="24" customFormat="1" hidden="1" outlineLevel="1" x14ac:dyDescent="0.25">
      <c r="A39" s="44"/>
      <c r="B39" s="11" t="str">
        <f>CONCATENATE("          ", "5027", " - ", "PURCHASES @ COST-SCHOOL SUPPLI")</f>
        <v xml:space="preserve">          5027 - PURCHASES @ COST-SCHOOL SUPPLI</v>
      </c>
      <c r="C39" s="11"/>
      <c r="D39" s="2"/>
      <c r="E39" s="2"/>
      <c r="F39" s="19">
        <f t="shared" si="10"/>
        <v>0</v>
      </c>
      <c r="G39" s="2"/>
      <c r="H39" s="2">
        <v>62.2</v>
      </c>
      <c r="I39" s="2"/>
      <c r="J39" s="19">
        <f t="shared" si="11"/>
        <v>8.9504348803339808E-4</v>
      </c>
      <c r="K39" s="2"/>
      <c r="L39" s="2">
        <f t="shared" si="12"/>
        <v>-62.2</v>
      </c>
      <c r="M39" s="2"/>
      <c r="N39" s="19">
        <f t="shared" si="13"/>
        <v>-1</v>
      </c>
      <c r="O39" s="11"/>
      <c r="P39" s="2"/>
      <c r="Q39" s="2"/>
      <c r="R39" s="19">
        <f t="shared" si="14"/>
        <v>0</v>
      </c>
      <c r="S39" s="2"/>
      <c r="T39" s="2">
        <v>63.52</v>
      </c>
      <c r="U39" s="2"/>
      <c r="V39" s="19">
        <f t="shared" si="15"/>
        <v>5.2506290918246734E-4</v>
      </c>
      <c r="W39" s="2"/>
      <c r="X39" s="2">
        <f t="shared" si="16"/>
        <v>-63.52</v>
      </c>
      <c r="Y39" s="2"/>
      <c r="Z39" s="19">
        <f t="shared" si="17"/>
        <v>-1</v>
      </c>
    </row>
    <row r="40" spans="1:26" s="24" customFormat="1" hidden="1" outlineLevel="1" x14ac:dyDescent="0.25">
      <c r="A40" s="44"/>
      <c r="B40" s="11" t="str">
        <f>CONCATENATE("          ", "5037", " - ", "PURCHASES @ COST-WATER")</f>
        <v xml:space="preserve">          5037 - PURCHASES @ COST-WATER</v>
      </c>
      <c r="C40" s="11"/>
      <c r="D40" s="2"/>
      <c r="E40" s="2"/>
      <c r="F40" s="19">
        <f t="shared" si="10"/>
        <v>0</v>
      </c>
      <c r="G40" s="2"/>
      <c r="H40" s="2">
        <v>12.72</v>
      </c>
      <c r="I40" s="2"/>
      <c r="J40" s="19">
        <f t="shared" si="11"/>
        <v>1.8303783227949878E-4</v>
      </c>
      <c r="K40" s="2"/>
      <c r="L40" s="2">
        <f t="shared" si="12"/>
        <v>-12.72</v>
      </c>
      <c r="M40" s="2"/>
      <c r="N40" s="19">
        <f t="shared" si="13"/>
        <v>-1</v>
      </c>
      <c r="O40" s="11"/>
      <c r="P40" s="2"/>
      <c r="Q40" s="2"/>
      <c r="R40" s="19">
        <f t="shared" si="14"/>
        <v>0</v>
      </c>
      <c r="S40" s="2"/>
      <c r="T40" s="2">
        <v>29.76</v>
      </c>
      <c r="U40" s="2"/>
      <c r="V40" s="19">
        <f t="shared" si="15"/>
        <v>2.4599924712327188E-4</v>
      </c>
      <c r="W40" s="2"/>
      <c r="X40" s="2">
        <f t="shared" si="16"/>
        <v>-29.76</v>
      </c>
      <c r="Y40" s="2"/>
      <c r="Z40" s="19">
        <f t="shared" si="17"/>
        <v>-1</v>
      </c>
    </row>
    <row r="41" spans="1:26" s="24" customFormat="1" hidden="1" outlineLevel="1" x14ac:dyDescent="0.25">
      <c r="A41" s="44"/>
      <c r="B41" s="11" t="str">
        <f>CONCATENATE("          ", "5040", " - ", "PURCHASES @ COST-LOGO CLOTHING")</f>
        <v xml:space="preserve">          5040 - PURCHASES @ COST-LOGO CLOTHING</v>
      </c>
      <c r="C41" s="11"/>
      <c r="D41" s="2"/>
      <c r="E41" s="2"/>
      <c r="F41" s="19">
        <f t="shared" si="10"/>
        <v>0</v>
      </c>
      <c r="G41" s="2"/>
      <c r="H41" s="2">
        <v>33066.579999999994</v>
      </c>
      <c r="I41" s="2"/>
      <c r="J41" s="19">
        <f t="shared" si="11"/>
        <v>0.47582037139124428</v>
      </c>
      <c r="K41" s="2"/>
      <c r="L41" s="2">
        <f t="shared" si="12"/>
        <v>-33066.579999999994</v>
      </c>
      <c r="M41" s="2"/>
      <c r="N41" s="19">
        <f t="shared" si="13"/>
        <v>-1</v>
      </c>
      <c r="O41" s="11"/>
      <c r="P41" s="2"/>
      <c r="Q41" s="2"/>
      <c r="R41" s="19">
        <f t="shared" si="14"/>
        <v>0</v>
      </c>
      <c r="S41" s="2"/>
      <c r="T41" s="2">
        <v>57851.16</v>
      </c>
      <c r="U41" s="2"/>
      <c r="V41" s="19">
        <f t="shared" si="15"/>
        <v>0.47820368969112703</v>
      </c>
      <c r="W41" s="2"/>
      <c r="X41" s="2">
        <f t="shared" si="16"/>
        <v>-57851.16</v>
      </c>
      <c r="Y41" s="2"/>
      <c r="Z41" s="19">
        <f t="shared" si="17"/>
        <v>-1</v>
      </c>
    </row>
    <row r="42" spans="1:26" s="24" customFormat="1" hidden="1" outlineLevel="1" x14ac:dyDescent="0.25">
      <c r="A42" s="44"/>
      <c r="B42" s="11" t="str">
        <f>CONCATENATE("          ", "5041", " - ", "PURCHASES @ COST-LOGO GIFTS")</f>
        <v xml:space="preserve">          5041 - PURCHASES @ COST-LOGO GIFTS</v>
      </c>
      <c r="C42" s="11"/>
      <c r="D42" s="2"/>
      <c r="E42" s="2"/>
      <c r="F42" s="19">
        <f t="shared" si="10"/>
        <v>0</v>
      </c>
      <c r="G42" s="2"/>
      <c r="H42" s="2">
        <v>3283.86</v>
      </c>
      <c r="I42" s="2"/>
      <c r="J42" s="19">
        <f t="shared" si="11"/>
        <v>4.7253979238156829E-2</v>
      </c>
      <c r="K42" s="2"/>
      <c r="L42" s="2">
        <f t="shared" si="12"/>
        <v>-3283.86</v>
      </c>
      <c r="M42" s="2"/>
      <c r="N42" s="19">
        <f t="shared" si="13"/>
        <v>-1</v>
      </c>
      <c r="O42" s="11"/>
      <c r="P42" s="2"/>
      <c r="Q42" s="2"/>
      <c r="R42" s="19">
        <f t="shared" si="14"/>
        <v>0</v>
      </c>
      <c r="S42" s="2"/>
      <c r="T42" s="2">
        <v>8466.6200000000008</v>
      </c>
      <c r="U42" s="2"/>
      <c r="V42" s="19">
        <f t="shared" si="15"/>
        <v>6.9985959196197448E-2</v>
      </c>
      <c r="W42" s="2"/>
      <c r="X42" s="2">
        <f t="shared" si="16"/>
        <v>-8466.6200000000008</v>
      </c>
      <c r="Y42" s="2"/>
      <c r="Z42" s="19">
        <f t="shared" si="17"/>
        <v>-1</v>
      </c>
    </row>
    <row r="43" spans="1:26" s="24" customFormat="1" hidden="1" outlineLevel="1" x14ac:dyDescent="0.25">
      <c r="A43" s="44"/>
      <c r="B43" s="11" t="str">
        <f>CONCATENATE("          ", "5042", " - ", "PURCHASES @ COST-EVERYDAY GIFT")</f>
        <v xml:space="preserve">          5042 - PURCHASES @ COST-EVERYDAY GIFT</v>
      </c>
      <c r="C43" s="11"/>
      <c r="D43" s="2"/>
      <c r="E43" s="2"/>
      <c r="F43" s="19">
        <f t="shared" si="10"/>
        <v>0</v>
      </c>
      <c r="G43" s="2"/>
      <c r="H43" s="2">
        <v>3769.2</v>
      </c>
      <c r="I43" s="2"/>
      <c r="J43" s="19">
        <f t="shared" si="11"/>
        <v>5.423790860282128E-2</v>
      </c>
      <c r="K43" s="2"/>
      <c r="L43" s="2">
        <f t="shared" si="12"/>
        <v>-3769.2</v>
      </c>
      <c r="M43" s="2"/>
      <c r="N43" s="19">
        <f t="shared" si="13"/>
        <v>-1</v>
      </c>
      <c r="O43" s="11"/>
      <c r="P43" s="2"/>
      <c r="Q43" s="2"/>
      <c r="R43" s="19">
        <f t="shared" si="14"/>
        <v>0</v>
      </c>
      <c r="S43" s="2"/>
      <c r="T43" s="2">
        <v>6388.52</v>
      </c>
      <c r="U43" s="2"/>
      <c r="V43" s="19">
        <f t="shared" si="15"/>
        <v>5.2808169026611722E-2</v>
      </c>
      <c r="W43" s="2"/>
      <c r="X43" s="2">
        <f t="shared" si="16"/>
        <v>-6388.52</v>
      </c>
      <c r="Y43" s="2"/>
      <c r="Z43" s="19">
        <f t="shared" si="17"/>
        <v>-1</v>
      </c>
    </row>
    <row r="44" spans="1:26" s="24" customFormat="1" hidden="1" outlineLevel="1" x14ac:dyDescent="0.25">
      <c r="A44" s="44"/>
      <c r="B44" s="11" t="str">
        <f>CONCATENATE("          ", "5044", " - ", "PURCHASES @ COST-ACCESSORIES")</f>
        <v xml:space="preserve">          5044 - PURCHASES @ COST-ACCESSORIES</v>
      </c>
      <c r="C44" s="11"/>
      <c r="D44" s="2"/>
      <c r="E44" s="2"/>
      <c r="F44" s="19">
        <f t="shared" si="10"/>
        <v>0</v>
      </c>
      <c r="G44" s="2"/>
      <c r="H44" s="2">
        <v>1159.22</v>
      </c>
      <c r="I44" s="2"/>
      <c r="J44" s="19">
        <f t="shared" si="11"/>
        <v>1.6680905340805074E-2</v>
      </c>
      <c r="K44" s="2"/>
      <c r="L44" s="2">
        <f t="shared" si="12"/>
        <v>-1159.22</v>
      </c>
      <c r="M44" s="2"/>
      <c r="N44" s="19">
        <f t="shared" si="13"/>
        <v>-1</v>
      </c>
      <c r="O44" s="11"/>
      <c r="P44" s="2"/>
      <c r="Q44" s="2"/>
      <c r="R44" s="19">
        <f t="shared" si="14"/>
        <v>0</v>
      </c>
      <c r="S44" s="2"/>
      <c r="T44" s="2">
        <v>1493.33</v>
      </c>
      <c r="U44" s="2"/>
      <c r="V44" s="19">
        <f t="shared" si="15"/>
        <v>1.234402068906571E-2</v>
      </c>
      <c r="W44" s="2"/>
      <c r="X44" s="2">
        <f t="shared" si="16"/>
        <v>-1493.33</v>
      </c>
      <c r="Y44" s="2"/>
      <c r="Z44" s="19">
        <f t="shared" si="17"/>
        <v>-1</v>
      </c>
    </row>
    <row r="45" spans="1:26" s="24" customFormat="1" hidden="1" outlineLevel="1" x14ac:dyDescent="0.25">
      <c r="A45" s="44"/>
      <c r="B45" s="11" t="str">
        <f>CONCATENATE("          ", "5045", " - ", "PURCHASES @ COST-SPECIAL ORDER")</f>
        <v xml:space="preserve">          5045 - PURCHASES @ COST-SPECIAL ORDER</v>
      </c>
      <c r="C45" s="11"/>
      <c r="D45" s="2"/>
      <c r="E45" s="2"/>
      <c r="F45" s="19">
        <f t="shared" si="10"/>
        <v>0</v>
      </c>
      <c r="G45" s="2"/>
      <c r="H45" s="2">
        <v>254</v>
      </c>
      <c r="I45" s="2"/>
      <c r="J45" s="19">
        <f t="shared" si="11"/>
        <v>3.6550007389145192E-3</v>
      </c>
      <c r="K45" s="2"/>
      <c r="L45" s="2">
        <f t="shared" si="12"/>
        <v>-254</v>
      </c>
      <c r="M45" s="2"/>
      <c r="N45" s="19">
        <f t="shared" si="13"/>
        <v>-1</v>
      </c>
      <c r="O45" s="11"/>
      <c r="P45" s="2"/>
      <c r="Q45" s="2"/>
      <c r="R45" s="19">
        <f t="shared" si="14"/>
        <v>0</v>
      </c>
      <c r="S45" s="2"/>
      <c r="T45" s="2">
        <v>299</v>
      </c>
      <c r="U45" s="2"/>
      <c r="V45" s="19">
        <f t="shared" si="15"/>
        <v>2.4715650164602917E-3</v>
      </c>
      <c r="W45" s="2"/>
      <c r="X45" s="2">
        <f t="shared" si="16"/>
        <v>-299</v>
      </c>
      <c r="Y45" s="2"/>
      <c r="Z45" s="19">
        <f t="shared" si="17"/>
        <v>-1</v>
      </c>
    </row>
    <row r="46" spans="1:26" s="24" customFormat="1" hidden="1" outlineLevel="1" x14ac:dyDescent="0.25">
      <c r="A46" s="44"/>
      <c r="B46" s="11" t="str">
        <f>CONCATENATE("          ", "5083", " - ", "PURCHASES @ COST-COMPUTER EQUI")</f>
        <v xml:space="preserve">          5083 - PURCHASES @ COST-COMPUTER EQUI</v>
      </c>
      <c r="C46" s="11"/>
      <c r="D46" s="2"/>
      <c r="E46" s="2"/>
      <c r="F46" s="19">
        <f t="shared" si="10"/>
        <v>0</v>
      </c>
      <c r="G46" s="2"/>
      <c r="H46" s="2">
        <v>39.950000000000003</v>
      </c>
      <c r="I46" s="2"/>
      <c r="J46" s="19">
        <f t="shared" si="11"/>
        <v>5.7487117921116166E-4</v>
      </c>
      <c r="K46" s="2"/>
      <c r="L46" s="2">
        <f t="shared" si="12"/>
        <v>-39.950000000000003</v>
      </c>
      <c r="M46" s="2"/>
      <c r="N46" s="19">
        <f t="shared" si="13"/>
        <v>-1</v>
      </c>
      <c r="O46" s="11"/>
      <c r="P46" s="2"/>
      <c r="Q46" s="2"/>
      <c r="R46" s="19">
        <f t="shared" si="14"/>
        <v>0</v>
      </c>
      <c r="S46" s="2"/>
      <c r="T46" s="2">
        <v>39.950000000000003</v>
      </c>
      <c r="U46" s="2"/>
      <c r="V46" s="19">
        <f t="shared" si="15"/>
        <v>3.3023084417253736E-4</v>
      </c>
      <c r="W46" s="2"/>
      <c r="X46" s="2">
        <f t="shared" si="16"/>
        <v>-39.950000000000003</v>
      </c>
      <c r="Y46" s="2"/>
      <c r="Z46" s="19">
        <f t="shared" si="17"/>
        <v>-1</v>
      </c>
    </row>
    <row r="47" spans="1:26" s="24" customFormat="1" hidden="1" outlineLevel="1" x14ac:dyDescent="0.25">
      <c r="A47" s="44"/>
      <c r="B47" s="11" t="str">
        <f>CONCATENATE("          ", "5095", " - ", "PURCHASES @ COST-CUSTOMER SERV")</f>
        <v xml:space="preserve">          5095 - PURCHASES @ COST-CUSTOMER SERV</v>
      </c>
      <c r="C47" s="11"/>
      <c r="D47" s="2"/>
      <c r="E47" s="2"/>
      <c r="F47" s="19">
        <f t="shared" si="10"/>
        <v>0</v>
      </c>
      <c r="G47" s="2"/>
      <c r="H47" s="2"/>
      <c r="I47" s="2"/>
      <c r="J47" s="19">
        <f t="shared" si="11"/>
        <v>0</v>
      </c>
      <c r="K47" s="2"/>
      <c r="L47" s="2">
        <f t="shared" si="12"/>
        <v>0</v>
      </c>
      <c r="M47" s="2"/>
      <c r="N47" s="19">
        <f t="shared" si="13"/>
        <v>0</v>
      </c>
      <c r="O47" s="11"/>
      <c r="P47" s="2"/>
      <c r="Q47" s="2"/>
      <c r="R47" s="19">
        <f t="shared" si="14"/>
        <v>0</v>
      </c>
      <c r="S47" s="2"/>
      <c r="T47" s="2">
        <v>-11.85</v>
      </c>
      <c r="U47" s="2"/>
      <c r="V47" s="19">
        <f t="shared" si="15"/>
        <v>-9.7953329247673778E-5</v>
      </c>
      <c r="W47" s="2"/>
      <c r="X47" s="2">
        <f t="shared" si="16"/>
        <v>11.85</v>
      </c>
      <c r="Y47" s="2"/>
      <c r="Z47" s="19">
        <f t="shared" si="17"/>
        <v>-1</v>
      </c>
    </row>
    <row r="48" spans="1:26" s="24" customFormat="1" hidden="1" outlineLevel="1" x14ac:dyDescent="0.25">
      <c r="A48" s="44"/>
      <c r="B48" s="11" t="str">
        <f>CONCATENATE("          ", "5200", " - ", "PURCHASES OFFSET")</f>
        <v xml:space="preserve">          5200 - PURCHASES OFFSET</v>
      </c>
      <c r="C48" s="11"/>
      <c r="D48" s="2"/>
      <c r="E48" s="2"/>
      <c r="F48" s="19">
        <f t="shared" si="10"/>
        <v>0</v>
      </c>
      <c r="G48" s="2"/>
      <c r="H48" s="2">
        <v>-41669</v>
      </c>
      <c r="I48" s="2"/>
      <c r="J48" s="19">
        <f t="shared" si="11"/>
        <v>-0.59960718814893355</v>
      </c>
      <c r="K48" s="2"/>
      <c r="L48" s="2">
        <f t="shared" si="12"/>
        <v>41669</v>
      </c>
      <c r="M48" s="2"/>
      <c r="N48" s="19">
        <f t="shared" si="13"/>
        <v>-1</v>
      </c>
      <c r="O48" s="11"/>
      <c r="P48" s="2"/>
      <c r="Q48" s="2"/>
      <c r="R48" s="19">
        <f t="shared" si="14"/>
        <v>0</v>
      </c>
      <c r="S48" s="2"/>
      <c r="T48" s="2">
        <v>-74566</v>
      </c>
      <c r="U48" s="2"/>
      <c r="V48" s="19">
        <f t="shared" si="15"/>
        <v>-0.61637029102802043</v>
      </c>
      <c r="W48" s="2"/>
      <c r="X48" s="2">
        <f t="shared" si="16"/>
        <v>74566</v>
      </c>
      <c r="Y48" s="2"/>
      <c r="Z48" s="19">
        <f t="shared" si="17"/>
        <v>-1</v>
      </c>
    </row>
    <row r="49" spans="1:26" s="24" customFormat="1" hidden="1" outlineLevel="1" x14ac:dyDescent="0.25">
      <c r="A49" s="44"/>
      <c r="B49" s="11" t="str">
        <f>CONCATENATE("          ", "5300", " - ", "COG$ OFFSET")</f>
        <v xml:space="preserve">          5300 - COG$ OFFSET</v>
      </c>
      <c r="C49" s="11"/>
      <c r="D49" s="2">
        <v>8270</v>
      </c>
      <c r="E49" s="2"/>
      <c r="F49" s="19">
        <f t="shared" si="10"/>
        <v>0.36276193868402073</v>
      </c>
      <c r="G49" s="2"/>
      <c r="H49" s="2">
        <v>29567</v>
      </c>
      <c r="I49" s="2"/>
      <c r="J49" s="19">
        <f t="shared" si="11"/>
        <v>0.42546223168301417</v>
      </c>
      <c r="K49" s="2"/>
      <c r="L49" s="2">
        <f t="shared" si="12"/>
        <v>-21297</v>
      </c>
      <c r="M49" s="2"/>
      <c r="N49" s="19">
        <f t="shared" si="13"/>
        <v>-0.72029627625393178</v>
      </c>
      <c r="O49" s="11"/>
      <c r="P49" s="2">
        <v>18640</v>
      </c>
      <c r="Q49" s="2"/>
      <c r="R49" s="19">
        <f t="shared" si="14"/>
        <v>0.37522326690230845</v>
      </c>
      <c r="S49" s="2"/>
      <c r="T49" s="2">
        <v>51093</v>
      </c>
      <c r="U49" s="2"/>
      <c r="V49" s="19">
        <f t="shared" si="15"/>
        <v>0.42234003808028658</v>
      </c>
      <c r="W49" s="2"/>
      <c r="X49" s="2">
        <f t="shared" si="16"/>
        <v>-32453</v>
      </c>
      <c r="Y49" s="2"/>
      <c r="Z49" s="19">
        <f t="shared" si="17"/>
        <v>-0.63517507290626896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6" t="s">
        <v>6</v>
      </c>
      <c r="C51" s="26"/>
      <c r="D51" s="22">
        <f>D12-D37</f>
        <v>14527.32</v>
      </c>
      <c r="E51" s="13"/>
      <c r="F51" s="21">
        <f>IF(D$12=0,0,D51/D$12)</f>
        <v>0.63723806131597927</v>
      </c>
      <c r="G51" s="13"/>
      <c r="H51" s="22">
        <f>H12-H37</f>
        <v>39927.000000000015</v>
      </c>
      <c r="I51" s="13"/>
      <c r="J51" s="21">
        <f>IF(H$12=0,0,H51/H$12)</f>
        <v>0.57454021457732307</v>
      </c>
      <c r="K51" s="16"/>
      <c r="L51" s="22">
        <f>+D51-H51</f>
        <v>-25399.680000000015</v>
      </c>
      <c r="M51" s="16"/>
      <c r="N51" s="21">
        <f>IF(H51=0,0,L51/H51)</f>
        <v>-0.63615297918701641</v>
      </c>
      <c r="O51" s="25"/>
      <c r="P51" s="22">
        <f>P12-P37</f>
        <v>31037.090000000004</v>
      </c>
      <c r="Q51" s="13"/>
      <c r="R51" s="21">
        <f>IF(P$12=0,0,P51/P$12)</f>
        <v>0.62477673309769155</v>
      </c>
      <c r="S51" s="13"/>
      <c r="T51" s="22">
        <f>T12-T37</f>
        <v>69882.590000000026</v>
      </c>
      <c r="U51" s="13"/>
      <c r="V51" s="21">
        <f>IF(T$12=0,0,T51/T$12)</f>
        <v>0.57765673813925711</v>
      </c>
      <c r="W51" s="16"/>
      <c r="X51" s="22">
        <f>+P51-T51</f>
        <v>-38845.500000000022</v>
      </c>
      <c r="Y51" s="16"/>
      <c r="Z51" s="21">
        <f>IF(T51=0,0,X51/T51)</f>
        <v>-0.55586806384823473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5" t="s">
        <v>9</v>
      </c>
      <c r="C53" s="10"/>
      <c r="D53" s="20">
        <f>SUM(OSRRefD22x_0)</f>
        <v>18364.87</v>
      </c>
      <c r="E53" s="20"/>
      <c r="F53" s="35">
        <f t="shared" ref="F53:F62" si="18">IF(D$12=0,0,D53/D$12)</f>
        <v>0.8055714443627584</v>
      </c>
      <c r="G53" s="20"/>
      <c r="H53" s="20">
        <f>SUM(OSRRefH22x_0)</f>
        <v>37394.460000000006</v>
      </c>
      <c r="I53" s="20"/>
      <c r="J53" s="35">
        <f t="shared" ref="J53:J62" si="19">IF(H$12=0,0,H53/H$12)</f>
        <v>0.53809755484767507</v>
      </c>
      <c r="K53" s="4"/>
      <c r="L53" s="20">
        <f t="shared" ref="L53:L62" si="20">+D53-H53</f>
        <v>-19029.590000000007</v>
      </c>
      <c r="M53" s="4"/>
      <c r="N53" s="35">
        <f t="shared" ref="N53:N62" si="21">IF(H53=0,0,L53/H53)</f>
        <v>-0.50888794757298283</v>
      </c>
      <c r="O53" s="10"/>
      <c r="P53" s="20">
        <f>SUM(OSRRefP22x_0)</f>
        <v>41436.269999999997</v>
      </c>
      <c r="Q53" s="20"/>
      <c r="R53" s="35">
        <f t="shared" ref="R53:R62" si="22">IF(P$12=0,0,P53/P$12)</f>
        <v>0.83411226382221648</v>
      </c>
      <c r="S53" s="20"/>
      <c r="T53" s="20">
        <f>SUM(OSRRefT22x_0)</f>
        <v>64835.529999999992</v>
      </c>
      <c r="U53" s="20"/>
      <c r="V53" s="35">
        <f t="shared" ref="V53:V62" si="23">IF(T$12=0,0,T53/T$12)</f>
        <v>0.53593721662763116</v>
      </c>
      <c r="W53" s="4"/>
      <c r="X53" s="20">
        <f t="shared" ref="X53:X62" si="24">+P53-T53</f>
        <v>-23399.259999999995</v>
      </c>
      <c r="Y53" s="4"/>
      <c r="Z53" s="35">
        <f t="shared" ref="Z53:Z62" si="25">IF(T53=0,0,X53/T53)</f>
        <v>-0.36090180800557964</v>
      </c>
    </row>
    <row r="54" spans="1:26" s="28" customFormat="1" outlineLevel="1" collapsed="1" x14ac:dyDescent="0.25">
      <c r="A54" s="27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5610.43</v>
      </c>
      <c r="E54" s="1"/>
      <c r="F54" s="5">
        <f t="shared" si="18"/>
        <v>0.24610041882115968</v>
      </c>
      <c r="G54" s="1"/>
      <c r="H54" s="1">
        <f>SUM(OSRRefH22_0x_0)</f>
        <v>3295.5799999999995</v>
      </c>
      <c r="I54" s="1"/>
      <c r="J54" s="5">
        <f t="shared" si="19"/>
        <v>4.7422627303747675E-2</v>
      </c>
      <c r="K54" s="1"/>
      <c r="L54" s="1">
        <f t="shared" si="20"/>
        <v>2314.8500000000008</v>
      </c>
      <c r="M54" s="1"/>
      <c r="N54" s="5">
        <f t="shared" si="21"/>
        <v>0.7024105013381563</v>
      </c>
      <c r="O54" s="14"/>
      <c r="P54" s="1">
        <f>SUM(OSRRefP22_0x_0)</f>
        <v>9793.15</v>
      </c>
      <c r="Q54" s="1"/>
      <c r="R54" s="5">
        <f t="shared" si="22"/>
        <v>0.19713614464937457</v>
      </c>
      <c r="S54" s="1"/>
      <c r="T54" s="1">
        <f>SUM(OSRRefT22_0x_0)</f>
        <v>4733.84</v>
      </c>
      <c r="U54" s="1"/>
      <c r="V54" s="5">
        <f t="shared" si="23"/>
        <v>3.9130412500068192E-2</v>
      </c>
      <c r="W54" s="1"/>
      <c r="X54" s="1">
        <f t="shared" si="24"/>
        <v>5059.3099999999995</v>
      </c>
      <c r="Y54" s="1"/>
      <c r="Z54" s="5">
        <f t="shared" si="25"/>
        <v>1.0687539080323796</v>
      </c>
    </row>
    <row r="55" spans="1:26" s="24" customFormat="1" hidden="1" outlineLevel="2" x14ac:dyDescent="0.25">
      <c r="A55" s="29"/>
      <c r="B55" s="11" t="str">
        <f>CONCATENATE("          ", "6111", " - ", "F.I.C.A.")</f>
        <v xml:space="preserve">          6111 - F.I.C.A.</v>
      </c>
      <c r="C55" s="11"/>
      <c r="D55" s="7">
        <v>868.48</v>
      </c>
      <c r="E55" s="2"/>
      <c r="F55" s="6">
        <f t="shared" si="18"/>
        <v>3.8095705986493152E-2</v>
      </c>
      <c r="G55" s="2"/>
      <c r="H55" s="7">
        <v>933.86</v>
      </c>
      <c r="I55" s="2"/>
      <c r="J55" s="6">
        <f t="shared" si="19"/>
        <v>1.34380275198532E-2</v>
      </c>
      <c r="K55" s="2"/>
      <c r="L55" s="7">
        <f t="shared" si="20"/>
        <v>-65.38</v>
      </c>
      <c r="M55" s="2"/>
      <c r="N55" s="6">
        <f t="shared" si="21"/>
        <v>-7.0010494078341506E-2</v>
      </c>
      <c r="O55" s="11"/>
      <c r="P55" s="7">
        <v>1540.63</v>
      </c>
      <c r="Q55" s="2"/>
      <c r="R55" s="6">
        <f t="shared" si="22"/>
        <v>3.1012887429597829E-2</v>
      </c>
      <c r="S55" s="2"/>
      <c r="T55" s="7">
        <v>1647.57</v>
      </c>
      <c r="U55" s="2"/>
      <c r="V55" s="6">
        <f t="shared" si="23"/>
        <v>1.3618984528994927E-2</v>
      </c>
      <c r="W55" s="2"/>
      <c r="X55" s="7">
        <f t="shared" si="24"/>
        <v>-106.93999999999983</v>
      </c>
      <c r="Y55" s="2"/>
      <c r="Z55" s="6">
        <f t="shared" si="25"/>
        <v>-6.4907712570634227E-2</v>
      </c>
    </row>
    <row r="56" spans="1:26" s="24" customFormat="1" hidden="1" outlineLevel="2" x14ac:dyDescent="0.25">
      <c r="A56" s="29"/>
      <c r="B56" s="11" t="str">
        <f>CONCATENATE("          ", "6112", " - ", "COMPENSATION INSURANCE")</f>
        <v xml:space="preserve">          6112 - COMPENSATION INSURANCE</v>
      </c>
      <c r="C56" s="11"/>
      <c r="D56" s="7">
        <v>383.11</v>
      </c>
      <c r="E56" s="2"/>
      <c r="F56" s="6">
        <f t="shared" si="18"/>
        <v>1.6805045505348875E-2</v>
      </c>
      <c r="G56" s="2"/>
      <c r="H56" s="7">
        <v>204.58</v>
      </c>
      <c r="I56" s="2"/>
      <c r="J56" s="6">
        <f t="shared" si="19"/>
        <v>2.9438584691619386E-3</v>
      </c>
      <c r="K56" s="2"/>
      <c r="L56" s="7">
        <f t="shared" si="20"/>
        <v>178.53</v>
      </c>
      <c r="M56" s="2"/>
      <c r="N56" s="6">
        <f t="shared" si="21"/>
        <v>0.87266594975070877</v>
      </c>
      <c r="O56" s="11"/>
      <c r="P56" s="7">
        <v>612.04</v>
      </c>
      <c r="Q56" s="2"/>
      <c r="R56" s="6">
        <f t="shared" si="22"/>
        <v>1.2320367396721505E-2</v>
      </c>
      <c r="S56" s="2"/>
      <c r="T56" s="7">
        <v>393.36</v>
      </c>
      <c r="U56" s="2"/>
      <c r="V56" s="6">
        <f t="shared" si="23"/>
        <v>3.2515545647987306E-3</v>
      </c>
      <c r="W56" s="2"/>
      <c r="X56" s="7">
        <f t="shared" si="24"/>
        <v>218.67999999999995</v>
      </c>
      <c r="Y56" s="2"/>
      <c r="Z56" s="6">
        <f t="shared" si="25"/>
        <v>0.55592841163310946</v>
      </c>
    </row>
    <row r="57" spans="1:26" s="24" customFormat="1" hidden="1" outlineLevel="2" x14ac:dyDescent="0.25">
      <c r="A57" s="29"/>
      <c r="B57" s="11" t="str">
        <f>CONCATENATE("          ", "6113", " - ", "GROUP INSURANCE")</f>
        <v xml:space="preserve">          6113 - GROUP INSURANCE</v>
      </c>
      <c r="C57" s="11"/>
      <c r="D57" s="7">
        <v>2714.98</v>
      </c>
      <c r="E57" s="2"/>
      <c r="F57" s="6">
        <f t="shared" si="18"/>
        <v>0.11909206871684917</v>
      </c>
      <c r="G57" s="2"/>
      <c r="H57" s="7">
        <v>1434.06</v>
      </c>
      <c r="I57" s="2"/>
      <c r="J57" s="6">
        <f t="shared" si="19"/>
        <v>2.0635788817510849E-2</v>
      </c>
      <c r="K57" s="2"/>
      <c r="L57" s="7">
        <f t="shared" si="20"/>
        <v>1280.92</v>
      </c>
      <c r="M57" s="2"/>
      <c r="N57" s="6">
        <f t="shared" si="21"/>
        <v>0.89321227842628625</v>
      </c>
      <c r="O57" s="11"/>
      <c r="P57" s="7">
        <v>4727.45</v>
      </c>
      <c r="Q57" s="2"/>
      <c r="R57" s="6">
        <f t="shared" si="22"/>
        <v>9.5163585467667275E-2</v>
      </c>
      <c r="S57" s="2"/>
      <c r="T57" s="7">
        <v>1465.17</v>
      </c>
      <c r="U57" s="2"/>
      <c r="V57" s="6">
        <f t="shared" si="23"/>
        <v>1.2111247207916809E-2</v>
      </c>
      <c r="W57" s="2"/>
      <c r="X57" s="7">
        <f t="shared" si="24"/>
        <v>3262.2799999999997</v>
      </c>
      <c r="Y57" s="2"/>
      <c r="Z57" s="6">
        <f t="shared" si="25"/>
        <v>2.2265539152453298</v>
      </c>
    </row>
    <row r="58" spans="1:26" s="24" customFormat="1" hidden="1" outlineLevel="2" x14ac:dyDescent="0.25">
      <c r="A58" s="29"/>
      <c r="B58" s="11" t="str">
        <f>CONCATENATE("          ", "6114", " - ", "STATE UNEMPLOYMENT INSURANCE")</f>
        <v xml:space="preserve">          6114 - STATE UNEMPLOYMENT INSURANCE</v>
      </c>
      <c r="C58" s="11"/>
      <c r="D58" s="7">
        <v>36.020000000000003</v>
      </c>
      <c r="E58" s="2"/>
      <c r="F58" s="6">
        <f t="shared" si="18"/>
        <v>1.5800102819103299E-3</v>
      </c>
      <c r="G58" s="2"/>
      <c r="H58" s="7">
        <v>27.99</v>
      </c>
      <c r="I58" s="2"/>
      <c r="J58" s="6">
        <f t="shared" si="19"/>
        <v>4.0276956961502911E-4</v>
      </c>
      <c r="K58" s="2"/>
      <c r="L58" s="7">
        <f t="shared" si="20"/>
        <v>8.0300000000000047</v>
      </c>
      <c r="M58" s="2"/>
      <c r="N58" s="6">
        <f t="shared" si="21"/>
        <v>0.28688817434798158</v>
      </c>
      <c r="O58" s="11"/>
      <c r="P58" s="7">
        <v>59.67</v>
      </c>
      <c r="Q58" s="2"/>
      <c r="R58" s="6">
        <f t="shared" si="22"/>
        <v>1.201157314166349E-3</v>
      </c>
      <c r="S58" s="2"/>
      <c r="T58" s="7">
        <v>53.82</v>
      </c>
      <c r="U58" s="2"/>
      <c r="V58" s="6">
        <f t="shared" si="23"/>
        <v>4.4488170296285253E-4</v>
      </c>
      <c r="W58" s="2"/>
      <c r="X58" s="7">
        <f t="shared" si="24"/>
        <v>5.8500000000000014</v>
      </c>
      <c r="Y58" s="2"/>
      <c r="Z58" s="6">
        <f t="shared" si="25"/>
        <v>0.10869565217391307</v>
      </c>
    </row>
    <row r="59" spans="1:26" s="24" customFormat="1" hidden="1" outlineLevel="2" x14ac:dyDescent="0.25">
      <c r="A59" s="29"/>
      <c r="B59" s="11" t="str">
        <f>CONCATENATE("          ", "6115", " - ", "P.E.R.S.")</f>
        <v xml:space="preserve">          6115 - P.E.R.S.</v>
      </c>
      <c r="C59" s="11"/>
      <c r="D59" s="7">
        <v>362.12</v>
      </c>
      <c r="E59" s="2"/>
      <c r="F59" s="6">
        <f t="shared" si="18"/>
        <v>1.5884323245013012E-2</v>
      </c>
      <c r="G59" s="2"/>
      <c r="H59" s="7">
        <v>210.2</v>
      </c>
      <c r="I59" s="2"/>
      <c r="J59" s="6">
        <f t="shared" si="19"/>
        <v>3.0247289579520944E-3</v>
      </c>
      <c r="K59" s="2"/>
      <c r="L59" s="7">
        <f t="shared" si="20"/>
        <v>151.92000000000002</v>
      </c>
      <c r="M59" s="2"/>
      <c r="N59" s="6">
        <f t="shared" si="21"/>
        <v>0.72274024738344445</v>
      </c>
      <c r="O59" s="11"/>
      <c r="P59" s="7">
        <v>905.3</v>
      </c>
      <c r="Q59" s="2"/>
      <c r="R59" s="6">
        <f t="shared" si="22"/>
        <v>1.8223692249284325E-2</v>
      </c>
      <c r="S59" s="2"/>
      <c r="T59" s="7">
        <v>363.26</v>
      </c>
      <c r="U59" s="2"/>
      <c r="V59" s="6">
        <f t="shared" si="23"/>
        <v>3.0027448424059049E-3</v>
      </c>
      <c r="W59" s="2"/>
      <c r="X59" s="7">
        <f t="shared" si="24"/>
        <v>542.04</v>
      </c>
      <c r="Y59" s="2"/>
      <c r="Z59" s="6">
        <f t="shared" si="25"/>
        <v>1.4921543797830754</v>
      </c>
    </row>
    <row r="60" spans="1:26" s="24" customFormat="1" hidden="1" outlineLevel="2" x14ac:dyDescent="0.25">
      <c r="A60" s="29"/>
      <c r="B60" s="11" t="str">
        <f>CONCATENATE("          ", "6118", " - ", "VACATION")</f>
        <v xml:space="preserve">          6118 - VACATION</v>
      </c>
      <c r="C60" s="11"/>
      <c r="D60" s="7">
        <v>498.76</v>
      </c>
      <c r="E60" s="2"/>
      <c r="F60" s="6">
        <f t="shared" si="18"/>
        <v>2.1878010222254194E-2</v>
      </c>
      <c r="G60" s="2"/>
      <c r="H60" s="7">
        <v>196.74</v>
      </c>
      <c r="I60" s="2"/>
      <c r="J60" s="6">
        <f t="shared" si="19"/>
        <v>2.831042698323002E-3</v>
      </c>
      <c r="K60" s="2"/>
      <c r="L60" s="7">
        <f t="shared" si="20"/>
        <v>302.02</v>
      </c>
      <c r="M60" s="2"/>
      <c r="N60" s="6">
        <f t="shared" si="21"/>
        <v>1.535122496696147</v>
      </c>
      <c r="O60" s="11"/>
      <c r="P60" s="7">
        <v>901.27</v>
      </c>
      <c r="Q60" s="2"/>
      <c r="R60" s="6">
        <f t="shared" si="22"/>
        <v>1.8142568334819933E-2</v>
      </c>
      <c r="S60" s="2"/>
      <c r="T60" s="7">
        <v>387.75</v>
      </c>
      <c r="U60" s="2"/>
      <c r="V60" s="6">
        <f t="shared" si="23"/>
        <v>3.2051817228510976E-3</v>
      </c>
      <c r="W60" s="2"/>
      <c r="X60" s="7">
        <f t="shared" si="24"/>
        <v>513.52</v>
      </c>
      <c r="Y60" s="2"/>
      <c r="Z60" s="6">
        <f t="shared" si="25"/>
        <v>1.3243584784010316</v>
      </c>
    </row>
    <row r="61" spans="1:26" s="24" customFormat="1" hidden="1" outlineLevel="2" x14ac:dyDescent="0.25">
      <c r="A61" s="29"/>
      <c r="B61" s="11" t="str">
        <f>CONCATENATE("          ", "6119", " - ", "SICK LEAVE")</f>
        <v xml:space="preserve">          6119 - SICK LEAVE</v>
      </c>
      <c r="C61" s="11"/>
      <c r="D61" s="7">
        <v>446.7</v>
      </c>
      <c r="E61" s="2"/>
      <c r="F61" s="6">
        <f t="shared" si="18"/>
        <v>1.9594408465556476E-2</v>
      </c>
      <c r="G61" s="2"/>
      <c r="H61" s="7">
        <v>138.81</v>
      </c>
      <c r="I61" s="2"/>
      <c r="J61" s="6">
        <f t="shared" si="19"/>
        <v>1.9974435140500961E-3</v>
      </c>
      <c r="K61" s="2"/>
      <c r="L61" s="7">
        <f t="shared" si="20"/>
        <v>307.89</v>
      </c>
      <c r="M61" s="2"/>
      <c r="N61" s="6">
        <f t="shared" si="21"/>
        <v>2.2180678625459258</v>
      </c>
      <c r="O61" s="11"/>
      <c r="P61" s="7">
        <v>670.05</v>
      </c>
      <c r="Q61" s="2"/>
      <c r="R61" s="6">
        <f t="shared" si="22"/>
        <v>1.3488108904929815E-2</v>
      </c>
      <c r="S61" s="2"/>
      <c r="T61" s="7">
        <v>273.57</v>
      </c>
      <c r="U61" s="2"/>
      <c r="V61" s="6">
        <f t="shared" si="23"/>
        <v>2.2613579985051573E-3</v>
      </c>
      <c r="W61" s="2"/>
      <c r="X61" s="7">
        <f t="shared" si="24"/>
        <v>396.47999999999996</v>
      </c>
      <c r="Y61" s="2"/>
      <c r="Z61" s="6">
        <f t="shared" si="25"/>
        <v>1.4492817194867857</v>
      </c>
    </row>
    <row r="62" spans="1:26" s="24" customFormat="1" hidden="1" outlineLevel="2" x14ac:dyDescent="0.25">
      <c r="A62" s="29"/>
      <c r="B62" s="11" t="str">
        <f>CONCATENATE("          ", "6156", " - ", "EMPLOYEE MEALS")</f>
        <v xml:space="preserve">          6156 - EMPLOYEE MEALS</v>
      </c>
      <c r="C62" s="11"/>
      <c r="D62" s="7">
        <v>300.26</v>
      </c>
      <c r="E62" s="2"/>
      <c r="F62" s="6">
        <f t="shared" si="18"/>
        <v>1.317084639773447E-2</v>
      </c>
      <c r="G62" s="2"/>
      <c r="H62" s="7">
        <v>149.34</v>
      </c>
      <c r="I62" s="2"/>
      <c r="J62" s="6">
        <f t="shared" si="19"/>
        <v>2.148967757281474E-3</v>
      </c>
      <c r="K62" s="2"/>
      <c r="L62" s="7">
        <f t="shared" si="20"/>
        <v>150.91999999999999</v>
      </c>
      <c r="M62" s="2"/>
      <c r="N62" s="6">
        <f t="shared" si="21"/>
        <v>1.0105798848265701</v>
      </c>
      <c r="O62" s="11"/>
      <c r="P62" s="7">
        <v>376.74</v>
      </c>
      <c r="Q62" s="2"/>
      <c r="R62" s="6">
        <f t="shared" si="22"/>
        <v>7.5837775521875369E-3</v>
      </c>
      <c r="S62" s="2"/>
      <c r="T62" s="7">
        <v>149.34</v>
      </c>
      <c r="U62" s="2"/>
      <c r="V62" s="6">
        <f t="shared" si="23"/>
        <v>1.2344599316327089E-3</v>
      </c>
      <c r="W62" s="2"/>
      <c r="X62" s="7">
        <f t="shared" si="24"/>
        <v>227.4</v>
      </c>
      <c r="Y62" s="2"/>
      <c r="Z62" s="6">
        <f t="shared" si="25"/>
        <v>1.5226998794696665</v>
      </c>
    </row>
    <row r="63" spans="1:26" s="28" customFormat="1" outlineLevel="1" collapsed="1" x14ac:dyDescent="0.25">
      <c r="A63" s="27"/>
      <c r="B63" s="14" t="str">
        <f>CONCATENATE("     ","*Payroll                                          ")</f>
        <v xml:space="preserve">     *Payroll                                          </v>
      </c>
      <c r="C63" s="14"/>
      <c r="D63" s="1">
        <f>SUM(OSRRefD22_1x_0)</f>
        <v>4729.9399999999996</v>
      </c>
      <c r="E63" s="1"/>
      <c r="F63" s="5">
        <f t="shared" ref="F63:F68" si="26">IF(D$12=0,0,D63/D$12)</f>
        <v>0.20747789652467921</v>
      </c>
      <c r="G63" s="1"/>
      <c r="H63" s="1">
        <f>SUM(OSRRefH22_1x_0)</f>
        <v>11327.050000000001</v>
      </c>
      <c r="I63" s="1"/>
      <c r="J63" s="5">
        <f t="shared" ref="J63:J68" si="27">IF(H$12=0,0,H63/H$12)</f>
        <v>0.16299360677055791</v>
      </c>
      <c r="K63" s="1"/>
      <c r="L63" s="1">
        <f t="shared" ref="L63:L68" si="28">+D63-H63</f>
        <v>-6597.1100000000015</v>
      </c>
      <c r="M63" s="1"/>
      <c r="N63" s="5">
        <f t="shared" ref="N63:N68" si="29">IF(H63=0,0,L63/H63)</f>
        <v>-0.58242084214336487</v>
      </c>
      <c r="O63" s="14"/>
      <c r="P63" s="1">
        <f>SUM(OSRRefP22_1x_0)</f>
        <v>15748.64</v>
      </c>
      <c r="Q63" s="1"/>
      <c r="R63" s="5">
        <f t="shared" ref="R63:R68" si="30">IF(P$12=0,0,P63/P$12)</f>
        <v>0.31702017972469798</v>
      </c>
      <c r="S63" s="1"/>
      <c r="T63" s="1">
        <f>SUM(OSRRefT22_1x_0)</f>
        <v>21353.87</v>
      </c>
      <c r="U63" s="1"/>
      <c r="V63" s="5">
        <f t="shared" ref="V63:V68" si="31">IF(T$12=0,0,T63/T$12)</f>
        <v>0.17651330454194292</v>
      </c>
      <c r="W63" s="1"/>
      <c r="X63" s="1">
        <f t="shared" ref="X63:X68" si="32">+P63-T63</f>
        <v>-5605.23</v>
      </c>
      <c r="Y63" s="1"/>
      <c r="Z63" s="5">
        <f t="shared" ref="Z63:Z68" si="33">IF(T63=0,0,X63/T63)</f>
        <v>-0.26249246623679923</v>
      </c>
    </row>
    <row r="64" spans="1:26" s="24" customFormat="1" hidden="1" outlineLevel="2" x14ac:dyDescent="0.25">
      <c r="A64" s="29"/>
      <c r="B64" s="11" t="str">
        <f>CONCATENATE("          ", "6002", " - ", "STAFF SALARIES")</f>
        <v xml:space="preserve">          6002 - STAFF SALARIES</v>
      </c>
      <c r="C64" s="11"/>
      <c r="D64" s="7">
        <v>4684.62</v>
      </c>
      <c r="E64" s="2"/>
      <c r="F64" s="6">
        <f t="shared" si="26"/>
        <v>0.20548994355476871</v>
      </c>
      <c r="G64" s="2"/>
      <c r="H64" s="7">
        <v>2322.7600000000002</v>
      </c>
      <c r="I64" s="2"/>
      <c r="J64" s="6">
        <f t="shared" si="27"/>
        <v>3.3423974473705077E-2</v>
      </c>
      <c r="K64" s="2"/>
      <c r="L64" s="7">
        <f t="shared" si="28"/>
        <v>2361.8599999999997</v>
      </c>
      <c r="M64" s="2"/>
      <c r="N64" s="6">
        <f t="shared" si="29"/>
        <v>1.0168334223079438</v>
      </c>
      <c r="O64" s="11"/>
      <c r="P64" s="7">
        <v>10540.24</v>
      </c>
      <c r="Q64" s="2"/>
      <c r="R64" s="6">
        <f t="shared" si="30"/>
        <v>0.21217506903081479</v>
      </c>
      <c r="S64" s="2"/>
      <c r="T64" s="7">
        <v>1835.9</v>
      </c>
      <c r="U64" s="2"/>
      <c r="V64" s="6">
        <f t="shared" si="31"/>
        <v>1.5175739845215553E-2</v>
      </c>
      <c r="W64" s="2"/>
      <c r="X64" s="7">
        <f t="shared" si="32"/>
        <v>8704.34</v>
      </c>
      <c r="Y64" s="2"/>
      <c r="Z64" s="6">
        <f t="shared" si="33"/>
        <v>4.7411841603573182</v>
      </c>
    </row>
    <row r="65" spans="1:26" s="24" customFormat="1" hidden="1" outlineLevel="2" x14ac:dyDescent="0.25">
      <c r="A65" s="29"/>
      <c r="B65" s="11" t="str">
        <f>CONCATENATE("          ", "6004", " - ", "STAFF HOURLY")</f>
        <v xml:space="preserve">          6004 - STAFF HOURLY</v>
      </c>
      <c r="C65" s="11"/>
      <c r="D65" s="7">
        <v>-2911.56</v>
      </c>
      <c r="E65" s="2"/>
      <c r="F65" s="6">
        <f t="shared" si="26"/>
        <v>-0.12771501211545919</v>
      </c>
      <c r="G65" s="2"/>
      <c r="H65" s="7"/>
      <c r="I65" s="2"/>
      <c r="J65" s="6">
        <f t="shared" si="27"/>
        <v>0</v>
      </c>
      <c r="K65" s="2"/>
      <c r="L65" s="7">
        <f t="shared" si="28"/>
        <v>-2911.56</v>
      </c>
      <c r="M65" s="2"/>
      <c r="N65" s="6">
        <f t="shared" si="29"/>
        <v>0</v>
      </c>
      <c r="O65" s="11"/>
      <c r="P65" s="7">
        <v>-161.09</v>
      </c>
      <c r="Q65" s="2"/>
      <c r="R65" s="6">
        <f t="shared" si="30"/>
        <v>-3.2427422781809482E-3</v>
      </c>
      <c r="S65" s="2"/>
      <c r="T65" s="7"/>
      <c r="U65" s="2"/>
      <c r="V65" s="6">
        <f t="shared" si="31"/>
        <v>0</v>
      </c>
      <c r="W65" s="2"/>
      <c r="X65" s="7">
        <f t="shared" si="32"/>
        <v>-161.09</v>
      </c>
      <c r="Y65" s="2"/>
      <c r="Z65" s="6">
        <f t="shared" si="33"/>
        <v>0</v>
      </c>
    </row>
    <row r="66" spans="1:26" s="24" customFormat="1" hidden="1" outlineLevel="2" x14ac:dyDescent="0.25">
      <c r="A66" s="29"/>
      <c r="B66" s="11" t="str">
        <f>CONCATENATE("          ", "6005", " - ", "TEMPORARY WAGES-HOURLY")</f>
        <v xml:space="preserve">          6005 - TEMPORARY WAGES-HOURLY</v>
      </c>
      <c r="C66" s="11"/>
      <c r="D66" s="7">
        <v>1087.03</v>
      </c>
      <c r="E66" s="2"/>
      <c r="F66" s="6">
        <f t="shared" si="26"/>
        <v>4.768235915449711E-2</v>
      </c>
      <c r="G66" s="2"/>
      <c r="H66" s="7"/>
      <c r="I66" s="2"/>
      <c r="J66" s="6">
        <f t="shared" si="27"/>
        <v>0</v>
      </c>
      <c r="K66" s="2"/>
      <c r="L66" s="7">
        <f t="shared" si="28"/>
        <v>1087.03</v>
      </c>
      <c r="M66" s="2"/>
      <c r="N66" s="6">
        <f t="shared" si="29"/>
        <v>0</v>
      </c>
      <c r="O66" s="11"/>
      <c r="P66" s="7">
        <v>2297.64</v>
      </c>
      <c r="Q66" s="2"/>
      <c r="R66" s="6">
        <f t="shared" si="30"/>
        <v>4.6251501446642702E-2</v>
      </c>
      <c r="S66" s="2"/>
      <c r="T66" s="7">
        <v>332.35</v>
      </c>
      <c r="U66" s="2"/>
      <c r="V66" s="6">
        <f t="shared" si="31"/>
        <v>2.7472395759885553E-3</v>
      </c>
      <c r="W66" s="2"/>
      <c r="X66" s="7">
        <f t="shared" si="32"/>
        <v>1965.29</v>
      </c>
      <c r="Y66" s="2"/>
      <c r="Z66" s="6">
        <f t="shared" si="33"/>
        <v>5.9133142771174958</v>
      </c>
    </row>
    <row r="67" spans="1:26" s="24" customFormat="1" hidden="1" outlineLevel="2" x14ac:dyDescent="0.25">
      <c r="A67" s="29"/>
      <c r="B67" s="11" t="str">
        <f>CONCATENATE("          ", "6007", " - ", "STUDENT HOURLY")</f>
        <v xml:space="preserve">          6007 - STUDENT HOURLY</v>
      </c>
      <c r="C67" s="11"/>
      <c r="D67" s="7">
        <v>1775.86</v>
      </c>
      <c r="E67" s="2"/>
      <c r="F67" s="6">
        <f t="shared" si="26"/>
        <v>7.7897752893761191E-2</v>
      </c>
      <c r="G67" s="2"/>
      <c r="H67" s="7">
        <v>9004.2900000000009</v>
      </c>
      <c r="I67" s="2"/>
      <c r="J67" s="6">
        <f t="shared" si="27"/>
        <v>0.12956963229685284</v>
      </c>
      <c r="K67" s="2"/>
      <c r="L67" s="7">
        <f t="shared" si="28"/>
        <v>-7228.4300000000012</v>
      </c>
      <c r="M67" s="2"/>
      <c r="N67" s="6">
        <f t="shared" si="29"/>
        <v>-0.80277623221819827</v>
      </c>
      <c r="O67" s="11"/>
      <c r="P67" s="7">
        <v>2977.86</v>
      </c>
      <c r="Q67" s="2"/>
      <c r="R67" s="6">
        <f t="shared" si="30"/>
        <v>5.994433248807448E-2</v>
      </c>
      <c r="S67" s="2"/>
      <c r="T67" s="7">
        <v>19185.62</v>
      </c>
      <c r="U67" s="2"/>
      <c r="V67" s="6">
        <f t="shared" si="31"/>
        <v>0.15859032512073881</v>
      </c>
      <c r="W67" s="2"/>
      <c r="X67" s="7">
        <f t="shared" si="32"/>
        <v>-16207.759999999998</v>
      </c>
      <c r="Y67" s="2"/>
      <c r="Z67" s="6">
        <f t="shared" si="33"/>
        <v>-0.84478687683796505</v>
      </c>
    </row>
    <row r="68" spans="1:26" s="24" customFormat="1" hidden="1" outlineLevel="2" x14ac:dyDescent="0.25">
      <c r="A68" s="29"/>
      <c r="B68" s="11" t="str">
        <f>CONCATENATE("          ", "6008", " - ", "STUDENT HOURLY-FICA EXEMPT")</f>
        <v xml:space="preserve">          6008 - STUDENT HOURLY-FICA EXEMPT</v>
      </c>
      <c r="C68" s="11"/>
      <c r="D68" s="7">
        <v>93.99</v>
      </c>
      <c r="E68" s="2"/>
      <c r="F68" s="6">
        <f t="shared" si="26"/>
        <v>4.1228530371113792E-3</v>
      </c>
      <c r="G68" s="2"/>
      <c r="H68" s="7"/>
      <c r="I68" s="2"/>
      <c r="J68" s="6">
        <f t="shared" si="27"/>
        <v>0</v>
      </c>
      <c r="K68" s="2"/>
      <c r="L68" s="7">
        <f t="shared" si="28"/>
        <v>93.99</v>
      </c>
      <c r="M68" s="2"/>
      <c r="N68" s="6">
        <f t="shared" si="29"/>
        <v>0</v>
      </c>
      <c r="O68" s="11"/>
      <c r="P68" s="7">
        <v>93.99</v>
      </c>
      <c r="Q68" s="2"/>
      <c r="R68" s="6">
        <f t="shared" si="30"/>
        <v>1.8920190373469942E-3</v>
      </c>
      <c r="S68" s="2"/>
      <c r="T68" s="7"/>
      <c r="U68" s="2"/>
      <c r="V68" s="6">
        <f t="shared" si="31"/>
        <v>0</v>
      </c>
      <c r="W68" s="2"/>
      <c r="X68" s="7">
        <f t="shared" si="32"/>
        <v>93.99</v>
      </c>
      <c r="Y68" s="2"/>
      <c r="Z68" s="6">
        <f t="shared" si="33"/>
        <v>0</v>
      </c>
    </row>
    <row r="69" spans="1:26" s="28" customFormat="1" outlineLevel="1" collapsed="1" x14ac:dyDescent="0.25">
      <c r="A69" s="27"/>
      <c r="B69" s="14" t="str">
        <f>CONCATENATE("     ","Advertising/Promo                                 ")</f>
        <v xml:space="preserve">     Advertising/Promo                                 </v>
      </c>
      <c r="C69" s="14"/>
      <c r="D69" s="1">
        <f>SUM(OSRRefD22_2x_0)</f>
        <v>0</v>
      </c>
      <c r="E69" s="1"/>
      <c r="F69" s="5">
        <f t="shared" ref="F69:F90" si="34">IF(D$12=0,0,D69/D$12)</f>
        <v>0</v>
      </c>
      <c r="G69" s="1"/>
      <c r="H69" s="1">
        <f>SUM(OSRRefH22_2x_0)</f>
        <v>868.88</v>
      </c>
      <c r="I69" s="1"/>
      <c r="J69" s="5">
        <f t="shared" ref="J69:J90" si="35">IF(H$12=0,0,H69/H$12)</f>
        <v>1.2502980480425384E-2</v>
      </c>
      <c r="K69" s="1"/>
      <c r="L69" s="1">
        <f t="shared" ref="L69:L90" si="36">+D69-H69</f>
        <v>-868.88</v>
      </c>
      <c r="M69" s="1"/>
      <c r="N69" s="5">
        <f t="shared" ref="N69:N90" si="37">IF(H69=0,0,L69/H69)</f>
        <v>-1</v>
      </c>
      <c r="O69" s="14"/>
      <c r="P69" s="1">
        <f>SUM(OSRRefP22_2x_0)</f>
        <v>0</v>
      </c>
      <c r="Q69" s="1"/>
      <c r="R69" s="5">
        <f t="shared" ref="R69:R90" si="38">IF(P$12=0,0,P69/P$12)</f>
        <v>0</v>
      </c>
      <c r="S69" s="1"/>
      <c r="T69" s="1">
        <f>SUM(OSRRefT22_2x_0)</f>
        <v>868.88</v>
      </c>
      <c r="U69" s="1"/>
      <c r="V69" s="5">
        <f t="shared" ref="V69:V90" si="39">IF(T$12=0,0,T69/T$12)</f>
        <v>7.1822522123813322E-3</v>
      </c>
      <c r="W69" s="1"/>
      <c r="X69" s="1">
        <f t="shared" ref="X69:X90" si="40">+P69-T69</f>
        <v>-868.88</v>
      </c>
      <c r="Y69" s="1"/>
      <c r="Z69" s="5">
        <f t="shared" ref="Z69:Z90" si="41">IF(T69=0,0,X69/T69)</f>
        <v>-1</v>
      </c>
    </row>
    <row r="70" spans="1:26" s="24" customFormat="1" hidden="1" outlineLevel="2" x14ac:dyDescent="0.25">
      <c r="A70" s="29"/>
      <c r="B70" s="11" t="str">
        <f>CONCATENATE("          ", "6362", " - ", "ADVERTISING EXPENSE")</f>
        <v xml:space="preserve">          6362 - ADVERTISING EXPENSE</v>
      </c>
      <c r="C70" s="11"/>
      <c r="D70" s="7"/>
      <c r="E70" s="2"/>
      <c r="F70" s="6">
        <f t="shared" si="34"/>
        <v>0</v>
      </c>
      <c r="G70" s="2"/>
      <c r="H70" s="7">
        <v>868.88</v>
      </c>
      <c r="I70" s="2"/>
      <c r="J70" s="6">
        <f t="shared" si="35"/>
        <v>1.2502980480425384E-2</v>
      </c>
      <c r="K70" s="2"/>
      <c r="L70" s="7">
        <f t="shared" si="36"/>
        <v>-868.88</v>
      </c>
      <c r="M70" s="2"/>
      <c r="N70" s="6">
        <f t="shared" si="37"/>
        <v>-1</v>
      </c>
      <c r="O70" s="11"/>
      <c r="P70" s="7"/>
      <c r="Q70" s="2"/>
      <c r="R70" s="6">
        <f t="shared" si="38"/>
        <v>0</v>
      </c>
      <c r="S70" s="2"/>
      <c r="T70" s="7">
        <v>868.88</v>
      </c>
      <c r="U70" s="2"/>
      <c r="V70" s="6">
        <f t="shared" si="39"/>
        <v>7.1822522123813322E-3</v>
      </c>
      <c r="W70" s="2"/>
      <c r="X70" s="7">
        <f t="shared" si="40"/>
        <v>-868.88</v>
      </c>
      <c r="Y70" s="2"/>
      <c r="Z70" s="6">
        <f t="shared" si="41"/>
        <v>-1</v>
      </c>
    </row>
    <row r="71" spans="1:26" s="28" customFormat="1" outlineLevel="1" collapsed="1" x14ac:dyDescent="0.25">
      <c r="A71" s="27"/>
      <c r="B71" s="14" t="str">
        <f>CONCATENATE("     ","Bad Debts/Over/Short                              ")</f>
        <v xml:space="preserve">     Bad Debts/Over/Short                              </v>
      </c>
      <c r="C71" s="14"/>
      <c r="D71" s="1">
        <f>SUM(OSRRefD22_3x_0)</f>
        <v>4.5599999999999996</v>
      </c>
      <c r="E71" s="1"/>
      <c r="F71" s="5">
        <f t="shared" si="34"/>
        <v>2.0002351153556645E-4</v>
      </c>
      <c r="G71" s="1"/>
      <c r="H71" s="1">
        <f>SUM(OSRRefH22_3x_0)</f>
        <v>36.04</v>
      </c>
      <c r="I71" s="1"/>
      <c r="J71" s="5">
        <f t="shared" si="35"/>
        <v>5.1860719145857982E-4</v>
      </c>
      <c r="K71" s="1"/>
      <c r="L71" s="1">
        <f t="shared" si="36"/>
        <v>-31.48</v>
      </c>
      <c r="M71" s="1"/>
      <c r="N71" s="5">
        <f t="shared" si="37"/>
        <v>-0.87347391786903439</v>
      </c>
      <c r="O71" s="14"/>
      <c r="P71" s="1">
        <f>SUM(OSRRefP22_3x_0)</f>
        <v>3.66</v>
      </c>
      <c r="Q71" s="1"/>
      <c r="R71" s="5">
        <f t="shared" si="38"/>
        <v>7.3675813136397477E-5</v>
      </c>
      <c r="S71" s="1"/>
      <c r="T71" s="1">
        <f>SUM(OSRRefT22_3x_0)</f>
        <v>29.91</v>
      </c>
      <c r="U71" s="1"/>
      <c r="V71" s="5">
        <f t="shared" si="39"/>
        <v>2.4723916268336901E-4</v>
      </c>
      <c r="W71" s="1"/>
      <c r="X71" s="1">
        <f t="shared" si="40"/>
        <v>-26.25</v>
      </c>
      <c r="Y71" s="1"/>
      <c r="Z71" s="5">
        <f t="shared" si="41"/>
        <v>-0.87763289869608829</v>
      </c>
    </row>
    <row r="72" spans="1:26" s="24" customFormat="1" hidden="1" outlineLevel="2" x14ac:dyDescent="0.25">
      <c r="A72" s="29"/>
      <c r="B72" s="11" t="str">
        <f>CONCATENATE("          ", "6272", " - ", "CASH (OVER/SHORT)")</f>
        <v xml:space="preserve">          6272 - CASH (OVER/SHORT)</v>
      </c>
      <c r="C72" s="11"/>
      <c r="D72" s="7">
        <v>4.5599999999999996</v>
      </c>
      <c r="E72" s="2"/>
      <c r="F72" s="6">
        <f t="shared" si="34"/>
        <v>2.0002351153556645E-4</v>
      </c>
      <c r="G72" s="2"/>
      <c r="H72" s="7">
        <v>36.04</v>
      </c>
      <c r="I72" s="2"/>
      <c r="J72" s="6">
        <f t="shared" si="35"/>
        <v>5.1860719145857982E-4</v>
      </c>
      <c r="K72" s="2"/>
      <c r="L72" s="7">
        <f t="shared" si="36"/>
        <v>-31.48</v>
      </c>
      <c r="M72" s="2"/>
      <c r="N72" s="6">
        <f t="shared" si="37"/>
        <v>-0.87347391786903439</v>
      </c>
      <c r="O72" s="11"/>
      <c r="P72" s="7">
        <v>3.66</v>
      </c>
      <c r="Q72" s="2"/>
      <c r="R72" s="6">
        <f t="shared" si="38"/>
        <v>7.3675813136397477E-5</v>
      </c>
      <c r="S72" s="2"/>
      <c r="T72" s="7">
        <v>29.91</v>
      </c>
      <c r="U72" s="2"/>
      <c r="V72" s="6">
        <f t="shared" si="39"/>
        <v>2.4723916268336901E-4</v>
      </c>
      <c r="W72" s="2"/>
      <c r="X72" s="7">
        <f t="shared" si="40"/>
        <v>-26.25</v>
      </c>
      <c r="Y72" s="2"/>
      <c r="Z72" s="6">
        <f t="shared" si="41"/>
        <v>-0.87763289869608829</v>
      </c>
    </row>
    <row r="73" spans="1:26" s="28" customFormat="1" outlineLevel="1" collapsed="1" x14ac:dyDescent="0.25">
      <c r="A73" s="27"/>
      <c r="B73" s="14" t="str">
        <f>CONCATENATE("     ","Bank/card Fees                                    ")</f>
        <v xml:space="preserve">     Bank/card Fees                                    </v>
      </c>
      <c r="C73" s="14"/>
      <c r="D73" s="1">
        <f>SUM(OSRRefD22_4x_0)</f>
        <v>452.83</v>
      </c>
      <c r="E73" s="1"/>
      <c r="F73" s="5">
        <f t="shared" si="34"/>
        <v>1.9863299721195299E-2</v>
      </c>
      <c r="G73" s="1"/>
      <c r="H73" s="1">
        <f>SUM(OSRRefH22_4x_0)</f>
        <v>803.95</v>
      </c>
      <c r="I73" s="1"/>
      <c r="J73" s="5">
        <f t="shared" si="35"/>
        <v>1.1568652929332001E-2</v>
      </c>
      <c r="K73" s="1"/>
      <c r="L73" s="1">
        <f t="shared" si="36"/>
        <v>-351.12000000000006</v>
      </c>
      <c r="M73" s="1"/>
      <c r="N73" s="5">
        <f t="shared" si="37"/>
        <v>-0.43674357858075757</v>
      </c>
      <c r="O73" s="14"/>
      <c r="P73" s="1">
        <f>SUM(OSRRefP22_4x_0)</f>
        <v>759.72</v>
      </c>
      <c r="Q73" s="1"/>
      <c r="R73" s="5">
        <f t="shared" si="38"/>
        <v>1.5293166326771555E-2</v>
      </c>
      <c r="S73" s="1"/>
      <c r="T73" s="1">
        <f>SUM(OSRRefT22_4x_0)</f>
        <v>1481.66</v>
      </c>
      <c r="U73" s="1"/>
      <c r="V73" s="5">
        <f t="shared" si="39"/>
        <v>1.2247555258490155E-2</v>
      </c>
      <c r="W73" s="1"/>
      <c r="X73" s="1">
        <f t="shared" si="40"/>
        <v>-721.94</v>
      </c>
      <c r="Y73" s="1"/>
      <c r="Z73" s="5">
        <f t="shared" si="41"/>
        <v>-0.48725078628025326</v>
      </c>
    </row>
    <row r="74" spans="1:26" s="24" customFormat="1" hidden="1" outlineLevel="2" x14ac:dyDescent="0.25">
      <c r="A74" s="29"/>
      <c r="B74" s="11" t="str">
        <f>CONCATENATE("          ", "6381", " - ", "BANK/CREDIT CARD FEES")</f>
        <v xml:space="preserve">          6381 - BANK/CREDIT CARD FEES</v>
      </c>
      <c r="C74" s="11"/>
      <c r="D74" s="7">
        <v>452.83</v>
      </c>
      <c r="E74" s="2"/>
      <c r="F74" s="6">
        <f t="shared" si="34"/>
        <v>1.9863299721195299E-2</v>
      </c>
      <c r="G74" s="2"/>
      <c r="H74" s="7">
        <v>803.95</v>
      </c>
      <c r="I74" s="2"/>
      <c r="J74" s="6">
        <f t="shared" si="35"/>
        <v>1.1568652929332001E-2</v>
      </c>
      <c r="K74" s="2"/>
      <c r="L74" s="7">
        <f t="shared" si="36"/>
        <v>-351.12000000000006</v>
      </c>
      <c r="M74" s="2"/>
      <c r="N74" s="6">
        <f t="shared" si="37"/>
        <v>-0.43674357858075757</v>
      </c>
      <c r="O74" s="11"/>
      <c r="P74" s="7">
        <v>759.72</v>
      </c>
      <c r="Q74" s="2"/>
      <c r="R74" s="6">
        <f t="shared" si="38"/>
        <v>1.5293166326771555E-2</v>
      </c>
      <c r="S74" s="2"/>
      <c r="T74" s="7">
        <v>1481.66</v>
      </c>
      <c r="U74" s="2"/>
      <c r="V74" s="6">
        <f t="shared" si="39"/>
        <v>1.2247555258490155E-2</v>
      </c>
      <c r="W74" s="2"/>
      <c r="X74" s="7">
        <f t="shared" si="40"/>
        <v>-721.94</v>
      </c>
      <c r="Y74" s="2"/>
      <c r="Z74" s="6">
        <f t="shared" si="41"/>
        <v>-0.48725078628025326</v>
      </c>
    </row>
    <row r="75" spans="1:26" s="28" customFormat="1" outlineLevel="1" collapsed="1" x14ac:dyDescent="0.25">
      <c r="A75" s="27"/>
      <c r="B75" s="14" t="str">
        <f>CONCATENATE("     ","Discounts and Markdowns                           ")</f>
        <v xml:space="preserve">     Discounts and Markdowns                           </v>
      </c>
      <c r="C75" s="14"/>
      <c r="D75" s="1">
        <f>SUM(OSRRefD22_5x_0)</f>
        <v>0</v>
      </c>
      <c r="E75" s="1"/>
      <c r="F75" s="5">
        <f t="shared" si="34"/>
        <v>0</v>
      </c>
      <c r="G75" s="1"/>
      <c r="H75" s="1">
        <f>SUM(OSRRefH22_5x_0)</f>
        <v>12969.55</v>
      </c>
      <c r="I75" s="1"/>
      <c r="J75" s="5">
        <f t="shared" si="35"/>
        <v>0.18662879855664882</v>
      </c>
      <c r="K75" s="1"/>
      <c r="L75" s="1">
        <f t="shared" si="36"/>
        <v>-12969.55</v>
      </c>
      <c r="M75" s="1"/>
      <c r="N75" s="5">
        <f t="shared" si="37"/>
        <v>-1</v>
      </c>
      <c r="O75" s="14"/>
      <c r="P75" s="1">
        <f>SUM(OSRRefP22_5x_0)</f>
        <v>0</v>
      </c>
      <c r="Q75" s="1"/>
      <c r="R75" s="5">
        <f t="shared" si="38"/>
        <v>0</v>
      </c>
      <c r="S75" s="1"/>
      <c r="T75" s="1">
        <f>SUM(OSRRefT22_5x_0)</f>
        <v>19149.689999999999</v>
      </c>
      <c r="U75" s="1"/>
      <c r="V75" s="5">
        <f t="shared" si="39"/>
        <v>0.15829332401357687</v>
      </c>
      <c r="W75" s="1"/>
      <c r="X75" s="1">
        <f t="shared" si="40"/>
        <v>-19149.689999999999</v>
      </c>
      <c r="Y75" s="1"/>
      <c r="Z75" s="5">
        <f t="shared" si="41"/>
        <v>-1</v>
      </c>
    </row>
    <row r="76" spans="1:26" s="24" customFormat="1" hidden="1" outlineLevel="2" x14ac:dyDescent="0.25">
      <c r="A76" s="29"/>
      <c r="B76" s="11" t="str">
        <f>CONCATENATE("          ", "6382", " - ", "DISCOUNTS/MARK DOWNS")</f>
        <v xml:space="preserve">          6382 - DISCOUNTS/MARK DOWNS</v>
      </c>
      <c r="C76" s="11"/>
      <c r="D76" s="7"/>
      <c r="E76" s="2"/>
      <c r="F76" s="6">
        <f t="shared" si="34"/>
        <v>0</v>
      </c>
      <c r="G76" s="2"/>
      <c r="H76" s="7">
        <v>12969.55</v>
      </c>
      <c r="I76" s="2"/>
      <c r="J76" s="6">
        <f t="shared" si="35"/>
        <v>0.18662879855664882</v>
      </c>
      <c r="K76" s="2"/>
      <c r="L76" s="7">
        <f t="shared" si="36"/>
        <v>-12969.55</v>
      </c>
      <c r="M76" s="2"/>
      <c r="N76" s="6">
        <f t="shared" si="37"/>
        <v>-1</v>
      </c>
      <c r="O76" s="11"/>
      <c r="P76" s="7"/>
      <c r="Q76" s="2"/>
      <c r="R76" s="6">
        <f t="shared" si="38"/>
        <v>0</v>
      </c>
      <c r="S76" s="2"/>
      <c r="T76" s="7">
        <v>19149.689999999999</v>
      </c>
      <c r="U76" s="2"/>
      <c r="V76" s="6">
        <f t="shared" si="39"/>
        <v>0.15829332401357687</v>
      </c>
      <c r="W76" s="2"/>
      <c r="X76" s="7">
        <f t="shared" si="40"/>
        <v>-19149.689999999999</v>
      </c>
      <c r="Y76" s="2"/>
      <c r="Z76" s="6">
        <f t="shared" si="41"/>
        <v>-1</v>
      </c>
    </row>
    <row r="77" spans="1:26" s="28" customFormat="1" outlineLevel="1" collapsed="1" x14ac:dyDescent="0.25">
      <c r="A77" s="27"/>
      <c r="B77" s="14" t="str">
        <f>CONCATENATE("     ","Employees' Appreciation                           ")</f>
        <v xml:space="preserve">     Employees' Appreciation                           </v>
      </c>
      <c r="C77" s="14"/>
      <c r="D77" s="1">
        <f>SUM(OSRRefD22_6x_0)</f>
        <v>0</v>
      </c>
      <c r="E77" s="1"/>
      <c r="F77" s="5">
        <f t="shared" si="34"/>
        <v>0</v>
      </c>
      <c r="G77" s="1"/>
      <c r="H77" s="1">
        <f>SUM(OSRRefH22_6x_0)</f>
        <v>0</v>
      </c>
      <c r="I77" s="1"/>
      <c r="J77" s="5">
        <f t="shared" si="35"/>
        <v>0</v>
      </c>
      <c r="K77" s="1"/>
      <c r="L77" s="1">
        <f t="shared" si="36"/>
        <v>0</v>
      </c>
      <c r="M77" s="1"/>
      <c r="N77" s="5">
        <f t="shared" si="37"/>
        <v>0</v>
      </c>
      <c r="O77" s="14"/>
      <c r="P77" s="1">
        <f>SUM(OSRRefP22_6x_0)</f>
        <v>0</v>
      </c>
      <c r="Q77" s="1"/>
      <c r="R77" s="5">
        <f t="shared" si="38"/>
        <v>0</v>
      </c>
      <c r="S77" s="1"/>
      <c r="T77" s="1">
        <f>SUM(OSRRefT22_6x_0)</f>
        <v>120.93</v>
      </c>
      <c r="U77" s="1"/>
      <c r="V77" s="5">
        <f t="shared" si="39"/>
        <v>9.9961992455031151E-4</v>
      </c>
      <c r="W77" s="1"/>
      <c r="X77" s="1">
        <f t="shared" si="40"/>
        <v>-120.93</v>
      </c>
      <c r="Y77" s="1"/>
      <c r="Z77" s="5">
        <f t="shared" si="41"/>
        <v>-1</v>
      </c>
    </row>
    <row r="78" spans="1:26" s="24" customFormat="1" hidden="1" outlineLevel="2" x14ac:dyDescent="0.25">
      <c r="A78" s="29"/>
      <c r="B78" s="11" t="str">
        <f>CONCATENATE("          ", "6277", " - ", "EMPLOYEE APPRECIATION")</f>
        <v xml:space="preserve">          6277 - EMPLOYEE APPRECIATION</v>
      </c>
      <c r="C78" s="11"/>
      <c r="D78" s="7"/>
      <c r="E78" s="2"/>
      <c r="F78" s="6">
        <f t="shared" si="34"/>
        <v>0</v>
      </c>
      <c r="G78" s="2"/>
      <c r="H78" s="7"/>
      <c r="I78" s="2"/>
      <c r="J78" s="6">
        <f t="shared" si="35"/>
        <v>0</v>
      </c>
      <c r="K78" s="2"/>
      <c r="L78" s="7">
        <f t="shared" si="36"/>
        <v>0</v>
      </c>
      <c r="M78" s="2"/>
      <c r="N78" s="6">
        <f t="shared" si="37"/>
        <v>0</v>
      </c>
      <c r="O78" s="11"/>
      <c r="P78" s="7"/>
      <c r="Q78" s="2"/>
      <c r="R78" s="6">
        <f t="shared" si="38"/>
        <v>0</v>
      </c>
      <c r="S78" s="2"/>
      <c r="T78" s="7">
        <v>120.93</v>
      </c>
      <c r="U78" s="2"/>
      <c r="V78" s="6">
        <f t="shared" si="39"/>
        <v>9.9961992455031151E-4</v>
      </c>
      <c r="W78" s="2"/>
      <c r="X78" s="7">
        <f t="shared" si="40"/>
        <v>-120.93</v>
      </c>
      <c r="Y78" s="2"/>
      <c r="Z78" s="6">
        <f t="shared" si="41"/>
        <v>-1</v>
      </c>
    </row>
    <row r="79" spans="1:26" s="28" customFormat="1" outlineLevel="1" collapsed="1" x14ac:dyDescent="0.25">
      <c r="A79" s="27"/>
      <c r="B79" s="14" t="str">
        <f>CONCATENATE("     ","Insurance                                         ")</f>
        <v xml:space="preserve">     Insurance                                         </v>
      </c>
      <c r="C79" s="14"/>
      <c r="D79" s="1">
        <f>SUM(OSRRefD22_7x_0)</f>
        <v>161.18</v>
      </c>
      <c r="E79" s="1"/>
      <c r="F79" s="5">
        <f t="shared" si="34"/>
        <v>7.0701292958996942E-3</v>
      </c>
      <c r="G79" s="1"/>
      <c r="H79" s="1">
        <f>SUM(OSRRefH22_7x_0)</f>
        <v>161.18</v>
      </c>
      <c r="I79" s="1"/>
      <c r="J79" s="5">
        <f t="shared" si="35"/>
        <v>2.3193425948749694E-3</v>
      </c>
      <c r="K79" s="1"/>
      <c r="L79" s="1">
        <f t="shared" si="36"/>
        <v>0</v>
      </c>
      <c r="M79" s="1"/>
      <c r="N79" s="5">
        <f t="shared" si="37"/>
        <v>0</v>
      </c>
      <c r="O79" s="14"/>
      <c r="P79" s="1">
        <f>SUM(OSRRefP22_7x_0)</f>
        <v>322.36</v>
      </c>
      <c r="Q79" s="1"/>
      <c r="R79" s="5">
        <f t="shared" si="38"/>
        <v>6.4891079570079486E-3</v>
      </c>
      <c r="S79" s="1"/>
      <c r="T79" s="1">
        <f>SUM(OSRRefT22_7x_0)</f>
        <v>322.36</v>
      </c>
      <c r="U79" s="1"/>
      <c r="V79" s="5">
        <f t="shared" si="39"/>
        <v>2.6646611996860858E-3</v>
      </c>
      <c r="W79" s="1"/>
      <c r="X79" s="1">
        <f t="shared" si="40"/>
        <v>0</v>
      </c>
      <c r="Y79" s="1"/>
      <c r="Z79" s="5">
        <f t="shared" si="41"/>
        <v>0</v>
      </c>
    </row>
    <row r="80" spans="1:26" s="24" customFormat="1" hidden="1" outlineLevel="2" x14ac:dyDescent="0.25">
      <c r="A80" s="29"/>
      <c r="B80" s="11" t="str">
        <f>CONCATENATE("          ", "6314", " - ", "LIABILITY INSURANCE")</f>
        <v xml:space="preserve">          6314 - LIABILITY INSURANCE</v>
      </c>
      <c r="C80" s="11"/>
      <c r="D80" s="7">
        <v>161.18</v>
      </c>
      <c r="E80" s="2"/>
      <c r="F80" s="6">
        <f t="shared" si="34"/>
        <v>7.0701292958996942E-3</v>
      </c>
      <c r="G80" s="2"/>
      <c r="H80" s="7">
        <v>161.18</v>
      </c>
      <c r="I80" s="2"/>
      <c r="J80" s="6">
        <f t="shared" si="35"/>
        <v>2.3193425948749694E-3</v>
      </c>
      <c r="K80" s="2"/>
      <c r="L80" s="7">
        <f t="shared" si="36"/>
        <v>0</v>
      </c>
      <c r="M80" s="2"/>
      <c r="N80" s="6">
        <f t="shared" si="37"/>
        <v>0</v>
      </c>
      <c r="O80" s="11"/>
      <c r="P80" s="7">
        <v>322.36</v>
      </c>
      <c r="Q80" s="2"/>
      <c r="R80" s="6">
        <f t="shared" si="38"/>
        <v>6.4891079570079486E-3</v>
      </c>
      <c r="S80" s="2"/>
      <c r="T80" s="7">
        <v>322.36</v>
      </c>
      <c r="U80" s="2"/>
      <c r="V80" s="6">
        <f t="shared" si="39"/>
        <v>2.6646611996860858E-3</v>
      </c>
      <c r="W80" s="2"/>
      <c r="X80" s="7">
        <f t="shared" si="40"/>
        <v>0</v>
      </c>
      <c r="Y80" s="2"/>
      <c r="Z80" s="6">
        <f t="shared" si="41"/>
        <v>0</v>
      </c>
    </row>
    <row r="81" spans="1:26" s="28" customFormat="1" outlineLevel="1" collapsed="1" x14ac:dyDescent="0.25">
      <c r="A81" s="27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SUM(OSRRefD22_8x_0)</f>
        <v>100</v>
      </c>
      <c r="E81" s="1"/>
      <c r="F81" s="5">
        <f t="shared" si="34"/>
        <v>4.3864805161308437E-3</v>
      </c>
      <c r="G81" s="1"/>
      <c r="H81" s="1">
        <f>SUM(OSRRefH22_8x_0)</f>
        <v>300</v>
      </c>
      <c r="I81" s="1"/>
      <c r="J81" s="5">
        <f t="shared" si="35"/>
        <v>4.3169300065919519E-3</v>
      </c>
      <c r="K81" s="1"/>
      <c r="L81" s="1">
        <f t="shared" si="36"/>
        <v>-200</v>
      </c>
      <c r="M81" s="1"/>
      <c r="N81" s="5">
        <f t="shared" si="37"/>
        <v>-0.66666666666666663</v>
      </c>
      <c r="O81" s="14"/>
      <c r="P81" s="1">
        <f>SUM(OSRRefP22_8x_0)</f>
        <v>200</v>
      </c>
      <c r="Q81" s="1"/>
      <c r="R81" s="5">
        <f t="shared" si="38"/>
        <v>4.0260007178359279E-3</v>
      </c>
      <c r="S81" s="1"/>
      <c r="T81" s="1">
        <f>SUM(OSRRefT22_8x_0)</f>
        <v>600</v>
      </c>
      <c r="U81" s="1"/>
      <c r="V81" s="5">
        <f t="shared" si="39"/>
        <v>4.9596622403885451E-3</v>
      </c>
      <c r="W81" s="1"/>
      <c r="X81" s="1">
        <f t="shared" si="40"/>
        <v>-400</v>
      </c>
      <c r="Y81" s="1"/>
      <c r="Z81" s="5">
        <f t="shared" si="41"/>
        <v>-0.66666666666666663</v>
      </c>
    </row>
    <row r="82" spans="1:26" s="24" customFormat="1" hidden="1" outlineLevel="2" x14ac:dyDescent="0.25">
      <c r="A82" s="29"/>
      <c r="B82" s="11" t="str">
        <f>CONCATENATE("          ", "6408", " - ", "INVENTORY ADJUSTMENT")</f>
        <v xml:space="preserve">          6408 - INVENTORY ADJUSTMENT</v>
      </c>
      <c r="C82" s="11"/>
      <c r="D82" s="7">
        <v>100</v>
      </c>
      <c r="E82" s="2"/>
      <c r="F82" s="6">
        <f t="shared" si="34"/>
        <v>4.3864805161308437E-3</v>
      </c>
      <c r="G82" s="2"/>
      <c r="H82" s="7">
        <v>300</v>
      </c>
      <c r="I82" s="2"/>
      <c r="J82" s="6">
        <f t="shared" si="35"/>
        <v>4.3169300065919519E-3</v>
      </c>
      <c r="K82" s="2"/>
      <c r="L82" s="7">
        <f t="shared" si="36"/>
        <v>-200</v>
      </c>
      <c r="M82" s="2"/>
      <c r="N82" s="6">
        <f t="shared" si="37"/>
        <v>-0.66666666666666663</v>
      </c>
      <c r="O82" s="11"/>
      <c r="P82" s="7">
        <v>200</v>
      </c>
      <c r="Q82" s="2"/>
      <c r="R82" s="6">
        <f t="shared" si="38"/>
        <v>4.0260007178359279E-3</v>
      </c>
      <c r="S82" s="2"/>
      <c r="T82" s="7">
        <v>600</v>
      </c>
      <c r="U82" s="2"/>
      <c r="V82" s="6">
        <f t="shared" si="39"/>
        <v>4.9596622403885451E-3</v>
      </c>
      <c r="W82" s="2"/>
      <c r="X82" s="7">
        <f t="shared" si="40"/>
        <v>-400</v>
      </c>
      <c r="Y82" s="2"/>
      <c r="Z82" s="6">
        <f t="shared" si="41"/>
        <v>-0.66666666666666663</v>
      </c>
    </row>
    <row r="83" spans="1:26" s="28" customFormat="1" outlineLevel="1" collapsed="1" x14ac:dyDescent="0.25">
      <c r="A83" s="27"/>
      <c r="B83" s="14" t="str">
        <f>CONCATENATE("     ","Professional Services                             ")</f>
        <v xml:space="preserve">     Professional Services                             </v>
      </c>
      <c r="C83" s="14"/>
      <c r="D83" s="1">
        <f>SUM(OSRRefD22_9x_0)</f>
        <v>0</v>
      </c>
      <c r="E83" s="1"/>
      <c r="F83" s="5">
        <f t="shared" si="34"/>
        <v>0</v>
      </c>
      <c r="G83" s="1"/>
      <c r="H83" s="1">
        <f>SUM(OSRRefH22_9x_0)</f>
        <v>0</v>
      </c>
      <c r="I83" s="1"/>
      <c r="J83" s="5">
        <f t="shared" si="35"/>
        <v>0</v>
      </c>
      <c r="K83" s="1"/>
      <c r="L83" s="1">
        <f t="shared" si="36"/>
        <v>0</v>
      </c>
      <c r="M83" s="1"/>
      <c r="N83" s="5">
        <f t="shared" si="37"/>
        <v>0</v>
      </c>
      <c r="O83" s="14"/>
      <c r="P83" s="1">
        <f>SUM(OSRRefP22_9x_0)</f>
        <v>0</v>
      </c>
      <c r="Q83" s="1"/>
      <c r="R83" s="5">
        <f t="shared" si="38"/>
        <v>0</v>
      </c>
      <c r="S83" s="1"/>
      <c r="T83" s="1">
        <f>SUM(OSRRefT22_9x_0)</f>
        <v>750</v>
      </c>
      <c r="U83" s="1"/>
      <c r="V83" s="5">
        <f t="shared" si="39"/>
        <v>6.1995778004856816E-3</v>
      </c>
      <c r="W83" s="1"/>
      <c r="X83" s="1">
        <f t="shared" si="40"/>
        <v>-750</v>
      </c>
      <c r="Y83" s="1"/>
      <c r="Z83" s="5">
        <f t="shared" si="41"/>
        <v>-1</v>
      </c>
    </row>
    <row r="84" spans="1:26" s="24" customFormat="1" hidden="1" outlineLevel="2" x14ac:dyDescent="0.25">
      <c r="A84" s="29"/>
      <c r="B84" s="11" t="str">
        <f>CONCATENATE("          ", "6336", " - ", "PROFESSIONAL SERVICES")</f>
        <v xml:space="preserve">          6336 - PROFESSIONAL SERVICES</v>
      </c>
      <c r="C84" s="11"/>
      <c r="D84" s="7"/>
      <c r="E84" s="2"/>
      <c r="F84" s="6">
        <f t="shared" si="34"/>
        <v>0</v>
      </c>
      <c r="G84" s="2"/>
      <c r="H84" s="7"/>
      <c r="I84" s="2"/>
      <c r="J84" s="6">
        <f t="shared" si="35"/>
        <v>0</v>
      </c>
      <c r="K84" s="2"/>
      <c r="L84" s="7">
        <f t="shared" si="36"/>
        <v>0</v>
      </c>
      <c r="M84" s="2"/>
      <c r="N84" s="6">
        <f t="shared" si="37"/>
        <v>0</v>
      </c>
      <c r="O84" s="11"/>
      <c r="P84" s="7"/>
      <c r="Q84" s="2"/>
      <c r="R84" s="6">
        <f t="shared" si="38"/>
        <v>0</v>
      </c>
      <c r="S84" s="2"/>
      <c r="T84" s="7">
        <v>750</v>
      </c>
      <c r="U84" s="2"/>
      <c r="V84" s="6">
        <f t="shared" si="39"/>
        <v>6.1995778004856816E-3</v>
      </c>
      <c r="W84" s="2"/>
      <c r="X84" s="7">
        <f t="shared" si="40"/>
        <v>-750</v>
      </c>
      <c r="Y84" s="2"/>
      <c r="Z84" s="6">
        <f t="shared" si="41"/>
        <v>-1</v>
      </c>
    </row>
    <row r="85" spans="1:26" s="28" customFormat="1" outlineLevel="1" collapsed="1" x14ac:dyDescent="0.25">
      <c r="A85" s="27"/>
      <c r="B85" s="14" t="str">
        <f>CONCATENATE("     ","Rent                                              ")</f>
        <v xml:space="preserve">     Rent                                              </v>
      </c>
      <c r="C85" s="14"/>
      <c r="D85" s="1">
        <f>SUM(OSRRefD22_10x_0)</f>
        <v>6900</v>
      </c>
      <c r="E85" s="1"/>
      <c r="F85" s="5">
        <f t="shared" si="34"/>
        <v>0.3026671556130282</v>
      </c>
      <c r="G85" s="1"/>
      <c r="H85" s="1">
        <f>SUM(OSRRefH22_10x_0)</f>
        <v>6900</v>
      </c>
      <c r="I85" s="1"/>
      <c r="J85" s="5">
        <f t="shared" si="35"/>
        <v>9.9289390151614892E-2</v>
      </c>
      <c r="K85" s="1"/>
      <c r="L85" s="1">
        <f t="shared" si="36"/>
        <v>0</v>
      </c>
      <c r="M85" s="1"/>
      <c r="N85" s="5">
        <f t="shared" si="37"/>
        <v>0</v>
      </c>
      <c r="O85" s="14"/>
      <c r="P85" s="1">
        <f>SUM(OSRRefP22_10x_0)</f>
        <v>13800</v>
      </c>
      <c r="Q85" s="1"/>
      <c r="R85" s="5">
        <f t="shared" si="38"/>
        <v>0.27779404953067899</v>
      </c>
      <c r="S85" s="1"/>
      <c r="T85" s="1">
        <f>SUM(OSRRefT22_10x_0)</f>
        <v>13800</v>
      </c>
      <c r="U85" s="1"/>
      <c r="V85" s="5">
        <f t="shared" si="39"/>
        <v>0.11407223152893654</v>
      </c>
      <c r="W85" s="1"/>
      <c r="X85" s="1">
        <f t="shared" si="40"/>
        <v>0</v>
      </c>
      <c r="Y85" s="1"/>
      <c r="Z85" s="5">
        <f t="shared" si="41"/>
        <v>0</v>
      </c>
    </row>
    <row r="86" spans="1:26" s="24" customFormat="1" hidden="1" outlineLevel="2" x14ac:dyDescent="0.25">
      <c r="A86" s="29"/>
      <c r="B86" s="11" t="str">
        <f>CONCATENATE("          ", "6273", " - ", "RENT")</f>
        <v xml:space="preserve">          6273 - RENT</v>
      </c>
      <c r="C86" s="11"/>
      <c r="D86" s="7">
        <v>6900</v>
      </c>
      <c r="E86" s="2"/>
      <c r="F86" s="6">
        <f t="shared" si="34"/>
        <v>0.3026671556130282</v>
      </c>
      <c r="G86" s="2"/>
      <c r="H86" s="7">
        <v>6900</v>
      </c>
      <c r="I86" s="2"/>
      <c r="J86" s="6">
        <f t="shared" si="35"/>
        <v>9.9289390151614892E-2</v>
      </c>
      <c r="K86" s="2"/>
      <c r="L86" s="7">
        <f t="shared" si="36"/>
        <v>0</v>
      </c>
      <c r="M86" s="2"/>
      <c r="N86" s="6">
        <f t="shared" si="37"/>
        <v>0</v>
      </c>
      <c r="O86" s="11"/>
      <c r="P86" s="7">
        <v>13800</v>
      </c>
      <c r="Q86" s="2"/>
      <c r="R86" s="6">
        <f t="shared" si="38"/>
        <v>0.27779404953067899</v>
      </c>
      <c r="S86" s="2"/>
      <c r="T86" s="7">
        <v>13800</v>
      </c>
      <c r="U86" s="2"/>
      <c r="V86" s="6">
        <f t="shared" si="39"/>
        <v>0.11407223152893654</v>
      </c>
      <c r="W86" s="2"/>
      <c r="X86" s="7">
        <f t="shared" si="40"/>
        <v>0</v>
      </c>
      <c r="Y86" s="2"/>
      <c r="Z86" s="6">
        <f t="shared" si="41"/>
        <v>0</v>
      </c>
    </row>
    <row r="87" spans="1:26" s="28" customFormat="1" outlineLevel="1" collapsed="1" x14ac:dyDescent="0.25">
      <c r="A87" s="27"/>
      <c r="B87" s="14" t="str">
        <f>CONCATENATE("     ","Services                                          ")</f>
        <v xml:space="preserve">     Services                                          </v>
      </c>
      <c r="C87" s="14"/>
      <c r="D87" s="1">
        <f>SUM(OSRRefD22_11x_0)</f>
        <v>81.84</v>
      </c>
      <c r="E87" s="1"/>
      <c r="F87" s="5">
        <f t="shared" si="34"/>
        <v>3.5898956544014823E-3</v>
      </c>
      <c r="G87" s="1"/>
      <c r="H87" s="1">
        <f>SUM(OSRRefH22_11x_0)</f>
        <v>241.37</v>
      </c>
      <c r="I87" s="1"/>
      <c r="J87" s="5">
        <f t="shared" si="35"/>
        <v>3.4732579856369982E-3</v>
      </c>
      <c r="K87" s="1"/>
      <c r="L87" s="1">
        <f t="shared" si="36"/>
        <v>-159.53</v>
      </c>
      <c r="M87" s="1"/>
      <c r="N87" s="5">
        <f t="shared" si="37"/>
        <v>-0.66093549322616729</v>
      </c>
      <c r="O87" s="14"/>
      <c r="P87" s="1">
        <f>SUM(OSRRefP22_11x_0)</f>
        <v>-251.60000000000002</v>
      </c>
      <c r="Q87" s="1"/>
      <c r="R87" s="5">
        <f t="shared" si="38"/>
        <v>-5.0647089030375972E-3</v>
      </c>
      <c r="S87" s="1"/>
      <c r="T87" s="1">
        <f>SUM(OSRRefT22_11x_0)</f>
        <v>482.74</v>
      </c>
      <c r="U87" s="1"/>
      <c r="V87" s="5">
        <f t="shared" si="39"/>
        <v>3.9903789165419441E-3</v>
      </c>
      <c r="W87" s="1"/>
      <c r="X87" s="1">
        <f t="shared" si="40"/>
        <v>-734.34</v>
      </c>
      <c r="Y87" s="1"/>
      <c r="Z87" s="5">
        <f t="shared" si="41"/>
        <v>-1.5211915316733646</v>
      </c>
    </row>
    <row r="88" spans="1:26" s="24" customFormat="1" hidden="1" outlineLevel="2" x14ac:dyDescent="0.25">
      <c r="A88" s="29"/>
      <c r="B88" s="11" t="str">
        <f>CONCATENATE("          ", "6283", " - ", "PLANT SERVICE")</f>
        <v xml:space="preserve">          6283 - PLANT SERVICE</v>
      </c>
      <c r="C88" s="11"/>
      <c r="D88" s="7"/>
      <c r="E88" s="2"/>
      <c r="F88" s="6">
        <f t="shared" si="34"/>
        <v>0</v>
      </c>
      <c r="G88" s="2"/>
      <c r="H88" s="7">
        <v>59.55</v>
      </c>
      <c r="I88" s="2"/>
      <c r="J88" s="6">
        <f t="shared" si="35"/>
        <v>8.5691060630850243E-4</v>
      </c>
      <c r="K88" s="2"/>
      <c r="L88" s="7">
        <f t="shared" si="36"/>
        <v>-59.55</v>
      </c>
      <c r="M88" s="2"/>
      <c r="N88" s="6">
        <f t="shared" si="37"/>
        <v>-1</v>
      </c>
      <c r="O88" s="11"/>
      <c r="P88" s="7"/>
      <c r="Q88" s="2"/>
      <c r="R88" s="6">
        <f t="shared" si="38"/>
        <v>0</v>
      </c>
      <c r="S88" s="2"/>
      <c r="T88" s="7">
        <v>119.1</v>
      </c>
      <c r="U88" s="2"/>
      <c r="V88" s="6">
        <f t="shared" si="39"/>
        <v>9.8449295471712633E-4</v>
      </c>
      <c r="W88" s="2"/>
      <c r="X88" s="7">
        <f t="shared" si="40"/>
        <v>-119.1</v>
      </c>
      <c r="Y88" s="2"/>
      <c r="Z88" s="6">
        <f t="shared" si="41"/>
        <v>-1</v>
      </c>
    </row>
    <row r="89" spans="1:26" s="24" customFormat="1" hidden="1" outlineLevel="2" x14ac:dyDescent="0.25">
      <c r="A89" s="29"/>
      <c r="B89" s="11" t="str">
        <f>CONCATENATE("          ", "6284", " - ", "TRASH REMOVAL EXPENSE")</f>
        <v xml:space="preserve">          6284 - TRASH REMOVAL EXPENSE</v>
      </c>
      <c r="C89" s="11"/>
      <c r="D89" s="7">
        <v>142.57</v>
      </c>
      <c r="E89" s="2"/>
      <c r="F89" s="6">
        <f t="shared" si="34"/>
        <v>6.2538052718477434E-3</v>
      </c>
      <c r="G89" s="2"/>
      <c r="H89" s="7">
        <v>134.82</v>
      </c>
      <c r="I89" s="2"/>
      <c r="J89" s="6">
        <f t="shared" si="35"/>
        <v>1.9400283449624231E-3</v>
      </c>
      <c r="K89" s="2"/>
      <c r="L89" s="7">
        <f t="shared" si="36"/>
        <v>7.75</v>
      </c>
      <c r="M89" s="2"/>
      <c r="N89" s="6">
        <f t="shared" si="37"/>
        <v>5.7484052811155616E-2</v>
      </c>
      <c r="O89" s="11"/>
      <c r="P89" s="7">
        <v>285.14</v>
      </c>
      <c r="Q89" s="2"/>
      <c r="R89" s="6">
        <f t="shared" si="38"/>
        <v>5.7398692234186819E-3</v>
      </c>
      <c r="S89" s="2"/>
      <c r="T89" s="7">
        <v>269.64</v>
      </c>
      <c r="U89" s="2"/>
      <c r="V89" s="6">
        <f t="shared" si="39"/>
        <v>2.2288722108306123E-3</v>
      </c>
      <c r="W89" s="2"/>
      <c r="X89" s="7">
        <f t="shared" si="40"/>
        <v>15.5</v>
      </c>
      <c r="Y89" s="2"/>
      <c r="Z89" s="6">
        <f t="shared" si="41"/>
        <v>5.7484052811155616E-2</v>
      </c>
    </row>
    <row r="90" spans="1:26" s="24" customFormat="1" hidden="1" outlineLevel="2" x14ac:dyDescent="0.25">
      <c r="A90" s="29"/>
      <c r="B90" s="11" t="str">
        <f>CONCATENATE("          ", "6285", " - ", "JANITORIAL SERVICES")</f>
        <v xml:space="preserve">          6285 - JANITORIAL SERVICES</v>
      </c>
      <c r="C90" s="11"/>
      <c r="D90" s="7">
        <v>-60.73</v>
      </c>
      <c r="E90" s="2"/>
      <c r="F90" s="6">
        <f t="shared" si="34"/>
        <v>-2.6639096174462611E-3</v>
      </c>
      <c r="G90" s="2"/>
      <c r="H90" s="7">
        <v>47</v>
      </c>
      <c r="I90" s="2"/>
      <c r="J90" s="6">
        <f t="shared" si="35"/>
        <v>6.7631903436607247E-4</v>
      </c>
      <c r="K90" s="2"/>
      <c r="L90" s="7">
        <f t="shared" si="36"/>
        <v>-107.72999999999999</v>
      </c>
      <c r="M90" s="2"/>
      <c r="N90" s="6">
        <f t="shared" si="37"/>
        <v>-2.2921276595744677</v>
      </c>
      <c r="O90" s="11"/>
      <c r="P90" s="7">
        <v>-536.74</v>
      </c>
      <c r="Q90" s="2"/>
      <c r="R90" s="6">
        <f t="shared" si="38"/>
        <v>-1.080457812645628E-2</v>
      </c>
      <c r="S90" s="2"/>
      <c r="T90" s="7">
        <v>94</v>
      </c>
      <c r="U90" s="2"/>
      <c r="V90" s="6">
        <f t="shared" si="39"/>
        <v>7.7701375099420542E-4</v>
      </c>
      <c r="W90" s="2"/>
      <c r="X90" s="7">
        <f t="shared" si="40"/>
        <v>-630.74</v>
      </c>
      <c r="Y90" s="2"/>
      <c r="Z90" s="6">
        <f t="shared" si="41"/>
        <v>-6.71</v>
      </c>
    </row>
    <row r="91" spans="1:26" s="28" customFormat="1" outlineLevel="1" collapsed="1" x14ac:dyDescent="0.25">
      <c r="A91" s="27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1">
        <f>SUM(OSRRefD22_12x_0)</f>
        <v>0</v>
      </c>
      <c r="E91" s="1"/>
      <c r="F91" s="5">
        <f t="shared" ref="F91:F95" si="42">IF(D$12=0,0,D91/D$12)</f>
        <v>0</v>
      </c>
      <c r="G91" s="1"/>
      <c r="H91" s="1">
        <f>SUM(OSRRefH22_12x_0)</f>
        <v>0</v>
      </c>
      <c r="I91" s="1"/>
      <c r="J91" s="5">
        <f t="shared" ref="J91:J95" si="43">IF(H$12=0,0,H91/H$12)</f>
        <v>0</v>
      </c>
      <c r="K91" s="1"/>
      <c r="L91" s="1">
        <f t="shared" ref="L91:L95" si="44">+D91-H91</f>
        <v>0</v>
      </c>
      <c r="M91" s="1"/>
      <c r="N91" s="5">
        <f t="shared" ref="N91:N95" si="45">IF(H91=0,0,L91/H91)</f>
        <v>0</v>
      </c>
      <c r="O91" s="14"/>
      <c r="P91" s="1">
        <f>SUM(OSRRefP22_12x_0)</f>
        <v>75</v>
      </c>
      <c r="Q91" s="1"/>
      <c r="R91" s="5">
        <f t="shared" ref="R91:R95" si="46">IF(P$12=0,0,P91/P$12)</f>
        <v>1.509750269188473E-3</v>
      </c>
      <c r="S91" s="1"/>
      <c r="T91" s="1">
        <f>SUM(OSRRefT22_12x_0)</f>
        <v>13.42</v>
      </c>
      <c r="U91" s="1"/>
      <c r="V91" s="5">
        <f t="shared" ref="V91:V95" si="47">IF(T$12=0,0,T91/T$12)</f>
        <v>1.1093111211002381E-4</v>
      </c>
      <c r="W91" s="1"/>
      <c r="X91" s="1">
        <f t="shared" ref="X91:X95" si="48">+P91-T91</f>
        <v>61.58</v>
      </c>
      <c r="Y91" s="1"/>
      <c r="Z91" s="5">
        <f t="shared" ref="Z91:Z95" si="49">IF(T91=0,0,X91/T91)</f>
        <v>4.5886736214605062</v>
      </c>
    </row>
    <row r="92" spans="1:26" s="24" customFormat="1" hidden="1" outlineLevel="2" x14ac:dyDescent="0.25">
      <c r="A92" s="29"/>
      <c r="B92" s="11" t="str">
        <f>CONCATENATE("          ", "6275", " - ", "SUBSCRIPTIONS")</f>
        <v xml:space="preserve">          6275 - SUBSCRIPTIONS</v>
      </c>
      <c r="C92" s="11"/>
      <c r="D92" s="7"/>
      <c r="E92" s="2"/>
      <c r="F92" s="6">
        <f t="shared" si="42"/>
        <v>0</v>
      </c>
      <c r="G92" s="2"/>
      <c r="H92" s="7"/>
      <c r="I92" s="2"/>
      <c r="J92" s="6">
        <f t="shared" si="43"/>
        <v>0</v>
      </c>
      <c r="K92" s="2"/>
      <c r="L92" s="7">
        <f t="shared" si="44"/>
        <v>0</v>
      </c>
      <c r="M92" s="2"/>
      <c r="N92" s="6">
        <f t="shared" si="45"/>
        <v>0</v>
      </c>
      <c r="O92" s="11"/>
      <c r="P92" s="7">
        <v>75</v>
      </c>
      <c r="Q92" s="2"/>
      <c r="R92" s="6">
        <f t="shared" si="46"/>
        <v>1.509750269188473E-3</v>
      </c>
      <c r="S92" s="2"/>
      <c r="T92" s="7">
        <v>13.42</v>
      </c>
      <c r="U92" s="2"/>
      <c r="V92" s="6">
        <f t="shared" si="47"/>
        <v>1.1093111211002381E-4</v>
      </c>
      <c r="W92" s="2"/>
      <c r="X92" s="7">
        <f t="shared" si="48"/>
        <v>61.58</v>
      </c>
      <c r="Y92" s="2"/>
      <c r="Z92" s="6">
        <f t="shared" si="49"/>
        <v>4.5886736214605062</v>
      </c>
    </row>
    <row r="93" spans="1:26" s="28" customFormat="1" outlineLevel="1" collapsed="1" x14ac:dyDescent="0.25">
      <c r="A93" s="27"/>
      <c r="B93" s="14" t="str">
        <f>CONCATENATE("     ","Supplies                                          ")</f>
        <v xml:space="preserve">     Supplies                                          </v>
      </c>
      <c r="C93" s="14"/>
      <c r="D93" s="1">
        <f>SUM(OSRRefD22_13x_0)</f>
        <v>4.96</v>
      </c>
      <c r="E93" s="1"/>
      <c r="F93" s="5">
        <f t="shared" si="42"/>
        <v>2.1756943360008984E-4</v>
      </c>
      <c r="G93" s="1"/>
      <c r="H93" s="1">
        <f>SUM(OSRRefH22_13x_0)</f>
        <v>47.12</v>
      </c>
      <c r="I93" s="1"/>
      <c r="J93" s="5">
        <f t="shared" si="43"/>
        <v>6.7804580636870928E-4</v>
      </c>
      <c r="K93" s="1"/>
      <c r="L93" s="1">
        <f t="shared" si="44"/>
        <v>-42.16</v>
      </c>
      <c r="M93" s="1"/>
      <c r="N93" s="5">
        <f t="shared" si="45"/>
        <v>-0.89473684210526316</v>
      </c>
      <c r="O93" s="14"/>
      <c r="P93" s="1">
        <f>SUM(OSRRefP22_13x_0)</f>
        <v>144.27000000000001</v>
      </c>
      <c r="Q93" s="1"/>
      <c r="R93" s="5">
        <f t="shared" si="46"/>
        <v>2.9041556178109468E-3</v>
      </c>
      <c r="S93" s="1"/>
      <c r="T93" s="1">
        <f>SUM(OSRRefT22_13x_0)</f>
        <v>711.85</v>
      </c>
      <c r="U93" s="1"/>
      <c r="V93" s="5">
        <f t="shared" si="47"/>
        <v>5.8842259430343102E-3</v>
      </c>
      <c r="W93" s="1"/>
      <c r="X93" s="1">
        <f t="shared" si="48"/>
        <v>-567.58000000000004</v>
      </c>
      <c r="Y93" s="1"/>
      <c r="Z93" s="5">
        <f t="shared" si="49"/>
        <v>-0.7973308983634193</v>
      </c>
    </row>
    <row r="94" spans="1:26" s="24" customFormat="1" hidden="1" outlineLevel="2" x14ac:dyDescent="0.25">
      <c r="A94" s="29"/>
      <c r="B94" s="11" t="str">
        <f>CONCATENATE("          ", "6237", " - ", "JANITORIAL SUPPLIES")</f>
        <v xml:space="preserve">          6237 - JANITORIAL SUPPLIES</v>
      </c>
      <c r="C94" s="11"/>
      <c r="D94" s="7"/>
      <c r="E94" s="2"/>
      <c r="F94" s="6">
        <f t="shared" si="42"/>
        <v>0</v>
      </c>
      <c r="G94" s="2"/>
      <c r="H94" s="7"/>
      <c r="I94" s="2"/>
      <c r="J94" s="6">
        <f t="shared" si="43"/>
        <v>0</v>
      </c>
      <c r="K94" s="2"/>
      <c r="L94" s="7">
        <f t="shared" si="44"/>
        <v>0</v>
      </c>
      <c r="M94" s="2"/>
      <c r="N94" s="6">
        <f t="shared" si="45"/>
        <v>0</v>
      </c>
      <c r="O94" s="11"/>
      <c r="P94" s="7">
        <v>139.31</v>
      </c>
      <c r="Q94" s="2"/>
      <c r="R94" s="6">
        <f t="shared" si="46"/>
        <v>2.8043108000086153E-3</v>
      </c>
      <c r="S94" s="2"/>
      <c r="T94" s="7"/>
      <c r="U94" s="2"/>
      <c r="V94" s="6">
        <f t="shared" si="47"/>
        <v>0</v>
      </c>
      <c r="W94" s="2"/>
      <c r="X94" s="7">
        <f t="shared" si="48"/>
        <v>139.31</v>
      </c>
      <c r="Y94" s="2"/>
      <c r="Z94" s="6">
        <f t="shared" si="49"/>
        <v>0</v>
      </c>
    </row>
    <row r="95" spans="1:26" s="24" customFormat="1" hidden="1" outlineLevel="2" x14ac:dyDescent="0.25">
      <c r="A95" s="29"/>
      <c r="B95" s="11" t="str">
        <f>CONCATENATE("          ", "6241", " - ", "OFFICE EXPENSE")</f>
        <v xml:space="preserve">          6241 - OFFICE EXPENSE</v>
      </c>
      <c r="C95" s="11"/>
      <c r="D95" s="7">
        <v>4.96</v>
      </c>
      <c r="E95" s="2"/>
      <c r="F95" s="6">
        <f t="shared" si="42"/>
        <v>2.1756943360008984E-4</v>
      </c>
      <c r="G95" s="2"/>
      <c r="H95" s="7">
        <v>47.12</v>
      </c>
      <c r="I95" s="2"/>
      <c r="J95" s="6">
        <f t="shared" si="43"/>
        <v>6.7804580636870928E-4</v>
      </c>
      <c r="K95" s="2"/>
      <c r="L95" s="7">
        <f t="shared" si="44"/>
        <v>-42.16</v>
      </c>
      <c r="M95" s="2"/>
      <c r="N95" s="6">
        <f t="shared" si="45"/>
        <v>-0.89473684210526316</v>
      </c>
      <c r="O95" s="11"/>
      <c r="P95" s="7">
        <v>4.96</v>
      </c>
      <c r="Q95" s="2"/>
      <c r="R95" s="6">
        <f t="shared" si="46"/>
        <v>9.984481780233101E-5</v>
      </c>
      <c r="S95" s="2"/>
      <c r="T95" s="7">
        <v>711.85</v>
      </c>
      <c r="U95" s="2"/>
      <c r="V95" s="6">
        <f t="shared" si="47"/>
        <v>5.8842259430343102E-3</v>
      </c>
      <c r="W95" s="2"/>
      <c r="X95" s="7">
        <f t="shared" si="48"/>
        <v>-706.89</v>
      </c>
      <c r="Y95" s="2"/>
      <c r="Z95" s="6">
        <f t="shared" si="49"/>
        <v>-0.99303223993818912</v>
      </c>
    </row>
    <row r="96" spans="1:26" s="28" customFormat="1" outlineLevel="1" collapsed="1" x14ac:dyDescent="0.25">
      <c r="A96" s="27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SUM(OSRRefD22_14x_0)</f>
        <v>281.48</v>
      </c>
      <c r="E96" s="1"/>
      <c r="F96" s="5">
        <f t="shared" ref="F96:F101" si="50">IF(D$12=0,0,D96/D$12)</f>
        <v>1.2347065356805098E-2</v>
      </c>
      <c r="G96" s="1"/>
      <c r="H96" s="1">
        <f>SUM(OSRRefH22_14x_0)</f>
        <v>321.29000000000002</v>
      </c>
      <c r="I96" s="1"/>
      <c r="J96" s="5">
        <f t="shared" ref="J96:J101" si="51">IF(H$12=0,0,H96/H$12)</f>
        <v>4.6232881393930949E-3</v>
      </c>
      <c r="K96" s="1"/>
      <c r="L96" s="1">
        <f t="shared" ref="L96:L101" si="52">+D96-H96</f>
        <v>-39.81</v>
      </c>
      <c r="M96" s="1"/>
      <c r="N96" s="5">
        <f t="shared" ref="N96:N101" si="53">IF(H96=0,0,L96/H96)</f>
        <v>-0.12390675091039248</v>
      </c>
      <c r="O96" s="14"/>
      <c r="P96" s="1">
        <f>SUM(OSRRefP22_14x_0)</f>
        <v>559.79999999999995</v>
      </c>
      <c r="Q96" s="1"/>
      <c r="R96" s="5">
        <f t="shared" ref="R96:R101" si="54">IF(P$12=0,0,P96/P$12)</f>
        <v>1.1268776009222761E-2</v>
      </c>
      <c r="S96" s="1"/>
      <c r="T96" s="1">
        <f>SUM(OSRRefT22_14x_0)</f>
        <v>250.93</v>
      </c>
      <c r="U96" s="1"/>
      <c r="V96" s="5">
        <f t="shared" ref="V96:V101" si="55">IF(T$12=0,0,T96/T$12)</f>
        <v>2.0742134099678297E-3</v>
      </c>
      <c r="W96" s="1"/>
      <c r="X96" s="1">
        <f t="shared" ref="X96:X101" si="56">+P96-T96</f>
        <v>308.86999999999995</v>
      </c>
      <c r="Y96" s="1"/>
      <c r="Z96" s="5">
        <f t="shared" ref="Z96:Z101" si="57">IF(T96=0,0,X96/T96)</f>
        <v>1.2309010481010638</v>
      </c>
    </row>
    <row r="97" spans="1:26" s="24" customFormat="1" hidden="1" outlineLevel="2" x14ac:dyDescent="0.25">
      <c r="A97" s="29"/>
      <c r="B97" s="11" t="str">
        <f>CONCATENATE("          ", "6309", " - ", "TELEPHONE")</f>
        <v xml:space="preserve">          6309 - TELEPHONE</v>
      </c>
      <c r="C97" s="11"/>
      <c r="D97" s="7">
        <v>281.48</v>
      </c>
      <c r="E97" s="2"/>
      <c r="F97" s="6">
        <f t="shared" si="50"/>
        <v>1.2347065356805098E-2</v>
      </c>
      <c r="G97" s="2"/>
      <c r="H97" s="7">
        <v>321.29000000000002</v>
      </c>
      <c r="I97" s="2"/>
      <c r="J97" s="6">
        <f t="shared" si="51"/>
        <v>4.6232881393930949E-3</v>
      </c>
      <c r="K97" s="2"/>
      <c r="L97" s="7">
        <f t="shared" si="52"/>
        <v>-39.81</v>
      </c>
      <c r="M97" s="2"/>
      <c r="N97" s="6">
        <f t="shared" si="53"/>
        <v>-0.12390675091039248</v>
      </c>
      <c r="O97" s="11"/>
      <c r="P97" s="7">
        <v>559.79999999999995</v>
      </c>
      <c r="Q97" s="2"/>
      <c r="R97" s="6">
        <f t="shared" si="54"/>
        <v>1.1268776009222761E-2</v>
      </c>
      <c r="S97" s="2"/>
      <c r="T97" s="7">
        <v>250.93</v>
      </c>
      <c r="U97" s="2"/>
      <c r="V97" s="6">
        <f t="shared" si="55"/>
        <v>2.0742134099678297E-3</v>
      </c>
      <c r="W97" s="2"/>
      <c r="X97" s="7">
        <f t="shared" si="56"/>
        <v>308.86999999999995</v>
      </c>
      <c r="Y97" s="2"/>
      <c r="Z97" s="6">
        <f t="shared" si="57"/>
        <v>1.2309010481010638</v>
      </c>
    </row>
    <row r="98" spans="1:26" s="28" customFormat="1" outlineLevel="1" collapsed="1" x14ac:dyDescent="0.25">
      <c r="A98" s="27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SUM(OSRRefD22_15x_0)</f>
        <v>25.76</v>
      </c>
      <c r="E98" s="1"/>
      <c r="F98" s="5">
        <f t="shared" si="50"/>
        <v>1.1299573809553053E-3</v>
      </c>
      <c r="G98" s="1"/>
      <c r="H98" s="1">
        <f>SUM(OSRRefH22_15x_0)</f>
        <v>68.67</v>
      </c>
      <c r="I98" s="1"/>
      <c r="J98" s="5">
        <f t="shared" si="51"/>
        <v>9.8814527850889775E-4</v>
      </c>
      <c r="K98" s="1"/>
      <c r="L98" s="1">
        <f t="shared" si="52"/>
        <v>-42.91</v>
      </c>
      <c r="M98" s="1"/>
      <c r="N98" s="5">
        <f t="shared" si="53"/>
        <v>-0.62487257900101933</v>
      </c>
      <c r="O98" s="14"/>
      <c r="P98" s="1">
        <f>SUM(OSRRefP22_15x_0)</f>
        <v>240.92</v>
      </c>
      <c r="Q98" s="1"/>
      <c r="R98" s="5">
        <f t="shared" si="54"/>
        <v>4.8497204647051581E-3</v>
      </c>
      <c r="S98" s="1"/>
      <c r="T98" s="1">
        <f>SUM(OSRRefT22_15x_0)</f>
        <v>68.67</v>
      </c>
      <c r="U98" s="1"/>
      <c r="V98" s="5">
        <f t="shared" si="55"/>
        <v>5.6763334341246904E-4</v>
      </c>
      <c r="W98" s="1"/>
      <c r="X98" s="1">
        <f t="shared" si="56"/>
        <v>172.25</v>
      </c>
      <c r="Y98" s="1"/>
      <c r="Z98" s="5">
        <f t="shared" si="57"/>
        <v>2.5083733799330128</v>
      </c>
    </row>
    <row r="99" spans="1:26" s="24" customFormat="1" hidden="1" outlineLevel="2" x14ac:dyDescent="0.25">
      <c r="A99" s="29"/>
      <c r="B99" s="11" t="str">
        <f>CONCATENATE("          ", "6294", " - ", "TRAVEL OPERATIONAL")</f>
        <v xml:space="preserve">          6294 - TRAVEL OPERATIONAL</v>
      </c>
      <c r="C99" s="11"/>
      <c r="D99" s="7">
        <v>25.76</v>
      </c>
      <c r="E99" s="2"/>
      <c r="F99" s="6">
        <f t="shared" si="50"/>
        <v>1.1299573809553053E-3</v>
      </c>
      <c r="G99" s="2"/>
      <c r="H99" s="7">
        <v>68.67</v>
      </c>
      <c r="I99" s="2"/>
      <c r="J99" s="6">
        <f t="shared" si="51"/>
        <v>9.8814527850889775E-4</v>
      </c>
      <c r="K99" s="2"/>
      <c r="L99" s="7">
        <f t="shared" si="52"/>
        <v>-42.91</v>
      </c>
      <c r="M99" s="2"/>
      <c r="N99" s="6">
        <f t="shared" si="53"/>
        <v>-0.62487257900101933</v>
      </c>
      <c r="O99" s="11"/>
      <c r="P99" s="7">
        <v>240.92</v>
      </c>
      <c r="Q99" s="2"/>
      <c r="R99" s="6">
        <f t="shared" si="54"/>
        <v>4.8497204647051581E-3</v>
      </c>
      <c r="S99" s="2"/>
      <c r="T99" s="7">
        <v>68.67</v>
      </c>
      <c r="U99" s="2"/>
      <c r="V99" s="6">
        <f t="shared" si="55"/>
        <v>5.6763334341246904E-4</v>
      </c>
      <c r="W99" s="2"/>
      <c r="X99" s="7">
        <f t="shared" si="56"/>
        <v>172.25</v>
      </c>
      <c r="Y99" s="2"/>
      <c r="Z99" s="6">
        <f t="shared" si="57"/>
        <v>2.5083733799330128</v>
      </c>
    </row>
    <row r="100" spans="1:26" s="28" customFormat="1" outlineLevel="1" collapsed="1" x14ac:dyDescent="0.25">
      <c r="A100" s="27"/>
      <c r="B100" s="14" t="str">
        <f>CONCATENATE("     ","Utilities                                         ")</f>
        <v xml:space="preserve">     Utilities                                         </v>
      </c>
      <c r="C100" s="14"/>
      <c r="D100" s="1">
        <f>SUM(OSRRefD22_16x_0)</f>
        <v>11.89</v>
      </c>
      <c r="E100" s="1"/>
      <c r="F100" s="5">
        <f t="shared" si="50"/>
        <v>5.2155253336795733E-4</v>
      </c>
      <c r="G100" s="1"/>
      <c r="H100" s="1">
        <f>SUM(OSRRefH22_16x_0)</f>
        <v>53.78</v>
      </c>
      <c r="I100" s="1"/>
      <c r="J100" s="5">
        <f t="shared" si="51"/>
        <v>7.7388165251505059E-4</v>
      </c>
      <c r="K100" s="1"/>
      <c r="L100" s="1">
        <f t="shared" si="52"/>
        <v>-41.89</v>
      </c>
      <c r="M100" s="1"/>
      <c r="N100" s="5">
        <f t="shared" si="53"/>
        <v>-0.77891409445890669</v>
      </c>
      <c r="O100" s="14"/>
      <c r="P100" s="1">
        <f>SUM(OSRRefP22_16x_0)</f>
        <v>40.35</v>
      </c>
      <c r="Q100" s="1"/>
      <c r="R100" s="5">
        <f t="shared" si="54"/>
        <v>8.1224564482339841E-4</v>
      </c>
      <c r="S100" s="1"/>
      <c r="T100" s="1">
        <f>SUM(OSRRefT22_16x_0)</f>
        <v>96.78</v>
      </c>
      <c r="U100" s="1"/>
      <c r="V100" s="5">
        <f t="shared" si="55"/>
        <v>7.9999351937467243E-4</v>
      </c>
      <c r="W100" s="1"/>
      <c r="X100" s="1">
        <f t="shared" si="56"/>
        <v>-56.43</v>
      </c>
      <c r="Y100" s="1"/>
      <c r="Z100" s="5">
        <f t="shared" si="57"/>
        <v>-0.58307501549907004</v>
      </c>
    </row>
    <row r="101" spans="1:26" s="24" customFormat="1" hidden="1" outlineLevel="2" x14ac:dyDescent="0.25">
      <c r="A101" s="29"/>
      <c r="B101" s="11" t="str">
        <f>CONCATENATE("          ", "6274", " - ", "UTILITIES")</f>
        <v xml:space="preserve">          6274 - UTILITIES</v>
      </c>
      <c r="C101" s="11"/>
      <c r="D101" s="7">
        <v>11.89</v>
      </c>
      <c r="E101" s="2"/>
      <c r="F101" s="6">
        <f t="shared" si="50"/>
        <v>5.2155253336795733E-4</v>
      </c>
      <c r="G101" s="2"/>
      <c r="H101" s="7">
        <v>53.78</v>
      </c>
      <c r="I101" s="2"/>
      <c r="J101" s="6">
        <f t="shared" si="51"/>
        <v>7.7388165251505059E-4</v>
      </c>
      <c r="K101" s="2"/>
      <c r="L101" s="7">
        <f t="shared" si="52"/>
        <v>-41.89</v>
      </c>
      <c r="M101" s="2"/>
      <c r="N101" s="6">
        <f t="shared" si="53"/>
        <v>-0.77891409445890669</v>
      </c>
      <c r="O101" s="11"/>
      <c r="P101" s="7">
        <v>40.35</v>
      </c>
      <c r="Q101" s="2"/>
      <c r="R101" s="6">
        <f t="shared" si="54"/>
        <v>8.1224564482339841E-4</v>
      </c>
      <c r="S101" s="2"/>
      <c r="T101" s="7">
        <v>96.78</v>
      </c>
      <c r="U101" s="2"/>
      <c r="V101" s="6">
        <f t="shared" si="55"/>
        <v>7.9999351937467243E-4</v>
      </c>
      <c r="W101" s="2"/>
      <c r="X101" s="7">
        <f t="shared" si="56"/>
        <v>-56.43</v>
      </c>
      <c r="Y101" s="2"/>
      <c r="Z101" s="6">
        <f t="shared" si="57"/>
        <v>-0.58307501549907004</v>
      </c>
    </row>
    <row r="102" spans="1:26" s="52" customFormat="1" x14ac:dyDescent="0.25">
      <c r="A102" s="37"/>
      <c r="B102" s="37"/>
      <c r="C102" s="37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7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x14ac:dyDescent="0.25">
      <c r="A103" s="10"/>
      <c r="B103" s="25" t="s">
        <v>0</v>
      </c>
      <c r="C103" s="10"/>
      <c r="D103" s="4">
        <f>SUM(0)</f>
        <v>0</v>
      </c>
      <c r="E103" s="4"/>
      <c r="F103" s="12">
        <f>IF(D$12=0,0,D103/D$12)</f>
        <v>0</v>
      </c>
      <c r="G103" s="4"/>
      <c r="H103" s="4">
        <f>SUM(0)</f>
        <v>0</v>
      </c>
      <c r="I103" s="4"/>
      <c r="J103" s="12">
        <f>IF(H$12=0,0,H103/H$12)</f>
        <v>0</v>
      </c>
      <c r="K103" s="4"/>
      <c r="L103" s="4">
        <f>+D103-H103</f>
        <v>0</v>
      </c>
      <c r="M103" s="4"/>
      <c r="N103" s="12">
        <f>IF(H103=0,0,L103/H103)</f>
        <v>0</v>
      </c>
      <c r="O103" s="10"/>
      <c r="P103" s="4">
        <f>SUM(0)</f>
        <v>0</v>
      </c>
      <c r="Q103" s="4"/>
      <c r="R103" s="12">
        <f>IF(P$12=0,0,P103/P$12)</f>
        <v>0</v>
      </c>
      <c r="S103" s="4"/>
      <c r="T103" s="4">
        <f>SUM(0)</f>
        <v>0</v>
      </c>
      <c r="U103" s="4"/>
      <c r="V103" s="12">
        <f>IF(T$12=0,0,T103/T$12)</f>
        <v>0</v>
      </c>
      <c r="W103" s="4"/>
      <c r="X103" s="4">
        <f>+P103-T103</f>
        <v>0</v>
      </c>
      <c r="Y103" s="4"/>
      <c r="Z103" s="12">
        <f>IF(T103=0,0,X103/T103)</f>
        <v>0</v>
      </c>
    </row>
    <row r="104" spans="1:26" x14ac:dyDescent="0.25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25">
      <c r="A105" s="10"/>
      <c r="B105" s="26" t="s">
        <v>3</v>
      </c>
      <c r="C105" s="26"/>
      <c r="D105" s="22">
        <f>+D51-D53+D103</f>
        <v>-3837.5499999999993</v>
      </c>
      <c r="E105" s="13"/>
      <c r="F105" s="21">
        <f>IF(D$12=0,0,D105/D$12)</f>
        <v>-0.16833338304677914</v>
      </c>
      <c r="G105" s="13"/>
      <c r="H105" s="22">
        <f>+H51-H53+H103</f>
        <v>2532.5400000000081</v>
      </c>
      <c r="I105" s="13"/>
      <c r="J105" s="21">
        <f>IF(H$12=0,0,H105/H$12)</f>
        <v>3.6442659729648059E-2</v>
      </c>
      <c r="K105" s="16"/>
      <c r="L105" s="22">
        <f>+D105-H105</f>
        <v>-6370.0900000000074</v>
      </c>
      <c r="M105" s="16"/>
      <c r="N105" s="21">
        <f>IF(H105=0,0,L105/H105)</f>
        <v>-2.5152968956067769</v>
      </c>
      <c r="O105" s="25"/>
      <c r="P105" s="22">
        <f>+P51-P53+P103</f>
        <v>-10399.179999999993</v>
      </c>
      <c r="Q105" s="13"/>
      <c r="R105" s="21">
        <f>IF(P$12=0,0,P105/P$12)</f>
        <v>-0.20933553072452496</v>
      </c>
      <c r="S105" s="13"/>
      <c r="T105" s="22">
        <f>+T51-T53+T103</f>
        <v>5047.0600000000341</v>
      </c>
      <c r="U105" s="13"/>
      <c r="V105" s="21">
        <f>IF(T$12=0,0,T105/T$12)</f>
        <v>4.1719521511625966E-2</v>
      </c>
      <c r="W105" s="16"/>
      <c r="X105" s="22">
        <f>+P105-T105</f>
        <v>-15446.240000000027</v>
      </c>
      <c r="Y105" s="16"/>
      <c r="Z105" s="21">
        <f>IF(T105=0,0,X105/T105)</f>
        <v>-3.0604431094538054</v>
      </c>
    </row>
    <row r="106" spans="1:26" x14ac:dyDescent="0.25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25">
      <c r="A107" s="51"/>
      <c r="B107" s="10" t="s">
        <v>13</v>
      </c>
      <c r="C107" s="10"/>
      <c r="D107" s="4">
        <v>-4708.91</v>
      </c>
      <c r="E107" s="4"/>
      <c r="F107" s="12">
        <f>IF(D$12=0,0,D107/D$12)</f>
        <v>-0.20655541967213689</v>
      </c>
      <c r="G107" s="4"/>
      <c r="H107" s="4">
        <v>4378.84</v>
      </c>
      <c r="I107" s="4"/>
      <c r="J107" s="12">
        <f>IF(H$12=0,0,H107/H$12)</f>
        <v>6.3010485966883675E-2</v>
      </c>
      <c r="K107" s="4"/>
      <c r="L107" s="4">
        <f>+D107-H107</f>
        <v>-9087.75</v>
      </c>
      <c r="M107" s="4"/>
      <c r="N107" s="12">
        <f>IF(H107=0,0,L107/H107)</f>
        <v>-2.0753784107206474</v>
      </c>
      <c r="O107" s="10"/>
      <c r="P107" s="4">
        <v>8387.32</v>
      </c>
      <c r="Q107" s="4"/>
      <c r="R107" s="12">
        <f>IF(P$12=0,0,P107/P$12)</f>
        <v>0.16883678170359817</v>
      </c>
      <c r="S107" s="4"/>
      <c r="T107" s="4">
        <v>15083.5</v>
      </c>
      <c r="U107" s="4"/>
      <c r="V107" s="12">
        <f>IF(T$12=0,0,T107/T$12)</f>
        <v>0.12468177567150104</v>
      </c>
      <c r="W107" s="4"/>
      <c r="X107" s="4">
        <f>+P107-T107</f>
        <v>-6696.18</v>
      </c>
      <c r="Y107" s="4"/>
      <c r="Z107" s="12">
        <f>IF(T107=0,0,X107/T107)</f>
        <v>-0.44394072993668582</v>
      </c>
    </row>
    <row r="108" spans="1:26" x14ac:dyDescent="0.25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.75" thickBot="1" x14ac:dyDescent="0.3">
      <c r="A109" s="10"/>
      <c r="B109" s="26" t="s">
        <v>4</v>
      </c>
      <c r="C109" s="26"/>
      <c r="D109" s="36">
        <f>+D105-D107</f>
        <v>871.36000000000058</v>
      </c>
      <c r="E109" s="13"/>
      <c r="F109" s="34">
        <f>IF(D$12=0,0,D109/D$12)</f>
        <v>3.8222036625357746E-2</v>
      </c>
      <c r="G109" s="13"/>
      <c r="H109" s="36">
        <f>+H105-H107</f>
        <v>-1846.299999999992</v>
      </c>
      <c r="I109" s="13"/>
      <c r="J109" s="34">
        <f>IF(H$12=0,0,H109/H$12)</f>
        <v>-2.6567826237235623E-2</v>
      </c>
      <c r="K109" s="16"/>
      <c r="L109" s="36">
        <f>D109-H109</f>
        <v>2717.6599999999926</v>
      </c>
      <c r="M109" s="16"/>
      <c r="N109" s="34">
        <f>IF(H109=0,0,L109/H109)</f>
        <v>-1.4719493040134346</v>
      </c>
      <c r="O109" s="25"/>
      <c r="P109" s="36">
        <f>+P105-P107</f>
        <v>-18786.499999999993</v>
      </c>
      <c r="Q109" s="13"/>
      <c r="R109" s="34">
        <f>IF(P$12=0,0,P109/P$12)</f>
        <v>-0.3781723124281231</v>
      </c>
      <c r="S109" s="13"/>
      <c r="T109" s="36">
        <f>+T105-T107</f>
        <v>-10036.439999999966</v>
      </c>
      <c r="U109" s="13"/>
      <c r="V109" s="34">
        <f>IF(T$12=0,0,T109/T$12)</f>
        <v>-8.2962254159875071E-2</v>
      </c>
      <c r="W109" s="16"/>
      <c r="X109" s="36">
        <f>P109-T109</f>
        <v>-8750.0600000000268</v>
      </c>
      <c r="Y109" s="16"/>
      <c r="Z109" s="34">
        <f>IF(T109=0,0,X109/T109)</f>
        <v>0.87182905492386309</v>
      </c>
    </row>
    <row r="110" spans="1:26" ht="15.75" thickTop="1" x14ac:dyDescent="0.25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25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.75" thickBot="1" x14ac:dyDescent="0.3">
      <c r="A112" s="10"/>
      <c r="B112" s="26" t="s">
        <v>5</v>
      </c>
      <c r="C112" s="26"/>
      <c r="D112" s="30">
        <f>SUM(D109:D111)</f>
        <v>871.36000000000058</v>
      </c>
      <c r="E112" s="13"/>
      <c r="F112" s="31">
        <f>IF(D$12=0,0,D112/D$12)</f>
        <v>3.8222036625357746E-2</v>
      </c>
      <c r="G112" s="13"/>
      <c r="H112" s="30">
        <f>SUM(H109:H111)</f>
        <v>-1846.299999999992</v>
      </c>
      <c r="I112" s="13"/>
      <c r="J112" s="31">
        <f>IF(H$12=0,0,H112/H$12)</f>
        <v>-2.6567826237235623E-2</v>
      </c>
      <c r="K112" s="16"/>
      <c r="L112" s="30">
        <f>+D112-H112</f>
        <v>2717.6599999999926</v>
      </c>
      <c r="M112" s="16"/>
      <c r="N112" s="31">
        <f>IF(H112=0,0,L112/H112)</f>
        <v>-1.4719493040134346</v>
      </c>
      <c r="O112" s="25"/>
      <c r="P112" s="30">
        <f>SUM(P109:P111)</f>
        <v>-18786.499999999993</v>
      </c>
      <c r="Q112" s="13"/>
      <c r="R112" s="31">
        <f>IF(P$12=0,0,P112/P$12)</f>
        <v>-0.3781723124281231</v>
      </c>
      <c r="S112" s="13"/>
      <c r="T112" s="30">
        <f>SUM(T109:T111)</f>
        <v>-10036.439999999966</v>
      </c>
      <c r="U112" s="13"/>
      <c r="V112" s="31">
        <f>IF(T$12=0,0,T112/T$12)</f>
        <v>-8.2962254159875071E-2</v>
      </c>
      <c r="W112" s="16"/>
      <c r="X112" s="30">
        <f>+P112-T112</f>
        <v>-8750.0600000000268</v>
      </c>
      <c r="Y112" s="16"/>
      <c r="Z112" s="31">
        <f>IF(T112=0,0,X112/T112)</f>
        <v>0.87182905492386309</v>
      </c>
    </row>
    <row r="113" spans="1:24" ht="15.75" thickTop="1" x14ac:dyDescent="0.25">
      <c r="A113" s="9"/>
      <c r="C113" s="9"/>
      <c r="D113" s="18"/>
      <c r="E113" s="18"/>
      <c r="G113" s="18"/>
      <c r="H113" s="18"/>
      <c r="I113" s="18"/>
      <c r="J113" s="43"/>
      <c r="K113" s="18"/>
      <c r="L113" s="18"/>
      <c r="M113" s="18"/>
      <c r="P113" s="18"/>
      <c r="Q113" s="18"/>
      <c r="R113" s="43"/>
      <c r="S113" s="18"/>
      <c r="T113" s="18"/>
      <c r="U113" s="18"/>
      <c r="V113" s="43"/>
      <c r="W113" s="18"/>
      <c r="X113" s="18"/>
    </row>
    <row r="114" spans="1:24" x14ac:dyDescent="0.25">
      <c r="A114" s="9"/>
      <c r="B114" s="61">
        <v>44113.696462731481</v>
      </c>
      <c r="D114" s="18"/>
      <c r="E114" s="18"/>
      <c r="G114" s="18"/>
      <c r="H114" s="18"/>
      <c r="I114" s="18"/>
      <c r="J114" s="43"/>
      <c r="K114" s="18"/>
      <c r="L114" s="18"/>
      <c r="M114" s="18"/>
      <c r="P114" s="18"/>
      <c r="Q114" s="18"/>
      <c r="R114" s="43"/>
      <c r="S114" s="18"/>
      <c r="T114" s="18"/>
      <c r="U114" s="18"/>
      <c r="V114" s="43"/>
      <c r="W114" s="18"/>
      <c r="X114" s="18"/>
    </row>
    <row r="115" spans="1:24" x14ac:dyDescent="0.25">
      <c r="A115" s="9"/>
      <c r="B115" s="56" t="s">
        <v>313</v>
      </c>
      <c r="D115" s="18"/>
      <c r="E115" s="18"/>
      <c r="G115" s="18"/>
      <c r="H115" s="18"/>
      <c r="I115" s="18"/>
      <c r="J115" s="43"/>
      <c r="K115" s="18"/>
      <c r="L115" s="18"/>
      <c r="M115" s="18"/>
      <c r="P115" s="18"/>
      <c r="Q115" s="18"/>
      <c r="R115" s="43"/>
      <c r="S115" s="18"/>
      <c r="T115" s="18"/>
      <c r="U115" s="18"/>
      <c r="V115" s="43"/>
      <c r="W115" s="18"/>
      <c r="X115" s="18"/>
    </row>
    <row r="116" spans="1:24" x14ac:dyDescent="0.25">
      <c r="A116" s="9"/>
      <c r="B116" s="58"/>
      <c r="D116" s="18"/>
      <c r="E116" s="18"/>
      <c r="G116" s="18"/>
      <c r="H116" s="18"/>
      <c r="I116" s="18"/>
      <c r="J116" s="43"/>
      <c r="K116" s="18"/>
      <c r="L116" s="18"/>
      <c r="M116" s="18"/>
      <c r="P116" s="18"/>
      <c r="Q116" s="18"/>
      <c r="R116" s="43"/>
      <c r="S116" s="18"/>
      <c r="T116" s="18"/>
      <c r="U116" s="18"/>
      <c r="V116" s="43"/>
      <c r="W116" s="18"/>
      <c r="X116" s="18"/>
    </row>
    <row r="117" spans="1:24" x14ac:dyDescent="0.25">
      <c r="D117" s="18"/>
      <c r="E117" s="18"/>
      <c r="G117" s="18"/>
      <c r="H117" s="18"/>
      <c r="I117" s="18"/>
      <c r="J117" s="43"/>
      <c r="K117" s="18"/>
      <c r="L117" s="18"/>
      <c r="M117" s="18"/>
      <c r="P117" s="18"/>
      <c r="Q117" s="18"/>
      <c r="R117" s="43"/>
      <c r="S117" s="18"/>
      <c r="T117" s="18"/>
      <c r="U117" s="18"/>
      <c r="V117" s="43"/>
      <c r="W117" s="18"/>
      <c r="X117" s="18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9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303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47524.27</v>
      </c>
      <c r="E12" s="4"/>
      <c r="F12" s="12"/>
      <c r="G12" s="4"/>
      <c r="H12" s="4">
        <f>SUM(OSRRefH13x_0)</f>
        <v>97366.560000000027</v>
      </c>
      <c r="I12" s="4"/>
      <c r="J12" s="12"/>
      <c r="K12" s="4"/>
      <c r="L12" s="4">
        <f t="shared" ref="L12:L27" si="0">+D12-H12</f>
        <v>-49842.29000000003</v>
      </c>
      <c r="M12" s="4"/>
      <c r="N12" s="12">
        <f t="shared" ref="N12:N27" si="1">IF(H12=0,0,L12/H12)</f>
        <v>-0.51190357346505844</v>
      </c>
      <c r="O12" s="10"/>
      <c r="P12" s="4">
        <f>SUM(OSRRefP13x_0)</f>
        <v>52372.140000000007</v>
      </c>
      <c r="Q12" s="4"/>
      <c r="R12" s="12"/>
      <c r="S12" s="4"/>
      <c r="T12" s="4">
        <f>SUM(OSRRefT13x_0)</f>
        <v>106275.65000000001</v>
      </c>
      <c r="U12" s="4"/>
      <c r="V12" s="12"/>
      <c r="W12" s="4"/>
      <c r="X12" s="4">
        <f t="shared" ref="X12:X27" si="2">+P12-T12</f>
        <v>-53903.51</v>
      </c>
      <c r="Y12" s="4"/>
      <c r="Z12" s="12">
        <f t="shared" ref="Z12:Z27" si="3">IF(T12=0,0,X12/T12)</f>
        <v>-0.50720470775760951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-7.3</f>
        <v>-7.3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-7.3</v>
      </c>
      <c r="M13" s="2"/>
      <c r="N13" s="19">
        <f t="shared" si="1"/>
        <v>0</v>
      </c>
      <c r="O13" s="11"/>
      <c r="P13" s="2">
        <f>-7.3</f>
        <v>-7.3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-7.3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--42350.45</f>
        <v>42350.45</v>
      </c>
      <c r="E14" s="2"/>
      <c r="F14" s="19"/>
      <c r="G14" s="2"/>
      <c r="H14" s="2">
        <f>--73904.1</f>
        <v>73904.100000000006</v>
      </c>
      <c r="I14" s="2"/>
      <c r="J14" s="19"/>
      <c r="K14" s="2"/>
      <c r="L14" s="2">
        <f t="shared" si="0"/>
        <v>-31553.650000000009</v>
      </c>
      <c r="M14" s="2"/>
      <c r="N14" s="19">
        <f t="shared" si="1"/>
        <v>-0.4269539849615922</v>
      </c>
      <c r="O14" s="11"/>
      <c r="P14" s="2">
        <f>--43436.05</f>
        <v>43436.05</v>
      </c>
      <c r="Q14" s="2"/>
      <c r="R14" s="19"/>
      <c r="S14" s="2"/>
      <c r="T14" s="2">
        <f>--74367.8</f>
        <v>74367.8</v>
      </c>
      <c r="U14" s="2"/>
      <c r="V14" s="19"/>
      <c r="W14" s="2"/>
      <c r="X14" s="2">
        <f t="shared" si="2"/>
        <v>-30931.75</v>
      </c>
      <c r="Y14" s="2"/>
      <c r="Z14" s="19">
        <f t="shared" si="3"/>
        <v>-0.41592934038656515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--5206.35</f>
        <v>5206.3500000000004</v>
      </c>
      <c r="E15" s="2"/>
      <c r="F15" s="19"/>
      <c r="G15" s="2"/>
      <c r="H15" s="2">
        <f>--8017.07</f>
        <v>8017.07</v>
      </c>
      <c r="I15" s="2"/>
      <c r="J15" s="19"/>
      <c r="K15" s="2"/>
      <c r="L15" s="2">
        <f t="shared" si="0"/>
        <v>-2810.7199999999993</v>
      </c>
      <c r="M15" s="2"/>
      <c r="N15" s="19">
        <f t="shared" si="1"/>
        <v>-0.3505919244811383</v>
      </c>
      <c r="O15" s="11"/>
      <c r="P15" s="2">
        <f>--8956.87</f>
        <v>8956.8700000000008</v>
      </c>
      <c r="Q15" s="2"/>
      <c r="R15" s="19"/>
      <c r="S15" s="2"/>
      <c r="T15" s="2">
        <f>--12076.99</f>
        <v>12076.99</v>
      </c>
      <c r="U15" s="2"/>
      <c r="V15" s="19"/>
      <c r="W15" s="2"/>
      <c r="X15" s="2">
        <f t="shared" si="2"/>
        <v>-3120.119999999999</v>
      </c>
      <c r="Y15" s="2"/>
      <c r="Z15" s="19">
        <f t="shared" si="3"/>
        <v>-0.25835245371570226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--4.99</f>
        <v>4.99</v>
      </c>
      <c r="E16" s="2"/>
      <c r="F16" s="19"/>
      <c r="G16" s="2"/>
      <c r="H16" s="2">
        <f>--61.71</f>
        <v>61.71</v>
      </c>
      <c r="I16" s="2"/>
      <c r="J16" s="19"/>
      <c r="K16" s="2"/>
      <c r="L16" s="2">
        <f t="shared" si="0"/>
        <v>-56.72</v>
      </c>
      <c r="M16" s="2"/>
      <c r="N16" s="19">
        <f t="shared" si="1"/>
        <v>-0.91913790309512233</v>
      </c>
      <c r="O16" s="11"/>
      <c r="P16" s="2">
        <f>--4.99</f>
        <v>4.99</v>
      </c>
      <c r="Q16" s="2"/>
      <c r="R16" s="19"/>
      <c r="S16" s="2"/>
      <c r="T16" s="2">
        <f>--77.26</f>
        <v>77.260000000000005</v>
      </c>
      <c r="U16" s="2"/>
      <c r="V16" s="19"/>
      <c r="W16" s="2"/>
      <c r="X16" s="2">
        <f t="shared" si="2"/>
        <v>-72.27000000000001</v>
      </c>
      <c r="Y16" s="2"/>
      <c r="Z16" s="19">
        <f t="shared" si="3"/>
        <v>-0.93541289153507645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 t="shared" ref="D17:D19" si="4">0</f>
        <v>0</v>
      </c>
      <c r="E17" s="2"/>
      <c r="F17" s="19"/>
      <c r="G17" s="2"/>
      <c r="H17" s="2">
        <f>--442.38</f>
        <v>442.38</v>
      </c>
      <c r="I17" s="2"/>
      <c r="J17" s="19"/>
      <c r="K17" s="2"/>
      <c r="L17" s="2">
        <f t="shared" si="0"/>
        <v>-442.38</v>
      </c>
      <c r="M17" s="2"/>
      <c r="N17" s="19">
        <f t="shared" si="1"/>
        <v>-1</v>
      </c>
      <c r="O17" s="11"/>
      <c r="P17" s="2">
        <f t="shared" ref="P17:P19" si="5">0</f>
        <v>0</v>
      </c>
      <c r="Q17" s="2"/>
      <c r="R17" s="19"/>
      <c r="S17" s="2"/>
      <c r="T17" s="2">
        <f>--482.38</f>
        <v>482.38</v>
      </c>
      <c r="U17" s="2"/>
      <c r="V17" s="19"/>
      <c r="W17" s="2"/>
      <c r="X17" s="2">
        <f t="shared" si="2"/>
        <v>-482.38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"4092", " - ", "TAXABLE SALES-GRAD MERCH")</f>
        <v xml:space="preserve">          4092 - TAXABLE SALES-GRAD MERCH</v>
      </c>
      <c r="C18" s="11"/>
      <c r="D18" s="2">
        <f t="shared" si="4"/>
        <v>0</v>
      </c>
      <c r="E18" s="2"/>
      <c r="F18" s="19"/>
      <c r="G18" s="2"/>
      <c r="H18" s="2">
        <f>--1734.05</f>
        <v>1734.05</v>
      </c>
      <c r="I18" s="2"/>
      <c r="J18" s="19"/>
      <c r="K18" s="2"/>
      <c r="L18" s="2">
        <f t="shared" si="0"/>
        <v>-1734.05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--3862.68</f>
        <v>3862.68</v>
      </c>
      <c r="U18" s="2"/>
      <c r="V18" s="19"/>
      <c r="W18" s="2"/>
      <c r="X18" s="2">
        <f t="shared" si="2"/>
        <v>-3862.68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"4095", " - ", "TAXABLE SALES-CUSTOMER SERVICE")</f>
        <v xml:space="preserve">          4095 - TAXABLE SALES-CUSTOMER SERVICE</v>
      </c>
      <c r="C19" s="11"/>
      <c r="D19" s="2">
        <f t="shared" si="4"/>
        <v>0</v>
      </c>
      <c r="E19" s="2"/>
      <c r="F19" s="19"/>
      <c r="G19" s="2"/>
      <c r="H19" s="2">
        <f>--121.55</f>
        <v>121.55</v>
      </c>
      <c r="I19" s="2"/>
      <c r="J19" s="19"/>
      <c r="K19" s="2"/>
      <c r="L19" s="2">
        <f t="shared" si="0"/>
        <v>-121.55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--157.19</f>
        <v>157.19</v>
      </c>
      <c r="U19" s="2"/>
      <c r="V19" s="19"/>
      <c r="W19" s="2"/>
      <c r="X19" s="2">
        <f t="shared" si="2"/>
        <v>-157.19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"4141", " - ", "NON-TAXABLE SALES-LOGO GIFTS")</f>
        <v xml:space="preserve">          4141 - NON-TAXABLE SALES-LOGO GIFTS</v>
      </c>
      <c r="C20" s="11"/>
      <c r="D20" s="2">
        <f>--446.75</f>
        <v>446.75</v>
      </c>
      <c r="E20" s="2"/>
      <c r="F20" s="19"/>
      <c r="G20" s="2"/>
      <c r="H20" s="2">
        <f>--169.45</f>
        <v>169.45</v>
      </c>
      <c r="I20" s="2"/>
      <c r="J20" s="19"/>
      <c r="K20" s="2"/>
      <c r="L20" s="2">
        <f t="shared" si="0"/>
        <v>277.3</v>
      </c>
      <c r="M20" s="2"/>
      <c r="N20" s="19">
        <f t="shared" si="1"/>
        <v>1.636470935379168</v>
      </c>
      <c r="O20" s="11"/>
      <c r="P20" s="2">
        <f>--457.5</f>
        <v>457.5</v>
      </c>
      <c r="Q20" s="2"/>
      <c r="R20" s="19"/>
      <c r="S20" s="2"/>
      <c r="T20" s="2">
        <f>--177.4</f>
        <v>177.4</v>
      </c>
      <c r="U20" s="2"/>
      <c r="V20" s="19"/>
      <c r="W20" s="2"/>
      <c r="X20" s="2">
        <f t="shared" si="2"/>
        <v>280.10000000000002</v>
      </c>
      <c r="Y20" s="2"/>
      <c r="Z20" s="19">
        <f t="shared" si="3"/>
        <v>1.5789177001127397</v>
      </c>
    </row>
    <row r="21" spans="1:26" s="24" customFormat="1" hidden="1" outlineLevel="1" x14ac:dyDescent="0.25">
      <c r="A21" s="44"/>
      <c r="B21" s="11" t="str">
        <f>CONCATENATE("          ", "4142", " - ", "NON-TAXABLE SALES-EVERYDAY GIF")</f>
        <v xml:space="preserve">          4142 - NON-TAXABLE SALES-EVERYDAY GIF</v>
      </c>
      <c r="C21" s="11"/>
      <c r="D21" s="2">
        <f>--5.98</f>
        <v>5.98</v>
      </c>
      <c r="E21" s="2"/>
      <c r="F21" s="19"/>
      <c r="G21" s="2"/>
      <c r="H21" s="2">
        <f>--401</f>
        <v>401</v>
      </c>
      <c r="I21" s="2"/>
      <c r="J21" s="19"/>
      <c r="K21" s="2"/>
      <c r="L21" s="2">
        <f t="shared" si="0"/>
        <v>-395.02</v>
      </c>
      <c r="M21" s="2"/>
      <c r="N21" s="19">
        <f t="shared" si="1"/>
        <v>-0.98508728179551119</v>
      </c>
      <c r="O21" s="11"/>
      <c r="P21" s="2">
        <f>--5.98</f>
        <v>5.98</v>
      </c>
      <c r="Q21" s="2"/>
      <c r="R21" s="19"/>
      <c r="S21" s="2"/>
      <c r="T21" s="2">
        <f>--512</f>
        <v>512</v>
      </c>
      <c r="U21" s="2"/>
      <c r="V21" s="19"/>
      <c r="W21" s="2"/>
      <c r="X21" s="2">
        <f t="shared" si="2"/>
        <v>-506.02</v>
      </c>
      <c r="Y21" s="2"/>
      <c r="Z21" s="19">
        <f t="shared" si="3"/>
        <v>-0.98832031249999996</v>
      </c>
    </row>
    <row r="22" spans="1:26" s="24" customFormat="1" hidden="1" outlineLevel="1" x14ac:dyDescent="0.25">
      <c r="A22" s="44"/>
      <c r="B22" s="11" t="str">
        <f>CONCATENATE("          ", "4146", " - ", "NON-TAXABLE SALES-COIN OP MACH")</f>
        <v xml:space="preserve">          4146 - NON-TAXABLE SALES-COIN OP MACH</v>
      </c>
      <c r="C22" s="11"/>
      <c r="D22" s="2">
        <f>--15.5</f>
        <v>15.5</v>
      </c>
      <c r="E22" s="2"/>
      <c r="F22" s="19"/>
      <c r="G22" s="2"/>
      <c r="H22" s="2">
        <f>--13281.65</f>
        <v>13281.65</v>
      </c>
      <c r="I22" s="2"/>
      <c r="J22" s="19"/>
      <c r="K22" s="2"/>
      <c r="L22" s="2">
        <f t="shared" si="0"/>
        <v>-13266.15</v>
      </c>
      <c r="M22" s="2"/>
      <c r="N22" s="19">
        <f t="shared" si="1"/>
        <v>-0.99883297632447776</v>
      </c>
      <c r="O22" s="11"/>
      <c r="P22" s="2">
        <f>--15.5</f>
        <v>15.5</v>
      </c>
      <c r="Q22" s="2"/>
      <c r="R22" s="19"/>
      <c r="S22" s="2"/>
      <c r="T22" s="2">
        <f>--15348.75</f>
        <v>15348.75</v>
      </c>
      <c r="U22" s="2"/>
      <c r="V22" s="19"/>
      <c r="W22" s="2"/>
      <c r="X22" s="2">
        <f t="shared" si="2"/>
        <v>-15333.25</v>
      </c>
      <c r="Y22" s="2"/>
      <c r="Z22" s="19">
        <f t="shared" si="3"/>
        <v>-0.99899014577734346</v>
      </c>
    </row>
    <row r="23" spans="1:26" s="24" customFormat="1" hidden="1" outlineLevel="1" x14ac:dyDescent="0.25">
      <c r="A23" s="44"/>
      <c r="B23" s="11" t="str">
        <f>CONCATENATE("          ", "4147", " - ", "NON-TAXABLE SALES-MISC")</f>
        <v xml:space="preserve">          4147 - NON-TAXABLE SALES-MISC</v>
      </c>
      <c r="C23" s="11"/>
      <c r="D23" s="2">
        <f>--23</f>
        <v>23</v>
      </c>
      <c r="E23" s="2"/>
      <c r="F23" s="19"/>
      <c r="G23" s="2"/>
      <c r="H23" s="2">
        <f>--53.9</f>
        <v>53.9</v>
      </c>
      <c r="I23" s="2"/>
      <c r="J23" s="19"/>
      <c r="K23" s="2"/>
      <c r="L23" s="2">
        <f t="shared" si="0"/>
        <v>-30.9</v>
      </c>
      <c r="M23" s="2"/>
      <c r="N23" s="19">
        <f t="shared" si="1"/>
        <v>-0.57328385899814471</v>
      </c>
      <c r="O23" s="11"/>
      <c r="P23" s="2">
        <f>--24</f>
        <v>24</v>
      </c>
      <c r="Q23" s="2"/>
      <c r="R23" s="19"/>
      <c r="S23" s="2"/>
      <c r="T23" s="2">
        <f>--70.4</f>
        <v>70.400000000000006</v>
      </c>
      <c r="U23" s="2"/>
      <c r="V23" s="19"/>
      <c r="W23" s="2"/>
      <c r="X23" s="2">
        <f t="shared" si="2"/>
        <v>-46.400000000000006</v>
      </c>
      <c r="Y23" s="2"/>
      <c r="Z23" s="19">
        <f t="shared" si="3"/>
        <v>-0.65909090909090917</v>
      </c>
    </row>
    <row r="24" spans="1:26" s="24" customFormat="1" hidden="1" outlineLevel="1" x14ac:dyDescent="0.25">
      <c r="A24" s="44"/>
      <c r="B24" s="11" t="str">
        <f>CONCATENATE("          ", "4241", " - ", "SALES RETURN TAXABLE-LOGO GIFT")</f>
        <v xml:space="preserve">          4241 - SALES RETURN TAXABLE-LOGO GIFT</v>
      </c>
      <c r="C24" s="11"/>
      <c r="D24" s="2">
        <f>-521.45</f>
        <v>-521.45000000000005</v>
      </c>
      <c r="E24" s="2"/>
      <c r="F24" s="19"/>
      <c r="G24" s="2"/>
      <c r="H24" s="2">
        <f>-452.95</f>
        <v>-452.95</v>
      </c>
      <c r="I24" s="2"/>
      <c r="J24" s="19"/>
      <c r="K24" s="2"/>
      <c r="L24" s="2">
        <f t="shared" si="0"/>
        <v>-68.500000000000057</v>
      </c>
      <c r="M24" s="2"/>
      <c r="N24" s="19">
        <f t="shared" si="1"/>
        <v>0.1512308201788278</v>
      </c>
      <c r="O24" s="11"/>
      <c r="P24" s="2">
        <f>-521.45</f>
        <v>-521.45000000000005</v>
      </c>
      <c r="Q24" s="2"/>
      <c r="R24" s="19"/>
      <c r="S24" s="2"/>
      <c r="T24" s="2">
        <f>-463.7</f>
        <v>-463.7</v>
      </c>
      <c r="U24" s="2"/>
      <c r="V24" s="19"/>
      <c r="W24" s="2"/>
      <c r="X24" s="2">
        <f t="shared" si="2"/>
        <v>-57.750000000000057</v>
      </c>
      <c r="Y24" s="2"/>
      <c r="Z24" s="19">
        <f t="shared" si="3"/>
        <v>0.12454172956653022</v>
      </c>
    </row>
    <row r="25" spans="1:26" s="24" customFormat="1" hidden="1" outlineLevel="1" x14ac:dyDescent="0.25">
      <c r="A25" s="44"/>
      <c r="B25" s="11" t="str">
        <f>CONCATENATE("          ", "4242", " - ", "SALES RETURN TAXABLE-EVERYDAY")</f>
        <v xml:space="preserve">          4242 - SALES RETURN TAXABLE-EVERYDAY</v>
      </c>
      <c r="C25" s="11"/>
      <c r="D25" s="2">
        <f t="shared" ref="D25:D27" si="6"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7" si="7">0</f>
        <v>0</v>
      </c>
      <c r="Q25" s="2"/>
      <c r="R25" s="19"/>
      <c r="S25" s="2"/>
      <c r="T25" s="2">
        <f>-16.2</f>
        <v>-16.2</v>
      </c>
      <c r="U25" s="2"/>
      <c r="V25" s="19"/>
      <c r="W25" s="2"/>
      <c r="X25" s="2">
        <f t="shared" si="2"/>
        <v>16.2</v>
      </c>
      <c r="Y25" s="2"/>
      <c r="Z25" s="19">
        <f t="shared" si="3"/>
        <v>-1</v>
      </c>
    </row>
    <row r="26" spans="1:26" s="24" customFormat="1" hidden="1" outlineLevel="1" x14ac:dyDescent="0.25">
      <c r="A26" s="44"/>
      <c r="B26" s="11" t="str">
        <f>CONCATENATE("          ", "4292", " - ", "SALES RETURN TAXABLE-GRAD MERC")</f>
        <v xml:space="preserve">          4292 - SALES RETURN TAXABLE-GRAD MERC</v>
      </c>
      <c r="C26" s="11"/>
      <c r="D26" s="2">
        <f t="shared" si="6"/>
        <v>0</v>
      </c>
      <c r="E26" s="2"/>
      <c r="F26" s="19"/>
      <c r="G26" s="2"/>
      <c r="H26" s="2">
        <f>-359.2</f>
        <v>-359.2</v>
      </c>
      <c r="I26" s="2"/>
      <c r="J26" s="19"/>
      <c r="K26" s="2"/>
      <c r="L26" s="2">
        <f t="shared" si="0"/>
        <v>359.2</v>
      </c>
      <c r="M26" s="2"/>
      <c r="N26" s="19">
        <f t="shared" si="1"/>
        <v>-1</v>
      </c>
      <c r="O26" s="11"/>
      <c r="P26" s="2">
        <f t="shared" si="7"/>
        <v>0</v>
      </c>
      <c r="Q26" s="2"/>
      <c r="R26" s="19"/>
      <c r="S26" s="2"/>
      <c r="T26" s="2">
        <f>-369.15</f>
        <v>-369.15</v>
      </c>
      <c r="U26" s="2"/>
      <c r="V26" s="19"/>
      <c r="W26" s="2"/>
      <c r="X26" s="2">
        <f t="shared" si="2"/>
        <v>369.15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"4346", " - ", "SALES RETURN NON TAXABLE-COIN-")</f>
        <v xml:space="preserve">          4346 - SALES RETURN NON TAXABLE-COIN-</v>
      </c>
      <c r="C27" s="11"/>
      <c r="D27" s="2">
        <f t="shared" si="6"/>
        <v>0</v>
      </c>
      <c r="E27" s="2"/>
      <c r="F27" s="19"/>
      <c r="G27" s="2"/>
      <c r="H27" s="2">
        <f>-8.15</f>
        <v>-8.15</v>
      </c>
      <c r="I27" s="2"/>
      <c r="J27" s="19"/>
      <c r="K27" s="2"/>
      <c r="L27" s="2">
        <f t="shared" si="0"/>
        <v>8.15</v>
      </c>
      <c r="M27" s="2"/>
      <c r="N27" s="19">
        <f t="shared" si="1"/>
        <v>-1</v>
      </c>
      <c r="O27" s="11"/>
      <c r="P27" s="2">
        <f t="shared" si="7"/>
        <v>0</v>
      </c>
      <c r="Q27" s="2"/>
      <c r="R27" s="19"/>
      <c r="S27" s="2"/>
      <c r="T27" s="2">
        <f>-8.15</f>
        <v>-8.15</v>
      </c>
      <c r="U27" s="2"/>
      <c r="V27" s="19"/>
      <c r="W27" s="2"/>
      <c r="X27" s="2">
        <f t="shared" si="2"/>
        <v>8.15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5" t="s">
        <v>8</v>
      </c>
      <c r="C29" s="10"/>
      <c r="D29" s="4">
        <f>SUM(OSRRefD16x_0)</f>
        <v>0</v>
      </c>
      <c r="E29" s="4"/>
      <c r="F29" s="12">
        <f t="shared" ref="F29:F34" si="8">IF(D$12=0,0,D29/D$12)</f>
        <v>0</v>
      </c>
      <c r="G29" s="4"/>
      <c r="H29" s="4">
        <f>SUM(OSRRefH16x_0)</f>
        <v>820.97</v>
      </c>
      <c r="I29" s="4"/>
      <c r="J29" s="12">
        <f t="shared" ref="J29:J34" si="9">IF(H$12=0,0,H29/H$12)</f>
        <v>8.4317449440547126E-3</v>
      </c>
      <c r="K29" s="4"/>
      <c r="L29" s="4">
        <f t="shared" ref="L29:L34" si="10">+D29-H29</f>
        <v>-820.97</v>
      </c>
      <c r="M29" s="4"/>
      <c r="N29" s="12">
        <f t="shared" ref="N29:N34" si="11">IF(H29=0,0,L29/H29)</f>
        <v>-1</v>
      </c>
      <c r="O29" s="10"/>
      <c r="P29" s="4">
        <f>SUM(OSRRefP16x_0)</f>
        <v>0</v>
      </c>
      <c r="Q29" s="4"/>
      <c r="R29" s="12">
        <f t="shared" ref="R29:R34" si="12">IF(P$12=0,0,P29/P$12)</f>
        <v>0</v>
      </c>
      <c r="S29" s="4"/>
      <c r="T29" s="4">
        <f>SUM(OSRRefT16x_0)</f>
        <v>1865.4199999999998</v>
      </c>
      <c r="U29" s="4"/>
      <c r="V29" s="12">
        <f t="shared" ref="V29:V34" si="13">IF(T$12=0,0,T29/T$12)</f>
        <v>1.7552656699817877E-2</v>
      </c>
      <c r="W29" s="4"/>
      <c r="X29" s="4">
        <f t="shared" ref="X29:X34" si="14">+P29-T29</f>
        <v>-1865.4199999999998</v>
      </c>
      <c r="Y29" s="4"/>
      <c r="Z29" s="12">
        <f t="shared" ref="Z29:Z34" si="15">IF(T29=0,0,X29/T29)</f>
        <v>-1</v>
      </c>
    </row>
    <row r="30" spans="1:26" s="24" customFormat="1" hidden="1" outlineLevel="1" x14ac:dyDescent="0.25">
      <c r="A30" s="44"/>
      <c r="B30" s="11" t="str">
        <f>CONCATENATE("          ", "5092", " - ", "PURCHASES @ COST-GRAD MERCH")</f>
        <v xml:space="preserve">          5092 - PURCHASES @ COST-GRAD MERCH</v>
      </c>
      <c r="C30" s="11"/>
      <c r="D30" s="2"/>
      <c r="E30" s="2"/>
      <c r="F30" s="19">
        <f t="shared" si="8"/>
        <v>0</v>
      </c>
      <c r="G30" s="2"/>
      <c r="H30" s="2">
        <v>-600.6</v>
      </c>
      <c r="I30" s="2"/>
      <c r="J30" s="19">
        <f t="shared" si="9"/>
        <v>-6.1684422249281461E-3</v>
      </c>
      <c r="K30" s="2"/>
      <c r="L30" s="2">
        <f t="shared" si="10"/>
        <v>600.6</v>
      </c>
      <c r="M30" s="2"/>
      <c r="N30" s="19">
        <f t="shared" si="11"/>
        <v>-1</v>
      </c>
      <c r="O30" s="11"/>
      <c r="P30" s="2"/>
      <c r="Q30" s="2"/>
      <c r="R30" s="19">
        <f t="shared" si="12"/>
        <v>0</v>
      </c>
      <c r="S30" s="2"/>
      <c r="T30" s="2">
        <v>628</v>
      </c>
      <c r="U30" s="2"/>
      <c r="V30" s="19">
        <f t="shared" si="13"/>
        <v>5.9091616941416023E-3</v>
      </c>
      <c r="W30" s="2"/>
      <c r="X30" s="2">
        <f t="shared" si="14"/>
        <v>-628</v>
      </c>
      <c r="Y30" s="2"/>
      <c r="Z30" s="19">
        <f t="shared" si="15"/>
        <v>-1</v>
      </c>
    </row>
    <row r="31" spans="1:26" s="24" customFormat="1" hidden="1" outlineLevel="1" x14ac:dyDescent="0.25">
      <c r="A31" s="44"/>
      <c r="B31" s="11" t="str">
        <f>CONCATENATE("          ", "5095", " - ", "PURCHASES @ COST-CUSTOMER SERV")</f>
        <v xml:space="preserve">          5095 - PURCHASES @ COST-CUSTOMER SERV</v>
      </c>
      <c r="C31" s="11"/>
      <c r="D31" s="2"/>
      <c r="E31" s="2"/>
      <c r="F31" s="19">
        <f t="shared" si="8"/>
        <v>0</v>
      </c>
      <c r="G31" s="2"/>
      <c r="H31" s="2"/>
      <c r="I31" s="2"/>
      <c r="J31" s="19">
        <f t="shared" si="9"/>
        <v>0</v>
      </c>
      <c r="K31" s="2"/>
      <c r="L31" s="2">
        <f t="shared" si="10"/>
        <v>0</v>
      </c>
      <c r="M31" s="2"/>
      <c r="N31" s="19">
        <f t="shared" si="11"/>
        <v>0</v>
      </c>
      <c r="O31" s="11"/>
      <c r="P31" s="2"/>
      <c r="Q31" s="2"/>
      <c r="R31" s="19">
        <f t="shared" si="12"/>
        <v>0</v>
      </c>
      <c r="S31" s="2"/>
      <c r="T31" s="2">
        <v>11.85</v>
      </c>
      <c r="U31" s="2"/>
      <c r="V31" s="19">
        <f t="shared" si="13"/>
        <v>1.1150249375092035E-4</v>
      </c>
      <c r="W31" s="2"/>
      <c r="X31" s="2">
        <f t="shared" si="14"/>
        <v>-11.85</v>
      </c>
      <c r="Y31" s="2"/>
      <c r="Z31" s="19">
        <f t="shared" si="15"/>
        <v>-1</v>
      </c>
    </row>
    <row r="32" spans="1:26" s="24" customFormat="1" hidden="1" outlineLevel="1" x14ac:dyDescent="0.25">
      <c r="A32" s="44"/>
      <c r="B32" s="11" t="str">
        <f>CONCATENATE("          ", "5200", " - ", "PURCHASES OFFSET")</f>
        <v xml:space="preserve">          5200 - PURCHASES OFFSET</v>
      </c>
      <c r="C32" s="11"/>
      <c r="D32" s="2"/>
      <c r="E32" s="2"/>
      <c r="F32" s="19">
        <f t="shared" si="8"/>
        <v>0</v>
      </c>
      <c r="G32" s="2"/>
      <c r="H32" s="2">
        <v>541</v>
      </c>
      <c r="I32" s="2"/>
      <c r="J32" s="19">
        <f t="shared" si="9"/>
        <v>5.5563224170598188E-3</v>
      </c>
      <c r="K32" s="2"/>
      <c r="L32" s="2">
        <f t="shared" si="10"/>
        <v>-541</v>
      </c>
      <c r="M32" s="2"/>
      <c r="N32" s="19">
        <f t="shared" si="11"/>
        <v>-1</v>
      </c>
      <c r="O32" s="11"/>
      <c r="P32" s="2"/>
      <c r="Q32" s="2"/>
      <c r="R32" s="19">
        <f t="shared" si="12"/>
        <v>0</v>
      </c>
      <c r="S32" s="2"/>
      <c r="T32" s="2">
        <v>-700</v>
      </c>
      <c r="U32" s="2"/>
      <c r="V32" s="19">
        <f t="shared" si="13"/>
        <v>-6.5866452004763078E-3</v>
      </c>
      <c r="W32" s="2"/>
      <c r="X32" s="2">
        <f t="shared" si="14"/>
        <v>700</v>
      </c>
      <c r="Y32" s="2"/>
      <c r="Z32" s="19">
        <f t="shared" si="15"/>
        <v>-1</v>
      </c>
    </row>
    <row r="33" spans="1:26" s="24" customFormat="1" hidden="1" outlineLevel="1" x14ac:dyDescent="0.25">
      <c r="A33" s="44"/>
      <c r="B33" s="11" t="str">
        <f>CONCATENATE("          ", "5300", " - ", "COG$ OFFSET")</f>
        <v xml:space="preserve">          5300 - COG$ OFFSET</v>
      </c>
      <c r="C33" s="11"/>
      <c r="D33" s="2"/>
      <c r="E33" s="2"/>
      <c r="F33" s="19">
        <f t="shared" si="8"/>
        <v>0</v>
      </c>
      <c r="G33" s="2"/>
      <c r="H33" s="2">
        <v>821</v>
      </c>
      <c r="I33" s="2"/>
      <c r="J33" s="19">
        <f t="shared" si="9"/>
        <v>8.4320530580519609E-3</v>
      </c>
      <c r="K33" s="2"/>
      <c r="L33" s="2">
        <f t="shared" si="10"/>
        <v>-821</v>
      </c>
      <c r="M33" s="2"/>
      <c r="N33" s="19">
        <f t="shared" si="11"/>
        <v>-1</v>
      </c>
      <c r="O33" s="11"/>
      <c r="P33" s="2"/>
      <c r="Q33" s="2"/>
      <c r="R33" s="19">
        <f t="shared" si="12"/>
        <v>0</v>
      </c>
      <c r="S33" s="2"/>
      <c r="T33" s="2">
        <v>1866</v>
      </c>
      <c r="U33" s="2"/>
      <c r="V33" s="19">
        <f t="shared" si="13"/>
        <v>1.7558114205841129E-2</v>
      </c>
      <c r="W33" s="2"/>
      <c r="X33" s="2">
        <f t="shared" si="14"/>
        <v>-1866</v>
      </c>
      <c r="Y33" s="2"/>
      <c r="Z33" s="19">
        <f t="shared" si="15"/>
        <v>-1</v>
      </c>
    </row>
    <row r="34" spans="1:26" s="24" customFormat="1" hidden="1" outlineLevel="1" x14ac:dyDescent="0.25">
      <c r="A34" s="44"/>
      <c r="B34" s="11" t="str">
        <f>CONCATENATE("          ", "5592", " - ", "FREIGHT-IN-GRAD MERCH")</f>
        <v xml:space="preserve">          5592 - FREIGHT-IN-GRAD MERCH</v>
      </c>
      <c r="C34" s="11"/>
      <c r="D34" s="2"/>
      <c r="E34" s="2"/>
      <c r="F34" s="19">
        <f t="shared" si="8"/>
        <v>0</v>
      </c>
      <c r="G34" s="2"/>
      <c r="H34" s="2">
        <v>59.57</v>
      </c>
      <c r="I34" s="2"/>
      <c r="J34" s="19">
        <f t="shared" si="9"/>
        <v>6.1181169387107841E-4</v>
      </c>
      <c r="K34" s="2"/>
      <c r="L34" s="2">
        <f t="shared" si="10"/>
        <v>-59.57</v>
      </c>
      <c r="M34" s="2"/>
      <c r="N34" s="19">
        <f t="shared" si="11"/>
        <v>-1</v>
      </c>
      <c r="O34" s="11"/>
      <c r="P34" s="2"/>
      <c r="Q34" s="2"/>
      <c r="R34" s="19">
        <f t="shared" si="12"/>
        <v>0</v>
      </c>
      <c r="S34" s="2"/>
      <c r="T34" s="2">
        <v>59.57</v>
      </c>
      <c r="U34" s="2"/>
      <c r="V34" s="19">
        <f t="shared" si="13"/>
        <v>5.6052350656053381E-4</v>
      </c>
      <c r="W34" s="2"/>
      <c r="X34" s="2">
        <f t="shared" si="14"/>
        <v>-59.57</v>
      </c>
      <c r="Y34" s="2"/>
      <c r="Z34" s="19">
        <f t="shared" si="15"/>
        <v>-1</v>
      </c>
    </row>
    <row r="35" spans="1:26" x14ac:dyDescent="0.25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25">
      <c r="A36" s="10"/>
      <c r="B36" s="26" t="s">
        <v>6</v>
      </c>
      <c r="C36" s="26"/>
      <c r="D36" s="22">
        <f>D12-D29</f>
        <v>47524.27</v>
      </c>
      <c r="E36" s="13"/>
      <c r="F36" s="21">
        <f>IF(D$12=0,0,D36/D$12)</f>
        <v>1</v>
      </c>
      <c r="G36" s="13"/>
      <c r="H36" s="22">
        <f>H12-H29</f>
        <v>96545.590000000026</v>
      </c>
      <c r="I36" s="13"/>
      <c r="J36" s="21">
        <f>IF(H$12=0,0,H36/H$12)</f>
        <v>0.99156825505594526</v>
      </c>
      <c r="K36" s="16"/>
      <c r="L36" s="22">
        <f>+D36-H36</f>
        <v>-49021.320000000029</v>
      </c>
      <c r="M36" s="16"/>
      <c r="N36" s="21">
        <f>IF(H36=0,0,L36/H36)</f>
        <v>-0.50775307292647975</v>
      </c>
      <c r="O36" s="25"/>
      <c r="P36" s="22">
        <f>P12-P29</f>
        <v>52372.140000000007</v>
      </c>
      <c r="Q36" s="13"/>
      <c r="R36" s="21">
        <f>IF(P$12=0,0,P36/P$12)</f>
        <v>1</v>
      </c>
      <c r="S36" s="13"/>
      <c r="T36" s="22">
        <f>T12-T29</f>
        <v>104410.23000000001</v>
      </c>
      <c r="U36" s="13"/>
      <c r="V36" s="21">
        <f>IF(T$12=0,0,T36/T$12)</f>
        <v>0.98244734330018213</v>
      </c>
      <c r="W36" s="16"/>
      <c r="X36" s="22">
        <f>+P36-T36</f>
        <v>-52038.090000000004</v>
      </c>
      <c r="Y36" s="16"/>
      <c r="Z36" s="21">
        <f>IF(T36=0,0,X36/T36)</f>
        <v>-0.4984003004303314</v>
      </c>
    </row>
    <row r="37" spans="1:26" x14ac:dyDescent="0.25">
      <c r="A37" s="9"/>
      <c r="B37" s="10"/>
      <c r="C37" s="9"/>
      <c r="D37" s="1"/>
      <c r="E37" s="1"/>
      <c r="F37" s="5"/>
      <c r="G37" s="1"/>
      <c r="H37" s="1"/>
      <c r="I37" s="1"/>
      <c r="J37" s="5"/>
      <c r="K37" s="1"/>
      <c r="L37" s="1"/>
      <c r="M37" s="1"/>
      <c r="N37" s="5"/>
      <c r="O37" s="37"/>
      <c r="P37" s="1"/>
      <c r="Q37" s="1"/>
      <c r="R37" s="5"/>
      <c r="S37" s="1"/>
      <c r="T37" s="1"/>
      <c r="U37" s="1"/>
      <c r="V37" s="5"/>
      <c r="W37" s="1"/>
      <c r="X37" s="1"/>
      <c r="Y37" s="1"/>
      <c r="Z37" s="5"/>
    </row>
    <row r="38" spans="1:26" s="23" customFormat="1" x14ac:dyDescent="0.25">
      <c r="A38" s="10"/>
      <c r="B38" s="25" t="s">
        <v>9</v>
      </c>
      <c r="C38" s="10"/>
      <c r="D38" s="20">
        <f>SUM(OSRRefD22x_0)</f>
        <v>-50410.609999999986</v>
      </c>
      <c r="E38" s="20"/>
      <c r="F38" s="35">
        <f t="shared" ref="F38:F47" si="16">IF(D$12=0,0,D38/D$12)</f>
        <v>-1.0607340207435061</v>
      </c>
      <c r="G38" s="20"/>
      <c r="H38" s="20">
        <f>SUM(OSRRefH22x_0)</f>
        <v>27068.840000000004</v>
      </c>
      <c r="I38" s="20"/>
      <c r="J38" s="35">
        <f t="shared" ref="J38:J47" si="17">IF(H$12=0,0,H38/H$12)</f>
        <v>0.27800961644326344</v>
      </c>
      <c r="K38" s="4"/>
      <c r="L38" s="20">
        <f t="shared" ref="L38:L47" si="18">+D38-H38</f>
        <v>-77479.449999999983</v>
      </c>
      <c r="M38" s="4"/>
      <c r="N38" s="35">
        <f t="shared" ref="N38:N47" si="19">IF(H38=0,0,L38/H38)</f>
        <v>-2.8623114252402382</v>
      </c>
      <c r="O38" s="10"/>
      <c r="P38" s="20">
        <f>SUM(OSRRefP22x_0)</f>
        <v>-1256.6600000000039</v>
      </c>
      <c r="Q38" s="20"/>
      <c r="R38" s="35">
        <f t="shared" ref="R38:R47" si="20">IF(P$12=0,0,P38/P$12)</f>
        <v>-2.3994818619212502E-2</v>
      </c>
      <c r="S38" s="20"/>
      <c r="T38" s="20">
        <f>SUM(OSRRefT22x_0)</f>
        <v>61812.200000000012</v>
      </c>
      <c r="U38" s="20"/>
      <c r="V38" s="35">
        <f t="shared" ref="V38:V47" si="21">IF(T$12=0,0,T38/T$12)</f>
        <v>0.5816214720869739</v>
      </c>
      <c r="W38" s="4"/>
      <c r="X38" s="20">
        <f t="shared" ref="X38:X47" si="22">+P38-T38</f>
        <v>-63068.860000000015</v>
      </c>
      <c r="Y38" s="4"/>
      <c r="Z38" s="35">
        <f t="shared" ref="Z38:Z47" si="23">IF(T38=0,0,X38/T38)</f>
        <v>-1.0203302907840199</v>
      </c>
    </row>
    <row r="39" spans="1:26" s="28" customFormat="1" outlineLevel="1" collapsed="1" x14ac:dyDescent="0.25">
      <c r="A39" s="27"/>
      <c r="B39" s="14" t="str">
        <f>CONCATENATE("     ","*Benefits                                         ")</f>
        <v xml:space="preserve">     *Benefits                                         </v>
      </c>
      <c r="C39" s="14"/>
      <c r="D39" s="1">
        <f>SUM(OSRRefD22_0x_0)</f>
        <v>8903.2699999999986</v>
      </c>
      <c r="E39" s="1"/>
      <c r="F39" s="5">
        <f t="shared" si="16"/>
        <v>0.18734154149027432</v>
      </c>
      <c r="G39" s="1"/>
      <c r="H39" s="1">
        <f>SUM(OSRRefH22_0x_0)</f>
        <v>7233.82</v>
      </c>
      <c r="I39" s="1"/>
      <c r="J39" s="5">
        <f t="shared" si="17"/>
        <v>7.4294706519363499E-2</v>
      </c>
      <c r="K39" s="1"/>
      <c r="L39" s="1">
        <f t="shared" si="18"/>
        <v>1669.4499999999989</v>
      </c>
      <c r="M39" s="1"/>
      <c r="N39" s="5">
        <f t="shared" si="19"/>
        <v>0.2307840117669501</v>
      </c>
      <c r="O39" s="14"/>
      <c r="P39" s="1">
        <f>SUM(OSRRefP22_0x_0)</f>
        <v>16833.55</v>
      </c>
      <c r="Q39" s="1"/>
      <c r="R39" s="5">
        <f t="shared" si="20"/>
        <v>0.32142184757010117</v>
      </c>
      <c r="S39" s="1"/>
      <c r="T39" s="1">
        <f>SUM(OSRRefT22_0x_0)</f>
        <v>15142.07</v>
      </c>
      <c r="U39" s="1"/>
      <c r="V39" s="5">
        <f t="shared" si="21"/>
        <v>0.14247920384396612</v>
      </c>
      <c r="W39" s="1"/>
      <c r="X39" s="1">
        <f t="shared" si="22"/>
        <v>1691.4799999999996</v>
      </c>
      <c r="Y39" s="1"/>
      <c r="Z39" s="5">
        <f t="shared" si="23"/>
        <v>0.11170731610671458</v>
      </c>
    </row>
    <row r="40" spans="1:26" s="24" customFormat="1" hidden="1" outlineLevel="2" x14ac:dyDescent="0.25">
      <c r="A40" s="29"/>
      <c r="B40" s="11" t="str">
        <f>CONCATENATE("          ", "6111", " - ", "F.I.C.A.")</f>
        <v xml:space="preserve">          6111 - F.I.C.A.</v>
      </c>
      <c r="C40" s="11"/>
      <c r="D40" s="7">
        <v>1290.1199999999999</v>
      </c>
      <c r="E40" s="2"/>
      <c r="F40" s="6">
        <f t="shared" si="16"/>
        <v>2.7146550594043844E-2</v>
      </c>
      <c r="G40" s="2"/>
      <c r="H40" s="7">
        <v>1362.13</v>
      </c>
      <c r="I40" s="2"/>
      <c r="J40" s="6">
        <f t="shared" si="17"/>
        <v>1.3989710635766527E-2</v>
      </c>
      <c r="K40" s="2"/>
      <c r="L40" s="7">
        <f t="shared" si="18"/>
        <v>-72.010000000000218</v>
      </c>
      <c r="M40" s="2"/>
      <c r="N40" s="6">
        <f t="shared" si="19"/>
        <v>-5.2865732345664669E-2</v>
      </c>
      <c r="O40" s="11"/>
      <c r="P40" s="7">
        <v>2333.48</v>
      </c>
      <c r="Q40" s="2"/>
      <c r="R40" s="6">
        <f t="shared" si="20"/>
        <v>4.4555750442888141E-2</v>
      </c>
      <c r="S40" s="2"/>
      <c r="T40" s="7">
        <v>2488.9299999999998</v>
      </c>
      <c r="U40" s="2"/>
      <c r="V40" s="6">
        <f t="shared" si="21"/>
        <v>2.3419569769744995E-2</v>
      </c>
      <c r="W40" s="2"/>
      <c r="X40" s="7">
        <f t="shared" si="22"/>
        <v>-155.44999999999982</v>
      </c>
      <c r="Y40" s="2"/>
      <c r="Z40" s="6">
        <f t="shared" si="23"/>
        <v>-6.2456557637217532E-2</v>
      </c>
    </row>
    <row r="41" spans="1:26" s="24" customFormat="1" hidden="1" outlineLevel="2" x14ac:dyDescent="0.25">
      <c r="A41" s="29"/>
      <c r="B41" s="11" t="str">
        <f>CONCATENATE("          ", "6112", " - ", "COMPENSATION INSURANCE")</f>
        <v xml:space="preserve">          6112 - COMPENSATION INSURANCE</v>
      </c>
      <c r="C41" s="11"/>
      <c r="D41" s="7">
        <v>311.95999999999998</v>
      </c>
      <c r="E41" s="2"/>
      <c r="F41" s="6">
        <f t="shared" si="16"/>
        <v>6.5642249738922867E-3</v>
      </c>
      <c r="G41" s="2"/>
      <c r="H41" s="7">
        <v>223.99</v>
      </c>
      <c r="I41" s="2"/>
      <c r="J41" s="6">
        <f t="shared" si="17"/>
        <v>2.3004818081279643E-3</v>
      </c>
      <c r="K41" s="2"/>
      <c r="L41" s="7">
        <f t="shared" si="18"/>
        <v>87.96999999999997</v>
      </c>
      <c r="M41" s="2"/>
      <c r="N41" s="6">
        <f t="shared" si="19"/>
        <v>0.39274074735479247</v>
      </c>
      <c r="O41" s="11"/>
      <c r="P41" s="7">
        <v>605.57000000000005</v>
      </c>
      <c r="Q41" s="2"/>
      <c r="R41" s="6">
        <f t="shared" si="20"/>
        <v>1.1562827106167515E-2</v>
      </c>
      <c r="S41" s="2"/>
      <c r="T41" s="7">
        <v>402.46</v>
      </c>
      <c r="U41" s="2"/>
      <c r="V41" s="6">
        <f t="shared" si="21"/>
        <v>3.7869446105481355E-3</v>
      </c>
      <c r="W41" s="2"/>
      <c r="X41" s="7">
        <f t="shared" si="22"/>
        <v>203.11000000000007</v>
      </c>
      <c r="Y41" s="2"/>
      <c r="Z41" s="6">
        <f t="shared" si="23"/>
        <v>0.50467127167917325</v>
      </c>
    </row>
    <row r="42" spans="1:26" s="24" customFormat="1" hidden="1" outlineLevel="2" x14ac:dyDescent="0.25">
      <c r="A42" s="29"/>
      <c r="B42" s="11" t="str">
        <f>CONCATENATE("          ", "6113", " - ", "GROUP INSURANCE")</f>
        <v xml:space="preserve">          6113 - GROUP INSURANCE</v>
      </c>
      <c r="C42" s="11"/>
      <c r="D42" s="7">
        <v>3321.73</v>
      </c>
      <c r="E42" s="2"/>
      <c r="F42" s="6">
        <f t="shared" si="16"/>
        <v>6.9895445001048939E-2</v>
      </c>
      <c r="G42" s="2"/>
      <c r="H42" s="7">
        <v>2741.79</v>
      </c>
      <c r="I42" s="2"/>
      <c r="J42" s="6">
        <f t="shared" si="17"/>
        <v>2.8159462550592311E-2</v>
      </c>
      <c r="K42" s="2"/>
      <c r="L42" s="7">
        <f t="shared" si="18"/>
        <v>579.94000000000005</v>
      </c>
      <c r="M42" s="2"/>
      <c r="N42" s="6">
        <f t="shared" si="19"/>
        <v>0.21151875234791873</v>
      </c>
      <c r="O42" s="11"/>
      <c r="P42" s="7">
        <v>6046.21</v>
      </c>
      <c r="Q42" s="2"/>
      <c r="R42" s="6">
        <f t="shared" si="20"/>
        <v>0.11544706784943291</v>
      </c>
      <c r="S42" s="2"/>
      <c r="T42" s="7">
        <v>5483.58</v>
      </c>
      <c r="U42" s="2"/>
      <c r="V42" s="6">
        <f t="shared" si="21"/>
        <v>5.1597708412039818E-2</v>
      </c>
      <c r="W42" s="2"/>
      <c r="X42" s="7">
        <f t="shared" si="22"/>
        <v>562.63000000000011</v>
      </c>
      <c r="Y42" s="2"/>
      <c r="Z42" s="6">
        <f t="shared" si="23"/>
        <v>0.10260267927157078</v>
      </c>
    </row>
    <row r="43" spans="1:26" s="24" customFormat="1" hidden="1" outlineLevel="2" x14ac:dyDescent="0.25">
      <c r="A43" s="29"/>
      <c r="B43" s="11" t="str">
        <f>CONCATENATE("          ", "6114", " - ", "STATE UNEMPLOYMENT INSURANCE")</f>
        <v xml:space="preserve">          6114 - STATE UNEMPLOYMENT INSURANCE</v>
      </c>
      <c r="C43" s="11"/>
      <c r="D43" s="7">
        <v>43.84</v>
      </c>
      <c r="E43" s="2"/>
      <c r="F43" s="6">
        <f t="shared" si="16"/>
        <v>9.2247603172021379E-4</v>
      </c>
      <c r="G43" s="2"/>
      <c r="H43" s="7">
        <v>45.01</v>
      </c>
      <c r="I43" s="2"/>
      <c r="J43" s="6">
        <f t="shared" si="17"/>
        <v>4.622737005394869E-4</v>
      </c>
      <c r="K43" s="2"/>
      <c r="L43" s="7">
        <f t="shared" si="18"/>
        <v>-1.1699999999999946</v>
      </c>
      <c r="M43" s="2"/>
      <c r="N43" s="6">
        <f t="shared" si="19"/>
        <v>-2.5994223505887461E-2</v>
      </c>
      <c r="O43" s="11"/>
      <c r="P43" s="7">
        <v>85.1</v>
      </c>
      <c r="Q43" s="2"/>
      <c r="R43" s="6">
        <f t="shared" si="20"/>
        <v>1.6249097325410035E-3</v>
      </c>
      <c r="S43" s="2"/>
      <c r="T43" s="7">
        <v>83.79</v>
      </c>
      <c r="U43" s="2"/>
      <c r="V43" s="6">
        <f t="shared" si="21"/>
        <v>7.884214304970141E-4</v>
      </c>
      <c r="W43" s="2"/>
      <c r="X43" s="7">
        <f t="shared" si="22"/>
        <v>1.3099999999999881</v>
      </c>
      <c r="Y43" s="2"/>
      <c r="Z43" s="6">
        <f t="shared" si="23"/>
        <v>1.5634323905000452E-2</v>
      </c>
    </row>
    <row r="44" spans="1:26" s="24" customFormat="1" hidden="1" outlineLevel="2" x14ac:dyDescent="0.25">
      <c r="A44" s="29"/>
      <c r="B44" s="11" t="str">
        <f>CONCATENATE("          ", "6115", " - ", "P.E.R.S.")</f>
        <v xml:space="preserve">          6115 - P.E.R.S.</v>
      </c>
      <c r="C44" s="11"/>
      <c r="D44" s="7">
        <v>1614.45</v>
      </c>
      <c r="E44" s="2"/>
      <c r="F44" s="6">
        <f t="shared" si="16"/>
        <v>3.3971063627068865E-2</v>
      </c>
      <c r="G44" s="2"/>
      <c r="H44" s="7">
        <v>1156.69</v>
      </c>
      <c r="I44" s="2"/>
      <c r="J44" s="6">
        <f t="shared" si="17"/>
        <v>1.1879745982604292E-2</v>
      </c>
      <c r="K44" s="2"/>
      <c r="L44" s="7">
        <f t="shared" si="18"/>
        <v>457.76</v>
      </c>
      <c r="M44" s="2"/>
      <c r="N44" s="6">
        <f t="shared" si="19"/>
        <v>0.39574994164382848</v>
      </c>
      <c r="O44" s="11"/>
      <c r="P44" s="7">
        <v>3680.91</v>
      </c>
      <c r="Q44" s="2"/>
      <c r="R44" s="6">
        <f t="shared" si="20"/>
        <v>7.028374246307291E-2</v>
      </c>
      <c r="S44" s="2"/>
      <c r="T44" s="7">
        <v>2313.38</v>
      </c>
      <c r="U44" s="2"/>
      <c r="V44" s="6">
        <f t="shared" si="21"/>
        <v>2.1767733248396974E-2</v>
      </c>
      <c r="W44" s="2"/>
      <c r="X44" s="7">
        <f t="shared" si="22"/>
        <v>1367.5299999999997</v>
      </c>
      <c r="Y44" s="2"/>
      <c r="Z44" s="6">
        <f t="shared" si="23"/>
        <v>0.59113937182823384</v>
      </c>
    </row>
    <row r="45" spans="1:26" s="24" customFormat="1" hidden="1" outlineLevel="2" x14ac:dyDescent="0.25">
      <c r="A45" s="29"/>
      <c r="B45" s="11" t="str">
        <f>CONCATENATE("          ", "6118", " - ", "VACATION")</f>
        <v xml:space="preserve">          6118 - VACATION</v>
      </c>
      <c r="C45" s="11"/>
      <c r="D45" s="7">
        <v>1216.0999999999999</v>
      </c>
      <c r="E45" s="2"/>
      <c r="F45" s="6">
        <f t="shared" si="16"/>
        <v>2.5589030615304559E-2</v>
      </c>
      <c r="G45" s="2"/>
      <c r="H45" s="7">
        <v>1024.78</v>
      </c>
      <c r="I45" s="2"/>
      <c r="J45" s="6">
        <f t="shared" si="17"/>
        <v>1.0524968736699742E-2</v>
      </c>
      <c r="K45" s="2"/>
      <c r="L45" s="7">
        <f t="shared" si="18"/>
        <v>191.31999999999994</v>
      </c>
      <c r="M45" s="2"/>
      <c r="N45" s="6">
        <f t="shared" si="19"/>
        <v>0.18669372938581935</v>
      </c>
      <c r="O45" s="11"/>
      <c r="P45" s="7">
        <v>2194.98</v>
      </c>
      <c r="Q45" s="2"/>
      <c r="R45" s="6">
        <f t="shared" si="20"/>
        <v>4.1911214626708014E-2</v>
      </c>
      <c r="S45" s="2"/>
      <c r="T45" s="7">
        <v>2557.06</v>
      </c>
      <c r="U45" s="2"/>
      <c r="V45" s="6">
        <f t="shared" si="21"/>
        <v>2.4060638537614212E-2</v>
      </c>
      <c r="W45" s="2"/>
      <c r="X45" s="7">
        <f t="shared" si="22"/>
        <v>-362.07999999999993</v>
      </c>
      <c r="Y45" s="2"/>
      <c r="Z45" s="6">
        <f t="shared" si="23"/>
        <v>-0.14160011888653373</v>
      </c>
    </row>
    <row r="46" spans="1:26" s="24" customFormat="1" hidden="1" outlineLevel="2" x14ac:dyDescent="0.25">
      <c r="A46" s="29"/>
      <c r="B46" s="11" t="str">
        <f>CONCATENATE("          ", "6119", " - ", "SICK LEAVE")</f>
        <v xml:space="preserve">          6119 - SICK LEAVE</v>
      </c>
      <c r="C46" s="11"/>
      <c r="D46" s="7">
        <v>738.5</v>
      </c>
      <c r="E46" s="2"/>
      <c r="F46" s="6">
        <f t="shared" si="16"/>
        <v>1.5539428590907341E-2</v>
      </c>
      <c r="G46" s="2"/>
      <c r="H46" s="7">
        <v>536.02</v>
      </c>
      <c r="I46" s="2"/>
      <c r="J46" s="6">
        <f t="shared" si="17"/>
        <v>5.5051754935164579E-3</v>
      </c>
      <c r="K46" s="2"/>
      <c r="L46" s="7">
        <f t="shared" si="18"/>
        <v>202.48000000000002</v>
      </c>
      <c r="M46" s="2"/>
      <c r="N46" s="6">
        <f t="shared" si="19"/>
        <v>0.37774709898884373</v>
      </c>
      <c r="O46" s="11"/>
      <c r="P46" s="7">
        <v>1371.02</v>
      </c>
      <c r="Q46" s="2"/>
      <c r="R46" s="6">
        <f t="shared" si="20"/>
        <v>2.6178422344399137E-2</v>
      </c>
      <c r="S46" s="2"/>
      <c r="T46" s="7">
        <v>1427.08</v>
      </c>
      <c r="U46" s="2"/>
      <c r="V46" s="6">
        <f t="shared" si="21"/>
        <v>1.3428099475279613E-2</v>
      </c>
      <c r="W46" s="2"/>
      <c r="X46" s="7">
        <f t="shared" si="22"/>
        <v>-56.059999999999945</v>
      </c>
      <c r="Y46" s="2"/>
      <c r="Z46" s="6">
        <f t="shared" si="23"/>
        <v>-3.9283011463968349E-2</v>
      </c>
    </row>
    <row r="47" spans="1:26" s="24" customFormat="1" hidden="1" outlineLevel="2" x14ac:dyDescent="0.25">
      <c r="A47" s="29"/>
      <c r="B47" s="11" t="str">
        <f>CONCATENATE("          ", "6156", " - ", "EMPLOYEE MEALS")</f>
        <v xml:space="preserve">          6156 - EMPLOYEE MEALS</v>
      </c>
      <c r="C47" s="11"/>
      <c r="D47" s="7">
        <v>366.57</v>
      </c>
      <c r="E47" s="2"/>
      <c r="F47" s="6">
        <f t="shared" si="16"/>
        <v>7.7133220562882925E-3</v>
      </c>
      <c r="G47" s="2"/>
      <c r="H47" s="7">
        <v>143.41</v>
      </c>
      <c r="I47" s="2"/>
      <c r="J47" s="6">
        <f t="shared" si="17"/>
        <v>1.4728876115167257E-3</v>
      </c>
      <c r="K47" s="2"/>
      <c r="L47" s="7">
        <f t="shared" si="18"/>
        <v>223.16</v>
      </c>
      <c r="M47" s="2"/>
      <c r="N47" s="6">
        <f t="shared" si="19"/>
        <v>1.5560979011226554</v>
      </c>
      <c r="O47" s="11"/>
      <c r="P47" s="7">
        <v>516.28</v>
      </c>
      <c r="Q47" s="2"/>
      <c r="R47" s="6">
        <f t="shared" si="20"/>
        <v>9.857913004891531E-3</v>
      </c>
      <c r="S47" s="2"/>
      <c r="T47" s="7">
        <v>385.79</v>
      </c>
      <c r="U47" s="2"/>
      <c r="V47" s="6">
        <f t="shared" si="21"/>
        <v>3.6300883598453641E-3</v>
      </c>
      <c r="W47" s="2"/>
      <c r="X47" s="7">
        <f t="shared" si="22"/>
        <v>130.48999999999995</v>
      </c>
      <c r="Y47" s="2"/>
      <c r="Z47" s="6">
        <f t="shared" si="23"/>
        <v>0.33824101194950607</v>
      </c>
    </row>
    <row r="48" spans="1:26" s="28" customFormat="1" outlineLevel="1" collapsed="1" x14ac:dyDescent="0.25">
      <c r="A48" s="27"/>
      <c r="B48" s="14" t="str">
        <f>CONCATENATE("     ","*Payroll                                          ")</f>
        <v xml:space="preserve">     *Payroll                                          </v>
      </c>
      <c r="C48" s="14"/>
      <c r="D48" s="1">
        <f>SUM(OSRRefD22_1x_0)</f>
        <v>13505.78</v>
      </c>
      <c r="E48" s="1"/>
      <c r="F48" s="5">
        <f t="shared" ref="F48:F52" si="24">IF(D$12=0,0,D48/D$12)</f>
        <v>0.28418700592349977</v>
      </c>
      <c r="G48" s="1"/>
      <c r="H48" s="1">
        <f>SUM(OSRRefH22_1x_0)</f>
        <v>18121.89</v>
      </c>
      <c r="I48" s="1"/>
      <c r="J48" s="5">
        <f t="shared" ref="J48:J52" si="25">IF(H$12=0,0,H48/H$12)</f>
        <v>0.18612026552031821</v>
      </c>
      <c r="K48" s="1"/>
      <c r="L48" s="1">
        <f t="shared" ref="L48:L52" si="26">+D48-H48</f>
        <v>-4616.1099999999988</v>
      </c>
      <c r="M48" s="1"/>
      <c r="N48" s="5">
        <f t="shared" ref="N48:N52" si="27">IF(H48=0,0,L48/H48)</f>
        <v>-0.25472563844058205</v>
      </c>
      <c r="O48" s="14"/>
      <c r="P48" s="1">
        <f>SUM(OSRRefP22_1x_0)</f>
        <v>28565.72</v>
      </c>
      <c r="Q48" s="1"/>
      <c r="R48" s="5">
        <f t="shared" ref="R48:R52" si="28">IF(P$12=0,0,P48/P$12)</f>
        <v>0.54543732602868622</v>
      </c>
      <c r="S48" s="1"/>
      <c r="T48" s="1">
        <f>SUM(OSRRefT22_1x_0)</f>
        <v>36043.759999999995</v>
      </c>
      <c r="U48" s="1"/>
      <c r="V48" s="5">
        <f t="shared" ref="V48:V52" si="29">IF(T$12=0,0,T48/T$12)</f>
        <v>0.33915351258731413</v>
      </c>
      <c r="W48" s="1"/>
      <c r="X48" s="1">
        <f t="shared" ref="X48:X52" si="30">+P48-T48</f>
        <v>-7478.0399999999936</v>
      </c>
      <c r="Y48" s="1"/>
      <c r="Z48" s="5">
        <f t="shared" ref="Z48:Z52" si="31">IF(T48=0,0,X48/T48)</f>
        <v>-0.20747114063571601</v>
      </c>
    </row>
    <row r="49" spans="1:26" s="24" customFormat="1" hidden="1" outlineLevel="2" x14ac:dyDescent="0.25">
      <c r="A49" s="29"/>
      <c r="B49" s="11" t="str">
        <f>CONCATENATE("          ", "6002", " - ", "STAFF SALARIES")</f>
        <v xml:space="preserve">          6002 - STAFF SALARIES</v>
      </c>
      <c r="C49" s="11"/>
      <c r="D49" s="7">
        <v>12050.26</v>
      </c>
      <c r="E49" s="2"/>
      <c r="F49" s="6">
        <f t="shared" si="24"/>
        <v>0.25356012833021951</v>
      </c>
      <c r="G49" s="2"/>
      <c r="H49" s="7">
        <v>11254.4</v>
      </c>
      <c r="I49" s="2"/>
      <c r="J49" s="6">
        <f t="shared" si="25"/>
        <v>0.11558793902136417</v>
      </c>
      <c r="K49" s="2"/>
      <c r="L49" s="7">
        <f t="shared" si="26"/>
        <v>795.86000000000058</v>
      </c>
      <c r="M49" s="2"/>
      <c r="N49" s="6">
        <f t="shared" si="27"/>
        <v>7.071545351151555E-2</v>
      </c>
      <c r="O49" s="11"/>
      <c r="P49" s="7">
        <v>27110.2</v>
      </c>
      <c r="Q49" s="2"/>
      <c r="R49" s="6">
        <f t="shared" si="28"/>
        <v>0.51764545042459598</v>
      </c>
      <c r="S49" s="2"/>
      <c r="T49" s="7">
        <v>24928.769999999997</v>
      </c>
      <c r="U49" s="2"/>
      <c r="V49" s="6">
        <f t="shared" si="29"/>
        <v>0.23456709039182536</v>
      </c>
      <c r="W49" s="2"/>
      <c r="X49" s="7">
        <f t="shared" si="30"/>
        <v>2181.4300000000039</v>
      </c>
      <c r="Y49" s="2"/>
      <c r="Z49" s="6">
        <f t="shared" si="31"/>
        <v>8.7506523587004267E-2</v>
      </c>
    </row>
    <row r="50" spans="1:26" s="24" customFormat="1" hidden="1" outlineLevel="2" x14ac:dyDescent="0.25">
      <c r="A50" s="29"/>
      <c r="B50" s="11" t="str">
        <f>CONCATENATE("          ", "6005", " - ", "TEMPORARY WAGES-HOURLY")</f>
        <v xml:space="preserve">          6005 - TEMPORARY WAGES-HOURLY</v>
      </c>
      <c r="C50" s="11"/>
      <c r="D50" s="7">
        <v>383.25</v>
      </c>
      <c r="E50" s="2"/>
      <c r="F50" s="6">
        <f t="shared" si="24"/>
        <v>8.0643006194519151E-3</v>
      </c>
      <c r="G50" s="2"/>
      <c r="H50" s="7">
        <v>1505</v>
      </c>
      <c r="I50" s="2"/>
      <c r="J50" s="6">
        <f t="shared" si="25"/>
        <v>1.5457052195332766E-2</v>
      </c>
      <c r="K50" s="2"/>
      <c r="L50" s="7">
        <f t="shared" si="26"/>
        <v>-1121.75</v>
      </c>
      <c r="M50" s="2"/>
      <c r="N50" s="6">
        <f t="shared" si="27"/>
        <v>-0.74534883720930234</v>
      </c>
      <c r="O50" s="11"/>
      <c r="P50" s="7">
        <v>383.25</v>
      </c>
      <c r="Q50" s="2"/>
      <c r="R50" s="6">
        <f t="shared" si="28"/>
        <v>7.3178220328594546E-3</v>
      </c>
      <c r="S50" s="2"/>
      <c r="T50" s="7">
        <v>2492</v>
      </c>
      <c r="U50" s="2"/>
      <c r="V50" s="6">
        <f t="shared" si="29"/>
        <v>2.3448456913695657E-2</v>
      </c>
      <c r="W50" s="2"/>
      <c r="X50" s="7">
        <f t="shared" si="30"/>
        <v>-2108.75</v>
      </c>
      <c r="Y50" s="2"/>
      <c r="Z50" s="6">
        <f t="shared" si="31"/>
        <v>-0.8462078651685393</v>
      </c>
    </row>
    <row r="51" spans="1:26" s="24" customFormat="1" hidden="1" outlineLevel="2" x14ac:dyDescent="0.25">
      <c r="A51" s="29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4"/>
        <v>0</v>
      </c>
      <c r="G51" s="2"/>
      <c r="H51" s="7">
        <v>57.37</v>
      </c>
      <c r="I51" s="2"/>
      <c r="J51" s="6">
        <f t="shared" si="25"/>
        <v>5.8921666740614006E-4</v>
      </c>
      <c r="K51" s="2"/>
      <c r="L51" s="7">
        <f t="shared" si="26"/>
        <v>-57.37</v>
      </c>
      <c r="M51" s="2"/>
      <c r="N51" s="6">
        <f t="shared" si="27"/>
        <v>-1</v>
      </c>
      <c r="O51" s="11"/>
      <c r="P51" s="7"/>
      <c r="Q51" s="2"/>
      <c r="R51" s="6">
        <f t="shared" si="28"/>
        <v>0</v>
      </c>
      <c r="S51" s="2"/>
      <c r="T51" s="7">
        <v>57.37</v>
      </c>
      <c r="U51" s="2"/>
      <c r="V51" s="6">
        <f t="shared" si="29"/>
        <v>5.3982262164475111E-4</v>
      </c>
      <c r="W51" s="2"/>
      <c r="X51" s="7">
        <f t="shared" si="30"/>
        <v>-57.37</v>
      </c>
      <c r="Y51" s="2"/>
      <c r="Z51" s="6">
        <f t="shared" si="31"/>
        <v>-1</v>
      </c>
    </row>
    <row r="52" spans="1:26" s="24" customFormat="1" hidden="1" outlineLevel="2" x14ac:dyDescent="0.25">
      <c r="A52" s="29"/>
      <c r="B52" s="11" t="str">
        <f>CONCATENATE("          ", "6007", " - ", "STUDENT HOURLY")</f>
        <v xml:space="preserve">          6007 - STUDENT HOURLY</v>
      </c>
      <c r="C52" s="11"/>
      <c r="D52" s="7">
        <v>1072.27</v>
      </c>
      <c r="E52" s="2"/>
      <c r="F52" s="6">
        <f t="shared" si="24"/>
        <v>2.2562576973828321E-2</v>
      </c>
      <c r="G52" s="2"/>
      <c r="H52" s="7">
        <v>5305.12</v>
      </c>
      <c r="I52" s="2"/>
      <c r="J52" s="6">
        <f t="shared" si="25"/>
        <v>5.4486057636215127E-2</v>
      </c>
      <c r="K52" s="2"/>
      <c r="L52" s="7">
        <f t="shared" si="26"/>
        <v>-4232.8500000000004</v>
      </c>
      <c r="M52" s="2"/>
      <c r="N52" s="6">
        <f t="shared" si="27"/>
        <v>-0.79788016105196502</v>
      </c>
      <c r="O52" s="11"/>
      <c r="P52" s="7">
        <v>1072.27</v>
      </c>
      <c r="Q52" s="2"/>
      <c r="R52" s="6">
        <f t="shared" si="28"/>
        <v>2.0474053571230808E-2</v>
      </c>
      <c r="S52" s="2"/>
      <c r="T52" s="7">
        <v>8565.6200000000008</v>
      </c>
      <c r="U52" s="2"/>
      <c r="V52" s="6">
        <f t="shared" si="29"/>
        <v>8.0598142660148392E-2</v>
      </c>
      <c r="W52" s="2"/>
      <c r="X52" s="7">
        <f t="shared" si="30"/>
        <v>-7493.35</v>
      </c>
      <c r="Y52" s="2"/>
      <c r="Z52" s="6">
        <f t="shared" si="31"/>
        <v>-0.87481700098766924</v>
      </c>
    </row>
    <row r="53" spans="1:26" s="28" customFormat="1" outlineLevel="1" collapsed="1" x14ac:dyDescent="0.25">
      <c r="A53" s="27"/>
      <c r="B53" s="14" t="str">
        <f>CONCATENATE("     ","Depreciation                                      ")</f>
        <v xml:space="preserve">     Depreciation                                      </v>
      </c>
      <c r="C53" s="14"/>
      <c r="D53" s="1">
        <f>SUM(OSRRefD22_2x_0)</f>
        <v>169.88</v>
      </c>
      <c r="E53" s="1"/>
      <c r="F53" s="5">
        <f t="shared" ref="F53:F61" si="32">IF(D$12=0,0,D53/D$12)</f>
        <v>3.5745946229158282E-3</v>
      </c>
      <c r="G53" s="1"/>
      <c r="H53" s="1">
        <f>SUM(OSRRefH22_2x_0)</f>
        <v>0</v>
      </c>
      <c r="I53" s="1"/>
      <c r="J53" s="5">
        <f t="shared" ref="J53:J61" si="33">IF(H$12=0,0,H53/H$12)</f>
        <v>0</v>
      </c>
      <c r="K53" s="1"/>
      <c r="L53" s="1">
        <f t="shared" ref="L53:L61" si="34">+D53-H53</f>
        <v>169.88</v>
      </c>
      <c r="M53" s="1"/>
      <c r="N53" s="5">
        <f t="shared" ref="N53:N61" si="35">IF(H53=0,0,L53/H53)</f>
        <v>0</v>
      </c>
      <c r="O53" s="14"/>
      <c r="P53" s="1">
        <f>SUM(OSRRefP22_2x_0)</f>
        <v>339.76</v>
      </c>
      <c r="Q53" s="1"/>
      <c r="R53" s="5">
        <f t="shared" ref="R53:R61" si="36">IF(P$12=0,0,P53/P$12)</f>
        <v>6.4874186924574776E-3</v>
      </c>
      <c r="S53" s="1"/>
      <c r="T53" s="1">
        <f>SUM(OSRRefT22_2x_0)</f>
        <v>0</v>
      </c>
      <c r="U53" s="1"/>
      <c r="V53" s="5">
        <f t="shared" ref="V53:V61" si="37">IF(T$12=0,0,T53/T$12)</f>
        <v>0</v>
      </c>
      <c r="W53" s="1"/>
      <c r="X53" s="1">
        <f t="shared" ref="X53:X61" si="38">+P53-T53</f>
        <v>339.76</v>
      </c>
      <c r="Y53" s="1"/>
      <c r="Z53" s="5">
        <f t="shared" ref="Z53:Z61" si="39">IF(T53=0,0,X53/T53)</f>
        <v>0</v>
      </c>
    </row>
    <row r="54" spans="1:26" s="24" customFormat="1" hidden="1" outlineLevel="2" x14ac:dyDescent="0.25">
      <c r="A54" s="29"/>
      <c r="B54" s="11" t="str">
        <f>CONCATENATE("          ", "6322", " - ", "EQUIPMENT DEPRECIATION EXPENSE")</f>
        <v xml:space="preserve">          6322 - EQUIPMENT DEPRECIATION EXPENSE</v>
      </c>
      <c r="C54" s="11"/>
      <c r="D54" s="7">
        <v>169.88</v>
      </c>
      <c r="E54" s="2"/>
      <c r="F54" s="6">
        <f t="shared" si="32"/>
        <v>3.5745946229158282E-3</v>
      </c>
      <c r="G54" s="2"/>
      <c r="H54" s="7"/>
      <c r="I54" s="2"/>
      <c r="J54" s="6">
        <f t="shared" si="33"/>
        <v>0</v>
      </c>
      <c r="K54" s="2"/>
      <c r="L54" s="7">
        <f t="shared" si="34"/>
        <v>169.88</v>
      </c>
      <c r="M54" s="2"/>
      <c r="N54" s="6">
        <f t="shared" si="35"/>
        <v>0</v>
      </c>
      <c r="O54" s="11"/>
      <c r="P54" s="7">
        <v>339.76</v>
      </c>
      <c r="Q54" s="2"/>
      <c r="R54" s="6">
        <f t="shared" si="36"/>
        <v>6.4874186924574776E-3</v>
      </c>
      <c r="S54" s="2"/>
      <c r="T54" s="7"/>
      <c r="U54" s="2"/>
      <c r="V54" s="6">
        <f t="shared" si="37"/>
        <v>0</v>
      </c>
      <c r="W54" s="2"/>
      <c r="X54" s="7">
        <f t="shared" si="38"/>
        <v>339.76</v>
      </c>
      <c r="Y54" s="2"/>
      <c r="Z54" s="6">
        <f t="shared" si="39"/>
        <v>0</v>
      </c>
    </row>
    <row r="55" spans="1:26" s="28" customFormat="1" outlineLevel="1" collapsed="1" x14ac:dyDescent="0.25">
      <c r="A55" s="27"/>
      <c r="B55" s="14" t="str">
        <f>CONCATENATE("     ","Discounts and Markdowns                           ")</f>
        <v xml:space="preserve">     Discounts and Markdowns                           </v>
      </c>
      <c r="C55" s="14"/>
      <c r="D55" s="1">
        <f>SUM(OSRRefD22_3x_0)</f>
        <v>0</v>
      </c>
      <c r="E55" s="1"/>
      <c r="F55" s="5">
        <f t="shared" si="32"/>
        <v>0</v>
      </c>
      <c r="G55" s="1"/>
      <c r="H55" s="1">
        <f>SUM(OSRRefH22_3x_0)</f>
        <v>96.95</v>
      </c>
      <c r="I55" s="1"/>
      <c r="J55" s="5">
        <f t="shared" si="33"/>
        <v>9.9572173444352941E-4</v>
      </c>
      <c r="K55" s="1"/>
      <c r="L55" s="1">
        <f t="shared" si="34"/>
        <v>-96.95</v>
      </c>
      <c r="M55" s="1"/>
      <c r="N55" s="5">
        <f t="shared" si="35"/>
        <v>-1</v>
      </c>
      <c r="O55" s="14"/>
      <c r="P55" s="1">
        <f>SUM(OSRRefP22_3x_0)</f>
        <v>0</v>
      </c>
      <c r="Q55" s="1"/>
      <c r="R55" s="5">
        <f t="shared" si="36"/>
        <v>0</v>
      </c>
      <c r="S55" s="1"/>
      <c r="T55" s="1">
        <f>SUM(OSRRefT22_3x_0)</f>
        <v>165.42</v>
      </c>
      <c r="U55" s="1"/>
      <c r="V55" s="5">
        <f t="shared" si="37"/>
        <v>1.5565183558039868E-3</v>
      </c>
      <c r="W55" s="1"/>
      <c r="X55" s="1">
        <f t="shared" si="38"/>
        <v>-165.42</v>
      </c>
      <c r="Y55" s="1"/>
      <c r="Z55" s="5">
        <f t="shared" si="39"/>
        <v>-1</v>
      </c>
    </row>
    <row r="56" spans="1:26" s="24" customFormat="1" hidden="1" outlineLevel="2" x14ac:dyDescent="0.25">
      <c r="A56" s="29"/>
      <c r="B56" s="11" t="str">
        <f>CONCATENATE("          ", "6382", " - ", "DISCOUNTS/MARK DOWNS")</f>
        <v xml:space="preserve">          6382 - DISCOUNTS/MARK DOWNS</v>
      </c>
      <c r="C56" s="11"/>
      <c r="D56" s="7"/>
      <c r="E56" s="2"/>
      <c r="F56" s="6">
        <f t="shared" si="32"/>
        <v>0</v>
      </c>
      <c r="G56" s="2"/>
      <c r="H56" s="7">
        <v>96.95</v>
      </c>
      <c r="I56" s="2"/>
      <c r="J56" s="6">
        <f t="shared" si="33"/>
        <v>9.9572173444352941E-4</v>
      </c>
      <c r="K56" s="2"/>
      <c r="L56" s="7">
        <f t="shared" si="34"/>
        <v>-96.95</v>
      </c>
      <c r="M56" s="2"/>
      <c r="N56" s="6">
        <f t="shared" si="35"/>
        <v>-1</v>
      </c>
      <c r="O56" s="11"/>
      <c r="P56" s="7"/>
      <c r="Q56" s="2"/>
      <c r="R56" s="6">
        <f t="shared" si="36"/>
        <v>0</v>
      </c>
      <c r="S56" s="2"/>
      <c r="T56" s="7">
        <v>165.42</v>
      </c>
      <c r="U56" s="2"/>
      <c r="V56" s="6">
        <f t="shared" si="37"/>
        <v>1.5565183558039868E-3</v>
      </c>
      <c r="W56" s="2"/>
      <c r="X56" s="7">
        <f t="shared" si="38"/>
        <v>-165.42</v>
      </c>
      <c r="Y56" s="2"/>
      <c r="Z56" s="6">
        <f t="shared" si="39"/>
        <v>-1</v>
      </c>
    </row>
    <row r="57" spans="1:26" s="28" customFormat="1" outlineLevel="1" collapsed="1" x14ac:dyDescent="0.25">
      <c r="A57" s="27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SUM(OSRRefD22_4x_0)</f>
        <v>1205.6400000000001</v>
      </c>
      <c r="E57" s="1"/>
      <c r="F57" s="5">
        <f t="shared" si="32"/>
        <v>2.5368932547517303E-2</v>
      </c>
      <c r="G57" s="1"/>
      <c r="H57" s="1">
        <f>SUM(OSRRefH22_4x_0)</f>
        <v>1205.6400000000001</v>
      </c>
      <c r="I57" s="1"/>
      <c r="J57" s="5">
        <f t="shared" si="33"/>
        <v>1.2382485321449168E-2</v>
      </c>
      <c r="K57" s="1"/>
      <c r="L57" s="1">
        <f t="shared" si="34"/>
        <v>0</v>
      </c>
      <c r="M57" s="1"/>
      <c r="N57" s="5">
        <f t="shared" si="35"/>
        <v>0</v>
      </c>
      <c r="O57" s="14"/>
      <c r="P57" s="1">
        <f>SUM(OSRRefP22_4x_0)</f>
        <v>2411.2800000000002</v>
      </c>
      <c r="Q57" s="1"/>
      <c r="R57" s="5">
        <f t="shared" si="36"/>
        <v>4.6041273089088966E-2</v>
      </c>
      <c r="S57" s="1"/>
      <c r="T57" s="1">
        <f>SUM(OSRRefT22_4x_0)</f>
        <v>2411.2800000000002</v>
      </c>
      <c r="U57" s="1"/>
      <c r="V57" s="5">
        <f t="shared" si="37"/>
        <v>2.2688922627149305E-2</v>
      </c>
      <c r="W57" s="1"/>
      <c r="X57" s="1">
        <f t="shared" si="38"/>
        <v>0</v>
      </c>
      <c r="Y57" s="1"/>
      <c r="Z57" s="5">
        <f t="shared" si="39"/>
        <v>0</v>
      </c>
    </row>
    <row r="58" spans="1:26" s="24" customFormat="1" hidden="1" outlineLevel="2" x14ac:dyDescent="0.25">
      <c r="A58" s="29"/>
      <c r="B58" s="11" t="str">
        <f>CONCATENATE("          ", "6351", " - ", "EQUIPMENT RENTAL")</f>
        <v xml:space="preserve">          6351 - EQUIPMENT RENTAL</v>
      </c>
      <c r="C58" s="11"/>
      <c r="D58" s="7">
        <v>1205.6400000000001</v>
      </c>
      <c r="E58" s="2"/>
      <c r="F58" s="6">
        <f t="shared" si="32"/>
        <v>2.5368932547517303E-2</v>
      </c>
      <c r="G58" s="2"/>
      <c r="H58" s="7">
        <v>1205.6400000000001</v>
      </c>
      <c r="I58" s="2"/>
      <c r="J58" s="6">
        <f t="shared" si="33"/>
        <v>1.2382485321449168E-2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>
        <v>2411.2800000000002</v>
      </c>
      <c r="Q58" s="2"/>
      <c r="R58" s="6">
        <f t="shared" si="36"/>
        <v>4.6041273089088966E-2</v>
      </c>
      <c r="S58" s="2"/>
      <c r="T58" s="7">
        <v>2411.2800000000002</v>
      </c>
      <c r="U58" s="2"/>
      <c r="V58" s="6">
        <f t="shared" si="37"/>
        <v>2.2688922627149305E-2</v>
      </c>
      <c r="W58" s="2"/>
      <c r="X58" s="7">
        <f t="shared" si="38"/>
        <v>0</v>
      </c>
      <c r="Y58" s="2"/>
      <c r="Z58" s="6">
        <f t="shared" si="39"/>
        <v>0</v>
      </c>
    </row>
    <row r="59" spans="1:26" s="28" customFormat="1" outlineLevel="1" collapsed="1" x14ac:dyDescent="0.25">
      <c r="A59" s="27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SUM(OSRRefD22_5x_0)</f>
        <v>-84423.84</v>
      </c>
      <c r="E59" s="1"/>
      <c r="F59" s="5">
        <f t="shared" si="32"/>
        <v>-1.7764363345297045</v>
      </c>
      <c r="G59" s="1"/>
      <c r="H59" s="1">
        <f>SUM(OSRRefH22_5x_0)</f>
        <v>-13203.749999999996</v>
      </c>
      <c r="I59" s="1"/>
      <c r="J59" s="5">
        <f t="shared" si="33"/>
        <v>-0.1356086730392857</v>
      </c>
      <c r="K59" s="1"/>
      <c r="L59" s="1">
        <f t="shared" si="34"/>
        <v>-71220.09</v>
      </c>
      <c r="M59" s="1"/>
      <c r="N59" s="5">
        <f t="shared" si="35"/>
        <v>5.3939289974439095</v>
      </c>
      <c r="O59" s="14"/>
      <c r="P59" s="1">
        <f>SUM(OSRRefP22_5x_0)</f>
        <v>-75679.08</v>
      </c>
      <c r="Q59" s="1"/>
      <c r="R59" s="5">
        <f t="shared" si="36"/>
        <v>-1.4450255422062186</v>
      </c>
      <c r="S59" s="1"/>
      <c r="T59" s="1">
        <f>SUM(OSRRefT22_5x_0)</f>
        <v>-15800.169999999998</v>
      </c>
      <c r="U59" s="1"/>
      <c r="V59" s="5">
        <f t="shared" si="37"/>
        <v>-0.14867159128172819</v>
      </c>
      <c r="W59" s="1"/>
      <c r="X59" s="1">
        <f t="shared" si="38"/>
        <v>-59878.91</v>
      </c>
      <c r="Y59" s="1"/>
      <c r="Z59" s="5">
        <f t="shared" si="39"/>
        <v>3.7897636544416935</v>
      </c>
    </row>
    <row r="60" spans="1:26" s="24" customFormat="1" hidden="1" outlineLevel="2" x14ac:dyDescent="0.25">
      <c r="A60" s="29"/>
      <c r="B60" s="11" t="str">
        <f>CONCATENATE("          ", "6305", " - ", "FREIGHT OUT")</f>
        <v xml:space="preserve">          6305 - FREIGHT OUT</v>
      </c>
      <c r="C60" s="11"/>
      <c r="D60" s="7">
        <v>7873.15</v>
      </c>
      <c r="E60" s="2"/>
      <c r="F60" s="6">
        <f t="shared" si="32"/>
        <v>0.16566587977048358</v>
      </c>
      <c r="G60" s="2"/>
      <c r="H60" s="7">
        <v>2560.3000000000002</v>
      </c>
      <c r="I60" s="2"/>
      <c r="J60" s="6">
        <f t="shared" si="33"/>
        <v>2.6295475571900654E-2</v>
      </c>
      <c r="K60" s="2"/>
      <c r="L60" s="7">
        <f t="shared" si="34"/>
        <v>5312.8499999999995</v>
      </c>
      <c r="M60" s="2"/>
      <c r="N60" s="6">
        <f t="shared" si="35"/>
        <v>2.0750888567745962</v>
      </c>
      <c r="O60" s="11"/>
      <c r="P60" s="7">
        <v>19778.350000000002</v>
      </c>
      <c r="Q60" s="2"/>
      <c r="R60" s="6">
        <f t="shared" si="36"/>
        <v>0.3776502163173015</v>
      </c>
      <c r="S60" s="2"/>
      <c r="T60" s="7">
        <v>3613.43</v>
      </c>
      <c r="U60" s="2"/>
      <c r="V60" s="6">
        <f t="shared" si="37"/>
        <v>3.4000544809653005E-2</v>
      </c>
      <c r="W60" s="2"/>
      <c r="X60" s="7">
        <f t="shared" si="38"/>
        <v>16164.920000000002</v>
      </c>
      <c r="Y60" s="2"/>
      <c r="Z60" s="6">
        <f t="shared" si="39"/>
        <v>4.4735666665744187</v>
      </c>
    </row>
    <row r="61" spans="1:26" s="24" customFormat="1" hidden="1" outlineLevel="2" x14ac:dyDescent="0.25">
      <c r="A61" s="29"/>
      <c r="B61" s="11" t="str">
        <f>CONCATENATE("          ", "6307", " - ", "POSTAGE")</f>
        <v xml:space="preserve">          6307 - POSTAGE</v>
      </c>
      <c r="C61" s="11"/>
      <c r="D61" s="7">
        <v>-92296.989999999991</v>
      </c>
      <c r="E61" s="2"/>
      <c r="F61" s="6">
        <f t="shared" si="32"/>
        <v>-1.942102214300188</v>
      </c>
      <c r="G61" s="2"/>
      <c r="H61" s="7">
        <v>-15764.049999999997</v>
      </c>
      <c r="I61" s="2"/>
      <c r="J61" s="6">
        <f t="shared" si="33"/>
        <v>-0.16190414861118635</v>
      </c>
      <c r="K61" s="2"/>
      <c r="L61" s="7">
        <f t="shared" si="34"/>
        <v>-76532.939999999988</v>
      </c>
      <c r="M61" s="2"/>
      <c r="N61" s="6">
        <f t="shared" si="35"/>
        <v>4.854903403630412</v>
      </c>
      <c r="O61" s="11"/>
      <c r="P61" s="7">
        <v>-95457.430000000008</v>
      </c>
      <c r="Q61" s="2"/>
      <c r="R61" s="6">
        <f t="shared" si="36"/>
        <v>-1.8226757585235203</v>
      </c>
      <c r="S61" s="2"/>
      <c r="T61" s="7">
        <v>-19413.599999999999</v>
      </c>
      <c r="U61" s="2"/>
      <c r="V61" s="6">
        <f t="shared" si="37"/>
        <v>-0.18267213609138119</v>
      </c>
      <c r="W61" s="2"/>
      <c r="X61" s="7">
        <f t="shared" si="38"/>
        <v>-76043.830000000016</v>
      </c>
      <c r="Y61" s="2"/>
      <c r="Z61" s="6">
        <f t="shared" si="39"/>
        <v>3.9170390860015671</v>
      </c>
    </row>
    <row r="62" spans="1:26" s="28" customFormat="1" outlineLevel="1" collapsed="1" x14ac:dyDescent="0.25">
      <c r="A62" s="27"/>
      <c r="B62" s="14" t="str">
        <f>CONCATENATE("     ","Inventory Adjustment                              ")</f>
        <v xml:space="preserve">     Inventory Adjustment                              </v>
      </c>
      <c r="C62" s="14"/>
      <c r="D62" s="1">
        <f>SUM(OSRRefD22_6x_0)</f>
        <v>0</v>
      </c>
      <c r="E62" s="1"/>
      <c r="F62" s="5">
        <f t="shared" ref="F62:F74" si="40">IF(D$12=0,0,D62/D$12)</f>
        <v>0</v>
      </c>
      <c r="G62" s="1"/>
      <c r="H62" s="1">
        <f>SUM(OSRRefH22_6x_0)</f>
        <v>100</v>
      </c>
      <c r="I62" s="1"/>
      <c r="J62" s="5">
        <f t="shared" ref="J62:J74" si="41">IF(H$12=0,0,H62/H$12)</f>
        <v>1.0270466574971938E-3</v>
      </c>
      <c r="K62" s="1"/>
      <c r="L62" s="1">
        <f t="shared" ref="L62:L74" si="42">+D62-H62</f>
        <v>-100</v>
      </c>
      <c r="M62" s="1"/>
      <c r="N62" s="5">
        <f t="shared" ref="N62:N74" si="43">IF(H62=0,0,L62/H62)</f>
        <v>-1</v>
      </c>
      <c r="O62" s="14"/>
      <c r="P62" s="1">
        <f>SUM(OSRRefP22_6x_0)</f>
        <v>0</v>
      </c>
      <c r="Q62" s="1"/>
      <c r="R62" s="5">
        <f t="shared" ref="R62:R74" si="44">IF(P$12=0,0,P62/P$12)</f>
        <v>0</v>
      </c>
      <c r="S62" s="1"/>
      <c r="T62" s="1">
        <f>SUM(OSRRefT22_6x_0)</f>
        <v>100</v>
      </c>
      <c r="U62" s="1"/>
      <c r="V62" s="5">
        <f t="shared" ref="V62:V74" si="45">IF(T$12=0,0,T62/T$12)</f>
        <v>9.4094931435375825E-4</v>
      </c>
      <c r="W62" s="1"/>
      <c r="X62" s="1">
        <f t="shared" ref="X62:X74" si="46">+P62-T62</f>
        <v>-100</v>
      </c>
      <c r="Y62" s="1"/>
      <c r="Z62" s="5">
        <f t="shared" ref="Z62:Z74" si="47">IF(T62=0,0,X62/T62)</f>
        <v>-1</v>
      </c>
    </row>
    <row r="63" spans="1:26" s="24" customFormat="1" hidden="1" outlineLevel="2" x14ac:dyDescent="0.25">
      <c r="A63" s="29"/>
      <c r="B63" s="11" t="str">
        <f>CONCATENATE("          ", "6408", " - ", "INVENTORY ADJUSTMENT")</f>
        <v xml:space="preserve">          6408 - INVENTORY ADJUSTMENT</v>
      </c>
      <c r="C63" s="11"/>
      <c r="D63" s="7"/>
      <c r="E63" s="2"/>
      <c r="F63" s="6">
        <f t="shared" si="40"/>
        <v>0</v>
      </c>
      <c r="G63" s="2"/>
      <c r="H63" s="7">
        <v>100</v>
      </c>
      <c r="I63" s="2"/>
      <c r="J63" s="6">
        <f t="shared" si="41"/>
        <v>1.0270466574971938E-3</v>
      </c>
      <c r="K63" s="2"/>
      <c r="L63" s="7">
        <f t="shared" si="42"/>
        <v>-100</v>
      </c>
      <c r="M63" s="2"/>
      <c r="N63" s="6">
        <f t="shared" si="43"/>
        <v>-1</v>
      </c>
      <c r="O63" s="11"/>
      <c r="P63" s="7"/>
      <c r="Q63" s="2"/>
      <c r="R63" s="6">
        <f t="shared" si="44"/>
        <v>0</v>
      </c>
      <c r="S63" s="2"/>
      <c r="T63" s="7">
        <v>100</v>
      </c>
      <c r="U63" s="2"/>
      <c r="V63" s="6">
        <f t="shared" si="45"/>
        <v>9.4094931435375825E-4</v>
      </c>
      <c r="W63" s="2"/>
      <c r="X63" s="7">
        <f t="shared" si="46"/>
        <v>-100</v>
      </c>
      <c r="Y63" s="2"/>
      <c r="Z63" s="6">
        <f t="shared" si="47"/>
        <v>-1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SUM(OSRRefD22_7x_0)</f>
        <v>5225.0200000000004</v>
      </c>
      <c r="E64" s="1"/>
      <c r="F64" s="5">
        <f t="shared" si="40"/>
        <v>0.10994424532980729</v>
      </c>
      <c r="G64" s="1"/>
      <c r="H64" s="1">
        <f>SUM(OSRRefH22_7x_0)</f>
        <v>5867.62</v>
      </c>
      <c r="I64" s="1"/>
      <c r="J64" s="5">
        <f t="shared" si="41"/>
        <v>6.0263195084636845E-2</v>
      </c>
      <c r="K64" s="1"/>
      <c r="L64" s="1">
        <f t="shared" si="42"/>
        <v>-642.59999999999945</v>
      </c>
      <c r="M64" s="1"/>
      <c r="N64" s="5">
        <f t="shared" si="43"/>
        <v>-0.10951629451123274</v>
      </c>
      <c r="O64" s="14"/>
      <c r="P64" s="1">
        <f>SUM(OSRRefP22_7x_0)</f>
        <v>11603.12</v>
      </c>
      <c r="Q64" s="1"/>
      <c r="R64" s="5">
        <f t="shared" si="44"/>
        <v>0.22155138208979047</v>
      </c>
      <c r="S64" s="1"/>
      <c r="T64" s="1">
        <f>SUM(OSRRefT22_7x_0)</f>
        <v>11810.02</v>
      </c>
      <c r="U64" s="1"/>
      <c r="V64" s="5">
        <f t="shared" si="45"/>
        <v>0.11112630221504173</v>
      </c>
      <c r="W64" s="1"/>
      <c r="X64" s="1">
        <f t="shared" si="46"/>
        <v>-206.89999999999964</v>
      </c>
      <c r="Y64" s="1"/>
      <c r="Z64" s="5">
        <f t="shared" si="47"/>
        <v>-1.751902198302794E-2</v>
      </c>
    </row>
    <row r="65" spans="1:26" s="24" customFormat="1" hidden="1" outlineLevel="2" x14ac:dyDescent="0.25">
      <c r="A65" s="29"/>
      <c r="B65" s="11" t="str">
        <f>CONCATENATE("          ", "6373", " - ", "MAINTENANCE CONTRACTS")</f>
        <v xml:space="preserve">          6373 - MAINTENANCE CONTRACTS</v>
      </c>
      <c r="C65" s="11"/>
      <c r="D65" s="7">
        <v>5225.0200000000004</v>
      </c>
      <c r="E65" s="2"/>
      <c r="F65" s="6">
        <f t="shared" si="40"/>
        <v>0.10994424532980729</v>
      </c>
      <c r="G65" s="2"/>
      <c r="H65" s="7">
        <v>5867.62</v>
      </c>
      <c r="I65" s="2"/>
      <c r="J65" s="6">
        <f t="shared" si="41"/>
        <v>6.0263195084636845E-2</v>
      </c>
      <c r="K65" s="2"/>
      <c r="L65" s="7">
        <f t="shared" si="42"/>
        <v>-642.59999999999945</v>
      </c>
      <c r="M65" s="2"/>
      <c r="N65" s="6">
        <f t="shared" si="43"/>
        <v>-0.10951629451123274</v>
      </c>
      <c r="O65" s="11"/>
      <c r="P65" s="7">
        <v>11603.12</v>
      </c>
      <c r="Q65" s="2"/>
      <c r="R65" s="6">
        <f t="shared" si="44"/>
        <v>0.22155138208979047</v>
      </c>
      <c r="S65" s="2"/>
      <c r="T65" s="7">
        <v>11810.02</v>
      </c>
      <c r="U65" s="2"/>
      <c r="V65" s="6">
        <f t="shared" si="45"/>
        <v>0.11112630221504173</v>
      </c>
      <c r="W65" s="2"/>
      <c r="X65" s="7">
        <f t="shared" si="46"/>
        <v>-206.89999999999964</v>
      </c>
      <c r="Y65" s="2"/>
      <c r="Z65" s="6">
        <f t="shared" si="47"/>
        <v>-1.751902198302794E-2</v>
      </c>
    </row>
    <row r="66" spans="1:26" s="28" customFormat="1" outlineLevel="1" collapsed="1" x14ac:dyDescent="0.25">
      <c r="A66" s="27"/>
      <c r="B66" s="14" t="str">
        <f>CONCATENATE("     ","Royalty &amp; Commissions                             ")</f>
        <v xml:space="preserve">     Royalty &amp; Commissions                             </v>
      </c>
      <c r="C66" s="14"/>
      <c r="D66" s="1">
        <f>SUM(OSRRefD22_8x_0)</f>
        <v>4.6500000000000004</v>
      </c>
      <c r="E66" s="1"/>
      <c r="F66" s="5">
        <f t="shared" si="40"/>
        <v>9.7844743327988009E-5</v>
      </c>
      <c r="G66" s="1"/>
      <c r="H66" s="1">
        <f>SUM(OSRRefH22_8x_0)</f>
        <v>3649.17</v>
      </c>
      <c r="I66" s="1"/>
      <c r="J66" s="5">
        <f t="shared" si="41"/>
        <v>3.7478678511390348E-2</v>
      </c>
      <c r="K66" s="1"/>
      <c r="L66" s="1">
        <f t="shared" si="42"/>
        <v>-3644.52</v>
      </c>
      <c r="M66" s="1"/>
      <c r="N66" s="5">
        <f t="shared" si="43"/>
        <v>-0.99872573763348926</v>
      </c>
      <c r="O66" s="14"/>
      <c r="P66" s="1">
        <f>SUM(OSRRefP22_8x_0)</f>
        <v>5322.2</v>
      </c>
      <c r="Q66" s="1"/>
      <c r="R66" s="5">
        <f t="shared" si="44"/>
        <v>0.10162273300269951</v>
      </c>
      <c r="S66" s="1"/>
      <c r="T66" s="1">
        <f>SUM(OSRRefT22_8x_0)</f>
        <v>4254.18</v>
      </c>
      <c r="U66" s="1"/>
      <c r="V66" s="5">
        <f t="shared" si="45"/>
        <v>4.0029677541374716E-2</v>
      </c>
      <c r="W66" s="1"/>
      <c r="X66" s="1">
        <f t="shared" si="46"/>
        <v>1068.0199999999995</v>
      </c>
      <c r="Y66" s="1"/>
      <c r="Z66" s="5">
        <f t="shared" si="47"/>
        <v>0.25105190659539545</v>
      </c>
    </row>
    <row r="67" spans="1:26" s="24" customFormat="1" hidden="1" outlineLevel="2" x14ac:dyDescent="0.25">
      <c r="A67" s="29"/>
      <c r="B67" s="11" t="str">
        <f>CONCATENATE("          ", "6259", " - ", "ROYALTY &amp; COMMISSIONS")</f>
        <v xml:space="preserve">          6259 - ROYALTY &amp; COMMISSIONS</v>
      </c>
      <c r="C67" s="11"/>
      <c r="D67" s="7">
        <v>4.6500000000000004</v>
      </c>
      <c r="E67" s="2"/>
      <c r="F67" s="6">
        <f t="shared" si="40"/>
        <v>9.7844743327988009E-5</v>
      </c>
      <c r="G67" s="2"/>
      <c r="H67" s="7">
        <v>3649.17</v>
      </c>
      <c r="I67" s="2"/>
      <c r="J67" s="6">
        <f t="shared" si="41"/>
        <v>3.7478678511390348E-2</v>
      </c>
      <c r="K67" s="2"/>
      <c r="L67" s="7">
        <f t="shared" si="42"/>
        <v>-3644.52</v>
      </c>
      <c r="M67" s="2"/>
      <c r="N67" s="6">
        <f t="shared" si="43"/>
        <v>-0.99872573763348926</v>
      </c>
      <c r="O67" s="11"/>
      <c r="P67" s="7">
        <v>5322.2</v>
      </c>
      <c r="Q67" s="2"/>
      <c r="R67" s="6">
        <f t="shared" si="44"/>
        <v>0.10162273300269951</v>
      </c>
      <c r="S67" s="2"/>
      <c r="T67" s="7">
        <v>4254.18</v>
      </c>
      <c r="U67" s="2"/>
      <c r="V67" s="6">
        <f t="shared" si="45"/>
        <v>4.0029677541374716E-2</v>
      </c>
      <c r="W67" s="2"/>
      <c r="X67" s="7">
        <f t="shared" si="46"/>
        <v>1068.0199999999995</v>
      </c>
      <c r="Y67" s="2"/>
      <c r="Z67" s="6">
        <f t="shared" si="47"/>
        <v>0.25105190659539545</v>
      </c>
    </row>
    <row r="68" spans="1:26" s="28" customFormat="1" outlineLevel="1" collapsed="1" x14ac:dyDescent="0.25">
      <c r="A68" s="27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SUM(OSRRefD22_9x_0)</f>
        <v>4783.22</v>
      </c>
      <c r="E68" s="1"/>
      <c r="F68" s="5">
        <f t="shared" si="40"/>
        <v>0.10064794261963415</v>
      </c>
      <c r="G68" s="1"/>
      <c r="H68" s="1">
        <f>SUM(OSRRefH22_9x_0)</f>
        <v>3797.9</v>
      </c>
      <c r="I68" s="1"/>
      <c r="J68" s="5">
        <f t="shared" si="41"/>
        <v>3.9006205005085927E-2</v>
      </c>
      <c r="K68" s="1"/>
      <c r="L68" s="1">
        <f t="shared" si="42"/>
        <v>985.32000000000016</v>
      </c>
      <c r="M68" s="1"/>
      <c r="N68" s="5">
        <f t="shared" si="43"/>
        <v>0.25943811053476923</v>
      </c>
      <c r="O68" s="14"/>
      <c r="P68" s="1">
        <f>SUM(OSRRefP22_9x_0)</f>
        <v>8931.02</v>
      </c>
      <c r="Q68" s="1"/>
      <c r="R68" s="5">
        <f t="shared" si="44"/>
        <v>0.17052998025285962</v>
      </c>
      <c r="S68" s="1"/>
      <c r="T68" s="1">
        <f>SUM(OSRRefT22_9x_0)</f>
        <v>7293.59</v>
      </c>
      <c r="U68" s="1"/>
      <c r="V68" s="5">
        <f t="shared" si="45"/>
        <v>6.8628985096774286E-2</v>
      </c>
      <c r="W68" s="1"/>
      <c r="X68" s="1">
        <f t="shared" si="46"/>
        <v>1637.4300000000003</v>
      </c>
      <c r="Y68" s="1"/>
      <c r="Z68" s="5">
        <f t="shared" si="47"/>
        <v>0.22450261119695517</v>
      </c>
    </row>
    <row r="69" spans="1:26" s="24" customFormat="1" hidden="1" outlineLevel="2" x14ac:dyDescent="0.25">
      <c r="A69" s="29"/>
      <c r="B69" s="11" t="str">
        <f>CONCATENATE("          ", "6234", " - ", "EXPENDABLE SUPPLIES &amp; EQUIPMEN")</f>
        <v xml:space="preserve">          6234 - EXPENDABLE SUPPLIES &amp; EQUIPMEN</v>
      </c>
      <c r="C69" s="11"/>
      <c r="D69" s="7"/>
      <c r="E69" s="2"/>
      <c r="F69" s="6">
        <f t="shared" si="40"/>
        <v>0</v>
      </c>
      <c r="G69" s="2"/>
      <c r="H69" s="7">
        <v>1000</v>
      </c>
      <c r="I69" s="2"/>
      <c r="J69" s="6">
        <f t="shared" si="41"/>
        <v>1.0270466574971939E-2</v>
      </c>
      <c r="K69" s="2"/>
      <c r="L69" s="7">
        <f t="shared" si="42"/>
        <v>-1000</v>
      </c>
      <c r="M69" s="2"/>
      <c r="N69" s="6">
        <f t="shared" si="43"/>
        <v>-1</v>
      </c>
      <c r="O69" s="11"/>
      <c r="P69" s="7"/>
      <c r="Q69" s="2"/>
      <c r="R69" s="6">
        <f t="shared" si="44"/>
        <v>0</v>
      </c>
      <c r="S69" s="2"/>
      <c r="T69" s="7">
        <v>1017.27</v>
      </c>
      <c r="U69" s="2"/>
      <c r="V69" s="6">
        <f t="shared" si="45"/>
        <v>9.5719950901264773E-3</v>
      </c>
      <c r="W69" s="2"/>
      <c r="X69" s="7">
        <f t="shared" si="46"/>
        <v>-1017.27</v>
      </c>
      <c r="Y69" s="2"/>
      <c r="Z69" s="6">
        <f t="shared" si="47"/>
        <v>-1</v>
      </c>
    </row>
    <row r="70" spans="1:26" s="24" customFormat="1" hidden="1" outlineLevel="2" x14ac:dyDescent="0.25">
      <c r="A70" s="29"/>
      <c r="B70" s="11" t="str">
        <f>CONCATENATE("          ", "6235", " - ", "COVID-19 EXPENSES")</f>
        <v xml:space="preserve">          6235 - COVID-19 EXPENSES</v>
      </c>
      <c r="C70" s="11"/>
      <c r="D70" s="7"/>
      <c r="E70" s="2"/>
      <c r="F70" s="6">
        <f t="shared" si="40"/>
        <v>0</v>
      </c>
      <c r="G70" s="2"/>
      <c r="H70" s="7"/>
      <c r="I70" s="2"/>
      <c r="J70" s="6">
        <f t="shared" si="41"/>
        <v>0</v>
      </c>
      <c r="K70" s="2"/>
      <c r="L70" s="7">
        <f t="shared" si="42"/>
        <v>0</v>
      </c>
      <c r="M70" s="2"/>
      <c r="N70" s="6">
        <f t="shared" si="43"/>
        <v>0</v>
      </c>
      <c r="O70" s="11"/>
      <c r="P70" s="7">
        <v>310.91000000000003</v>
      </c>
      <c r="Q70" s="2"/>
      <c r="R70" s="6">
        <f t="shared" si="44"/>
        <v>5.9365532895925199E-3</v>
      </c>
      <c r="S70" s="2"/>
      <c r="T70" s="7"/>
      <c r="U70" s="2"/>
      <c r="V70" s="6">
        <f t="shared" si="45"/>
        <v>0</v>
      </c>
      <c r="W70" s="2"/>
      <c r="X70" s="7">
        <f t="shared" si="46"/>
        <v>310.91000000000003</v>
      </c>
      <c r="Y70" s="2"/>
      <c r="Z70" s="6">
        <f t="shared" si="47"/>
        <v>0</v>
      </c>
    </row>
    <row r="71" spans="1:26" s="24" customFormat="1" hidden="1" outlineLevel="2" x14ac:dyDescent="0.25">
      <c r="A71" s="29"/>
      <c r="B71" s="11" t="str">
        <f>CONCATENATE("          ", "6241", " - ", "OFFICE EXPENSE")</f>
        <v xml:space="preserve">          6241 - OFFICE EXPENSE</v>
      </c>
      <c r="C71" s="11"/>
      <c r="D71" s="7"/>
      <c r="E71" s="2"/>
      <c r="F71" s="6">
        <f t="shared" si="40"/>
        <v>0</v>
      </c>
      <c r="G71" s="2"/>
      <c r="H71" s="7">
        <v>27.61</v>
      </c>
      <c r="I71" s="2"/>
      <c r="J71" s="6">
        <f t="shared" si="41"/>
        <v>2.8356758213497518E-4</v>
      </c>
      <c r="K71" s="2"/>
      <c r="L71" s="7">
        <f t="shared" si="42"/>
        <v>-27.61</v>
      </c>
      <c r="M71" s="2"/>
      <c r="N71" s="6">
        <f t="shared" si="43"/>
        <v>-1</v>
      </c>
      <c r="O71" s="11"/>
      <c r="P71" s="7"/>
      <c r="Q71" s="2"/>
      <c r="R71" s="6">
        <f t="shared" si="44"/>
        <v>0</v>
      </c>
      <c r="S71" s="2"/>
      <c r="T71" s="7">
        <v>27.61</v>
      </c>
      <c r="U71" s="2"/>
      <c r="V71" s="6">
        <f t="shared" si="45"/>
        <v>2.5979610569307264E-4</v>
      </c>
      <c r="W71" s="2"/>
      <c r="X71" s="7">
        <f t="shared" si="46"/>
        <v>-27.61</v>
      </c>
      <c r="Y71" s="2"/>
      <c r="Z71" s="6">
        <f t="shared" si="47"/>
        <v>-1</v>
      </c>
    </row>
    <row r="72" spans="1:26" s="24" customFormat="1" hidden="1" outlineLevel="2" x14ac:dyDescent="0.25">
      <c r="A72" s="29"/>
      <c r="B72" s="11" t="str">
        <f>CONCATENATE("          ", "6243", " - ", "PAPER SUPPLIES")</f>
        <v xml:space="preserve">          6243 - PAPER SUPPLIES</v>
      </c>
      <c r="C72" s="11"/>
      <c r="D72" s="7">
        <v>2044.69</v>
      </c>
      <c r="E72" s="2"/>
      <c r="F72" s="6">
        <f t="shared" si="40"/>
        <v>4.3024122201140602E-2</v>
      </c>
      <c r="G72" s="2"/>
      <c r="H72" s="7">
        <v>1496.95</v>
      </c>
      <c r="I72" s="2"/>
      <c r="J72" s="6">
        <f t="shared" si="41"/>
        <v>1.5374374939404243E-2</v>
      </c>
      <c r="K72" s="2"/>
      <c r="L72" s="7">
        <f t="shared" si="42"/>
        <v>547.74</v>
      </c>
      <c r="M72" s="2"/>
      <c r="N72" s="6">
        <f t="shared" si="43"/>
        <v>0.36590400480977986</v>
      </c>
      <c r="O72" s="11"/>
      <c r="P72" s="7">
        <v>3124.69</v>
      </c>
      <c r="Q72" s="2"/>
      <c r="R72" s="6">
        <f t="shared" si="44"/>
        <v>5.9663210248807851E-2</v>
      </c>
      <c r="S72" s="2"/>
      <c r="T72" s="7">
        <v>2658.29</v>
      </c>
      <c r="U72" s="2"/>
      <c r="V72" s="6">
        <f t="shared" si="45"/>
        <v>2.5013161528534521E-2</v>
      </c>
      <c r="W72" s="2"/>
      <c r="X72" s="7">
        <f t="shared" si="46"/>
        <v>466.40000000000009</v>
      </c>
      <c r="Y72" s="2"/>
      <c r="Z72" s="6">
        <f t="shared" si="47"/>
        <v>0.17545113588058492</v>
      </c>
    </row>
    <row r="73" spans="1:26" s="24" customFormat="1" hidden="1" outlineLevel="2" x14ac:dyDescent="0.25">
      <c r="A73" s="29"/>
      <c r="B73" s="11" t="str">
        <f>CONCATENATE("          ", "6245", " - ", "PRINTING")</f>
        <v xml:space="preserve">          6245 - PRINTING</v>
      </c>
      <c r="C73" s="11"/>
      <c r="D73" s="7">
        <v>1248</v>
      </c>
      <c r="E73" s="2"/>
      <c r="F73" s="6">
        <f t="shared" si="40"/>
        <v>2.6260266596414845E-2</v>
      </c>
      <c r="G73" s="2"/>
      <c r="H73" s="7">
        <v>-12.7</v>
      </c>
      <c r="I73" s="2"/>
      <c r="J73" s="6">
        <f t="shared" si="41"/>
        <v>-1.3043492550214361E-4</v>
      </c>
      <c r="K73" s="2"/>
      <c r="L73" s="7">
        <f t="shared" si="42"/>
        <v>1260.7</v>
      </c>
      <c r="M73" s="2"/>
      <c r="N73" s="6">
        <f t="shared" si="43"/>
        <v>-99.267716535433081</v>
      </c>
      <c r="O73" s="11"/>
      <c r="P73" s="7">
        <v>-295.5</v>
      </c>
      <c r="Q73" s="2"/>
      <c r="R73" s="6">
        <f t="shared" si="44"/>
        <v>-5.6423128785648242E-3</v>
      </c>
      <c r="S73" s="2"/>
      <c r="T73" s="7">
        <v>-12.7</v>
      </c>
      <c r="U73" s="2"/>
      <c r="V73" s="6">
        <f t="shared" si="45"/>
        <v>-1.195005629229273E-4</v>
      </c>
      <c r="W73" s="2"/>
      <c r="X73" s="7">
        <f t="shared" si="46"/>
        <v>-282.8</v>
      </c>
      <c r="Y73" s="2"/>
      <c r="Z73" s="6">
        <f t="shared" si="47"/>
        <v>22.267716535433074</v>
      </c>
    </row>
    <row r="74" spans="1:26" s="24" customFormat="1" hidden="1" outlineLevel="2" x14ac:dyDescent="0.25">
      <c r="A74" s="29"/>
      <c r="B74" s="11" t="str">
        <f>CONCATENATE("          ", "6247", " - ", "STORE SUPPLIES")</f>
        <v xml:space="preserve">          6247 - STORE SUPPLIES</v>
      </c>
      <c r="C74" s="11"/>
      <c r="D74" s="7">
        <v>1490.53</v>
      </c>
      <c r="E74" s="2"/>
      <c r="F74" s="6">
        <f t="shared" si="40"/>
        <v>3.1363553822078699E-2</v>
      </c>
      <c r="G74" s="2"/>
      <c r="H74" s="7">
        <v>1286.04</v>
      </c>
      <c r="I74" s="2"/>
      <c r="J74" s="6">
        <f t="shared" si="41"/>
        <v>1.3208230834076911E-2</v>
      </c>
      <c r="K74" s="2"/>
      <c r="L74" s="7">
        <f t="shared" si="42"/>
        <v>204.49</v>
      </c>
      <c r="M74" s="2"/>
      <c r="N74" s="6">
        <f t="shared" si="43"/>
        <v>0.15900749587882182</v>
      </c>
      <c r="O74" s="11"/>
      <c r="P74" s="7">
        <v>5790.92</v>
      </c>
      <c r="Q74" s="2"/>
      <c r="R74" s="6">
        <f t="shared" si="44"/>
        <v>0.11057252959302406</v>
      </c>
      <c r="S74" s="2"/>
      <c r="T74" s="7">
        <v>3603.12</v>
      </c>
      <c r="U74" s="2"/>
      <c r="V74" s="6">
        <f t="shared" si="45"/>
        <v>3.3903532935343136E-2</v>
      </c>
      <c r="W74" s="2"/>
      <c r="X74" s="7">
        <f t="shared" si="46"/>
        <v>2187.8000000000002</v>
      </c>
      <c r="Y74" s="2"/>
      <c r="Z74" s="6">
        <f t="shared" si="47"/>
        <v>0.60719598570128119</v>
      </c>
    </row>
    <row r="75" spans="1:26" s="28" customFormat="1" outlineLevel="1" collapsed="1" x14ac:dyDescent="0.25">
      <c r="A75" s="27"/>
      <c r="B75" s="14" t="str">
        <f>CONCATENATE("     ","Telephone/Data Lines                              ")</f>
        <v xml:space="preserve">     Telephone/Data Lines                              </v>
      </c>
      <c r="C75" s="14"/>
      <c r="D75" s="1">
        <f>SUM(OSRRefD22_10x_0)</f>
        <v>200.75</v>
      </c>
      <c r="E75" s="1"/>
      <c r="F75" s="5">
        <f t="shared" ref="F75:F78" si="48">IF(D$12=0,0,D75/D$12)</f>
        <v>4.2241574673319553E-3</v>
      </c>
      <c r="G75" s="1"/>
      <c r="H75" s="1">
        <f>SUM(OSRRefH22_10x_0)</f>
        <v>199.6</v>
      </c>
      <c r="I75" s="1"/>
      <c r="J75" s="5">
        <f t="shared" ref="J75:J78" si="49">IF(H$12=0,0,H75/H$12)</f>
        <v>2.0499851283643988E-3</v>
      </c>
      <c r="K75" s="1"/>
      <c r="L75" s="1">
        <f t="shared" ref="L75:L78" si="50">+D75-H75</f>
        <v>1.1500000000000057</v>
      </c>
      <c r="M75" s="1"/>
      <c r="N75" s="5">
        <f t="shared" ref="N75:N78" si="51">IF(H75=0,0,L75/H75)</f>
        <v>5.7615230460922127E-3</v>
      </c>
      <c r="O75" s="14"/>
      <c r="P75" s="1">
        <f>SUM(OSRRefP22_10x_0)</f>
        <v>400.75</v>
      </c>
      <c r="Q75" s="1"/>
      <c r="R75" s="5">
        <f t="shared" ref="R75:R78" si="52">IF(P$12=0,0,P75/P$12)</f>
        <v>7.6519691576475571E-3</v>
      </c>
      <c r="S75" s="1"/>
      <c r="T75" s="1">
        <f>SUM(OSRRefT22_10x_0)</f>
        <v>392.05</v>
      </c>
      <c r="U75" s="1"/>
      <c r="V75" s="5">
        <f t="shared" ref="V75:V78" si="53">IF(T$12=0,0,T75/T$12)</f>
        <v>3.6889917869239093E-3</v>
      </c>
      <c r="W75" s="1"/>
      <c r="X75" s="1">
        <f t="shared" ref="X75:X78" si="54">+P75-T75</f>
        <v>8.6999999999999886</v>
      </c>
      <c r="Y75" s="1"/>
      <c r="Z75" s="5">
        <f t="shared" ref="Z75:Z78" si="55">IF(T75=0,0,X75/T75)</f>
        <v>2.2191047060323908E-2</v>
      </c>
    </row>
    <row r="76" spans="1:26" s="24" customFormat="1" hidden="1" outlineLevel="2" x14ac:dyDescent="0.25">
      <c r="A76" s="29"/>
      <c r="B76" s="11" t="str">
        <f>CONCATENATE("          ", "6309", " - ", "TELEPHONE")</f>
        <v xml:space="preserve">          6309 - TELEPHONE</v>
      </c>
      <c r="C76" s="11"/>
      <c r="D76" s="7">
        <v>200.75</v>
      </c>
      <c r="E76" s="2"/>
      <c r="F76" s="6">
        <f t="shared" si="48"/>
        <v>4.2241574673319553E-3</v>
      </c>
      <c r="G76" s="2"/>
      <c r="H76" s="7">
        <v>199.6</v>
      </c>
      <c r="I76" s="2"/>
      <c r="J76" s="6">
        <f t="shared" si="49"/>
        <v>2.0499851283643988E-3</v>
      </c>
      <c r="K76" s="2"/>
      <c r="L76" s="7">
        <f t="shared" si="50"/>
        <v>1.1500000000000057</v>
      </c>
      <c r="M76" s="2"/>
      <c r="N76" s="6">
        <f t="shared" si="51"/>
        <v>5.7615230460922127E-3</v>
      </c>
      <c r="O76" s="11"/>
      <c r="P76" s="7">
        <v>400.75</v>
      </c>
      <c r="Q76" s="2"/>
      <c r="R76" s="6">
        <f t="shared" si="52"/>
        <v>7.6519691576475571E-3</v>
      </c>
      <c r="S76" s="2"/>
      <c r="T76" s="7">
        <v>392.05</v>
      </c>
      <c r="U76" s="2"/>
      <c r="V76" s="6">
        <f t="shared" si="53"/>
        <v>3.6889917869239093E-3</v>
      </c>
      <c r="W76" s="2"/>
      <c r="X76" s="7">
        <f t="shared" si="54"/>
        <v>8.6999999999999886</v>
      </c>
      <c r="Y76" s="2"/>
      <c r="Z76" s="6">
        <f t="shared" si="55"/>
        <v>2.2191047060323908E-2</v>
      </c>
    </row>
    <row r="77" spans="1:26" s="28" customFormat="1" outlineLevel="1" collapsed="1" x14ac:dyDescent="0.25">
      <c r="A77" s="27"/>
      <c r="B77" s="14" t="str">
        <f>CONCATENATE("     ","Utilities                                         ")</f>
        <v xml:space="preserve">     Utilities                                         </v>
      </c>
      <c r="C77" s="14"/>
      <c r="D77" s="1">
        <f>SUM(OSRRefD22_11x_0)</f>
        <v>15.02</v>
      </c>
      <c r="E77" s="1"/>
      <c r="F77" s="5">
        <f t="shared" si="48"/>
        <v>3.1604904188954402E-4</v>
      </c>
      <c r="G77" s="1"/>
      <c r="H77" s="1">
        <f>SUM(OSRRefH22_11x_0)</f>
        <v>0</v>
      </c>
      <c r="I77" s="1"/>
      <c r="J77" s="5">
        <f t="shared" si="49"/>
        <v>0</v>
      </c>
      <c r="K77" s="1"/>
      <c r="L77" s="1">
        <f t="shared" si="50"/>
        <v>15.02</v>
      </c>
      <c r="M77" s="1"/>
      <c r="N77" s="5">
        <f t="shared" si="51"/>
        <v>0</v>
      </c>
      <c r="O77" s="14"/>
      <c r="P77" s="1">
        <f>SUM(OSRRefP22_11x_0)</f>
        <v>15.02</v>
      </c>
      <c r="Q77" s="1"/>
      <c r="R77" s="5">
        <f t="shared" si="52"/>
        <v>2.8679370367527466E-4</v>
      </c>
      <c r="S77" s="1"/>
      <c r="T77" s="1">
        <f>SUM(OSRRefT22_11x_0)</f>
        <v>0</v>
      </c>
      <c r="U77" s="1"/>
      <c r="V77" s="5">
        <f t="shared" si="53"/>
        <v>0</v>
      </c>
      <c r="W77" s="1"/>
      <c r="X77" s="1">
        <f t="shared" si="54"/>
        <v>15.02</v>
      </c>
      <c r="Y77" s="1"/>
      <c r="Z77" s="5">
        <f t="shared" si="55"/>
        <v>0</v>
      </c>
    </row>
    <row r="78" spans="1:26" s="24" customFormat="1" hidden="1" outlineLevel="2" x14ac:dyDescent="0.25">
      <c r="A78" s="29"/>
      <c r="B78" s="11" t="str">
        <f>CONCATENATE("          ", "6274", " - ", "UTILITIES")</f>
        <v xml:space="preserve">          6274 - UTILITIES</v>
      </c>
      <c r="C78" s="11"/>
      <c r="D78" s="7">
        <v>15.02</v>
      </c>
      <c r="E78" s="2"/>
      <c r="F78" s="6">
        <f t="shared" si="48"/>
        <v>3.1604904188954402E-4</v>
      </c>
      <c r="G78" s="2"/>
      <c r="H78" s="7"/>
      <c r="I78" s="2"/>
      <c r="J78" s="6">
        <f t="shared" si="49"/>
        <v>0</v>
      </c>
      <c r="K78" s="2"/>
      <c r="L78" s="7">
        <f t="shared" si="50"/>
        <v>15.02</v>
      </c>
      <c r="M78" s="2"/>
      <c r="N78" s="6">
        <f t="shared" si="51"/>
        <v>0</v>
      </c>
      <c r="O78" s="11"/>
      <c r="P78" s="7">
        <v>15.02</v>
      </c>
      <c r="Q78" s="2"/>
      <c r="R78" s="6">
        <f t="shared" si="52"/>
        <v>2.8679370367527466E-4</v>
      </c>
      <c r="S78" s="2"/>
      <c r="T78" s="7"/>
      <c r="U78" s="2"/>
      <c r="V78" s="6">
        <f t="shared" si="53"/>
        <v>0</v>
      </c>
      <c r="W78" s="2"/>
      <c r="X78" s="7">
        <f t="shared" si="54"/>
        <v>15.02</v>
      </c>
      <c r="Y78" s="2"/>
      <c r="Z78" s="6">
        <f t="shared" si="55"/>
        <v>0</v>
      </c>
    </row>
    <row r="79" spans="1:26" s="52" customFormat="1" x14ac:dyDescent="0.25">
      <c r="A79" s="37"/>
      <c r="B79" s="37"/>
      <c r="C79" s="37"/>
      <c r="D79" s="1"/>
      <c r="E79" s="1"/>
      <c r="F79" s="5"/>
      <c r="G79" s="1"/>
      <c r="H79" s="1"/>
      <c r="I79" s="1"/>
      <c r="J79" s="5"/>
      <c r="K79" s="1"/>
      <c r="L79" s="1"/>
      <c r="M79" s="1"/>
      <c r="N79" s="5"/>
      <c r="O79" s="37"/>
      <c r="P79" s="1"/>
      <c r="Q79" s="1"/>
      <c r="R79" s="5"/>
      <c r="S79" s="1"/>
      <c r="T79" s="1"/>
      <c r="U79" s="1"/>
      <c r="V79" s="5"/>
      <c r="W79" s="1"/>
      <c r="X79" s="1"/>
      <c r="Y79" s="1"/>
      <c r="Z79" s="5"/>
    </row>
    <row r="80" spans="1:26" s="23" customFormat="1" collapsed="1" x14ac:dyDescent="0.25">
      <c r="A80" s="10"/>
      <c r="B80" s="25" t="s">
        <v>0</v>
      </c>
      <c r="C80" s="10"/>
      <c r="D80" s="4">
        <f>SUM(OSRRefD25x_0)</f>
        <v>6782</v>
      </c>
      <c r="E80" s="4"/>
      <c r="F80" s="12">
        <f t="shared" ref="F80:F85" si="56">IF(D$12=0,0,D80/D$12)</f>
        <v>0.14270603209686336</v>
      </c>
      <c r="G80" s="4"/>
      <c r="H80" s="4">
        <f>SUM(OSRRefH25x_0)</f>
        <v>36231.15</v>
      </c>
      <c r="I80" s="4"/>
      <c r="J80" s="12">
        <f t="shared" ref="J80:J85" si="57">IF(H$12=0,0,H80/H$12)</f>
        <v>0.37211081504779453</v>
      </c>
      <c r="K80" s="4"/>
      <c r="L80" s="4">
        <f t="shared" ref="L80:L85" si="58">+D80-H80</f>
        <v>-29449.15</v>
      </c>
      <c r="M80" s="4"/>
      <c r="N80" s="12">
        <f t="shared" ref="N80:N85" si="59">IF(H80=0,0,L80/H80)</f>
        <v>-0.81281300759153385</v>
      </c>
      <c r="O80" s="10"/>
      <c r="P80" s="4">
        <f>SUM(OSRRefP25x_0)</f>
        <v>13564</v>
      </c>
      <c r="Q80" s="4"/>
      <c r="R80" s="12">
        <f t="shared" ref="R80:R85" si="60">IF(P$12=0,0,P80/P$12)</f>
        <v>0.25899266289290446</v>
      </c>
      <c r="S80" s="4"/>
      <c r="T80" s="4">
        <f>SUM(OSRRefT25x_0)</f>
        <v>49829.85</v>
      </c>
      <c r="U80" s="4"/>
      <c r="V80" s="12">
        <f t="shared" ref="V80:V85" si="61">IF(T$12=0,0,T80/T$12)</f>
        <v>0.46887363191850623</v>
      </c>
      <c r="W80" s="4"/>
      <c r="X80" s="4">
        <f t="shared" ref="X80:X85" si="62">+P80-T80</f>
        <v>-36265.85</v>
      </c>
      <c r="Y80" s="4"/>
      <c r="Z80" s="12">
        <f t="shared" ref="Z80:Z85" si="63">IF(T80=0,0,X80/T80)</f>
        <v>-0.727793681899504</v>
      </c>
    </row>
    <row r="81" spans="1:26" s="24" customFormat="1" hidden="1" outlineLevel="1" x14ac:dyDescent="0.25">
      <c r="A81" s="44"/>
      <c r="B81" s="11" t="str">
        <f>CONCATENATE("          ", "4098", " - ", "TAXABLE SALES-GRAD RENTALS")</f>
        <v xml:space="preserve">          4098 - TAXABLE SALES-GRAD RENTALS</v>
      </c>
      <c r="C81" s="11"/>
      <c r="D81" s="2">
        <f t="shared" ref="D81:D83" si="64">0</f>
        <v>0</v>
      </c>
      <c r="E81" s="2"/>
      <c r="F81" s="19">
        <f t="shared" si="56"/>
        <v>0</v>
      </c>
      <c r="G81" s="2"/>
      <c r="H81" s="2">
        <f>--1552.15</f>
        <v>1552.15</v>
      </c>
      <c r="I81" s="2"/>
      <c r="J81" s="19">
        <f t="shared" si="57"/>
        <v>1.5941304694342694E-2</v>
      </c>
      <c r="K81" s="2"/>
      <c r="L81" s="2">
        <f t="shared" si="58"/>
        <v>-1552.15</v>
      </c>
      <c r="M81" s="2"/>
      <c r="N81" s="19">
        <f t="shared" si="59"/>
        <v>-1</v>
      </c>
      <c r="O81" s="11"/>
      <c r="P81" s="2">
        <f t="shared" ref="P81:P83" si="65">0</f>
        <v>0</v>
      </c>
      <c r="Q81" s="2"/>
      <c r="R81" s="19">
        <f t="shared" si="60"/>
        <v>0</v>
      </c>
      <c r="S81" s="2"/>
      <c r="T81" s="2">
        <f>--1626.85</f>
        <v>1626.85</v>
      </c>
      <c r="U81" s="2"/>
      <c r="V81" s="19">
        <f t="shared" si="61"/>
        <v>1.5307833920564116E-2</v>
      </c>
      <c r="W81" s="2"/>
      <c r="X81" s="2">
        <f t="shared" si="62"/>
        <v>-1626.85</v>
      </c>
      <c r="Y81" s="2"/>
      <c r="Z81" s="19">
        <f t="shared" si="63"/>
        <v>-1</v>
      </c>
    </row>
    <row r="82" spans="1:26" s="24" customFormat="1" hidden="1" outlineLevel="1" x14ac:dyDescent="0.25">
      <c r="A82" s="44"/>
      <c r="B82" s="11" t="str">
        <f>CONCATENATE("          ", "4197", " - ", "NON-TAXABLE SALES-RETURNED CHE")</f>
        <v xml:space="preserve">          4197 - NON-TAXABLE SALES-RETURNED CHE</v>
      </c>
      <c r="C82" s="11"/>
      <c r="D82" s="2">
        <f t="shared" si="64"/>
        <v>0</v>
      </c>
      <c r="E82" s="2"/>
      <c r="F82" s="19">
        <f t="shared" si="56"/>
        <v>0</v>
      </c>
      <c r="G82" s="2"/>
      <c r="H82" s="2">
        <f>--30</f>
        <v>30</v>
      </c>
      <c r="I82" s="2"/>
      <c r="J82" s="19">
        <f t="shared" si="57"/>
        <v>3.0811399724915814E-4</v>
      </c>
      <c r="K82" s="2"/>
      <c r="L82" s="2">
        <f t="shared" si="58"/>
        <v>-30</v>
      </c>
      <c r="M82" s="2"/>
      <c r="N82" s="19">
        <f t="shared" si="59"/>
        <v>-1</v>
      </c>
      <c r="O82" s="11"/>
      <c r="P82" s="2">
        <f t="shared" si="65"/>
        <v>0</v>
      </c>
      <c r="Q82" s="2"/>
      <c r="R82" s="19">
        <f t="shared" si="60"/>
        <v>0</v>
      </c>
      <c r="S82" s="2"/>
      <c r="T82" s="2">
        <f>--30</f>
        <v>30</v>
      </c>
      <c r="U82" s="2"/>
      <c r="V82" s="19">
        <f t="shared" si="61"/>
        <v>2.8228479430612749E-4</v>
      </c>
      <c r="W82" s="2"/>
      <c r="X82" s="2">
        <f t="shared" si="62"/>
        <v>-30</v>
      </c>
      <c r="Y82" s="2"/>
      <c r="Z82" s="19">
        <f t="shared" si="63"/>
        <v>-1</v>
      </c>
    </row>
    <row r="83" spans="1:26" s="24" customFormat="1" hidden="1" outlineLevel="1" x14ac:dyDescent="0.25">
      <c r="A83" s="44"/>
      <c r="B83" s="11" t="str">
        <f>CONCATENATE("          ", "4198", " - ", "NON-TAXABLE SALES-GRAD RENTALS")</f>
        <v xml:space="preserve">          4198 - NON-TAXABLE SALES-GRAD RENTALS</v>
      </c>
      <c r="C83" s="11"/>
      <c r="D83" s="2">
        <f t="shared" si="64"/>
        <v>0</v>
      </c>
      <c r="E83" s="2"/>
      <c r="F83" s="19">
        <f t="shared" si="56"/>
        <v>0</v>
      </c>
      <c r="G83" s="2"/>
      <c r="H83" s="2">
        <f>--210</f>
        <v>210</v>
      </c>
      <c r="I83" s="2"/>
      <c r="J83" s="19">
        <f t="shared" si="57"/>
        <v>2.1567979807441072E-3</v>
      </c>
      <c r="K83" s="2"/>
      <c r="L83" s="2">
        <f t="shared" si="58"/>
        <v>-210</v>
      </c>
      <c r="M83" s="2"/>
      <c r="N83" s="19">
        <f t="shared" si="59"/>
        <v>-1</v>
      </c>
      <c r="O83" s="11"/>
      <c r="P83" s="2">
        <f t="shared" si="65"/>
        <v>0</v>
      </c>
      <c r="Q83" s="2"/>
      <c r="R83" s="19">
        <f t="shared" si="60"/>
        <v>0</v>
      </c>
      <c r="S83" s="2"/>
      <c r="T83" s="2">
        <f>--465</f>
        <v>465</v>
      </c>
      <c r="U83" s="2"/>
      <c r="V83" s="19">
        <f t="shared" si="61"/>
        <v>4.3754143117449764E-3</v>
      </c>
      <c r="W83" s="2"/>
      <c r="X83" s="2">
        <f t="shared" si="62"/>
        <v>-465</v>
      </c>
      <c r="Y83" s="2"/>
      <c r="Z83" s="19">
        <f t="shared" si="63"/>
        <v>-1</v>
      </c>
    </row>
    <row r="84" spans="1:26" s="24" customFormat="1" hidden="1" outlineLevel="1" x14ac:dyDescent="0.25">
      <c r="A84" s="44"/>
      <c r="B84" s="11" t="str">
        <f>CONCATENATE("          ", "9150", " - ", "MISC. INCOME")</f>
        <v xml:space="preserve">          9150 - MISC. INCOME</v>
      </c>
      <c r="C84" s="11"/>
      <c r="D84" s="2">
        <f>--6782</f>
        <v>6782</v>
      </c>
      <c r="E84" s="2"/>
      <c r="F84" s="19">
        <f t="shared" si="56"/>
        <v>0.14270603209686336</v>
      </c>
      <c r="G84" s="2"/>
      <c r="H84" s="2">
        <f>--13269</f>
        <v>13269</v>
      </c>
      <c r="I84" s="2"/>
      <c r="J84" s="19">
        <f t="shared" si="57"/>
        <v>0.13627882098330266</v>
      </c>
      <c r="K84" s="2"/>
      <c r="L84" s="2">
        <f t="shared" si="58"/>
        <v>-6487</v>
      </c>
      <c r="M84" s="2"/>
      <c r="N84" s="19">
        <f t="shared" si="59"/>
        <v>-0.48888386464692141</v>
      </c>
      <c r="O84" s="11"/>
      <c r="P84" s="2">
        <f>--13564</f>
        <v>13564</v>
      </c>
      <c r="Q84" s="2"/>
      <c r="R84" s="19">
        <f t="shared" si="60"/>
        <v>0.25899266289290446</v>
      </c>
      <c r="S84" s="2"/>
      <c r="T84" s="2">
        <f>--26538</f>
        <v>26538</v>
      </c>
      <c r="U84" s="2"/>
      <c r="V84" s="19">
        <f t="shared" si="61"/>
        <v>0.24970912904320036</v>
      </c>
      <c r="W84" s="2"/>
      <c r="X84" s="2">
        <f t="shared" si="62"/>
        <v>-12974</v>
      </c>
      <c r="Y84" s="2"/>
      <c r="Z84" s="19">
        <f t="shared" si="63"/>
        <v>-0.48888386464692141</v>
      </c>
    </row>
    <row r="85" spans="1:26" s="24" customFormat="1" hidden="1" outlineLevel="1" x14ac:dyDescent="0.25">
      <c r="A85" s="44"/>
      <c r="B85" s="11" t="str">
        <f>CONCATENATE("          ", "9160", " - ", "MISC. INCOME")</f>
        <v xml:space="preserve">          9160 - MISC. INCOME</v>
      </c>
      <c r="C85" s="11"/>
      <c r="D85" s="2">
        <f>0</f>
        <v>0</v>
      </c>
      <c r="E85" s="2"/>
      <c r="F85" s="19">
        <f t="shared" si="56"/>
        <v>0</v>
      </c>
      <c r="G85" s="2"/>
      <c r="H85" s="2">
        <f>--21170</f>
        <v>21170</v>
      </c>
      <c r="I85" s="2"/>
      <c r="J85" s="19">
        <f t="shared" si="57"/>
        <v>0.21742577739215593</v>
      </c>
      <c r="K85" s="2"/>
      <c r="L85" s="2">
        <f t="shared" si="58"/>
        <v>-21170</v>
      </c>
      <c r="M85" s="2"/>
      <c r="N85" s="19">
        <f t="shared" si="59"/>
        <v>-1</v>
      </c>
      <c r="O85" s="11"/>
      <c r="P85" s="2">
        <f>0</f>
        <v>0</v>
      </c>
      <c r="Q85" s="2"/>
      <c r="R85" s="19">
        <f t="shared" si="60"/>
        <v>0</v>
      </c>
      <c r="S85" s="2"/>
      <c r="T85" s="2">
        <f>--21170</f>
        <v>21170</v>
      </c>
      <c r="U85" s="2"/>
      <c r="V85" s="19">
        <f t="shared" si="61"/>
        <v>0.19919896984869062</v>
      </c>
      <c r="W85" s="2"/>
      <c r="X85" s="2">
        <f t="shared" si="62"/>
        <v>-21170</v>
      </c>
      <c r="Y85" s="2"/>
      <c r="Z85" s="19">
        <f t="shared" si="63"/>
        <v>-1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x14ac:dyDescent="0.25">
      <c r="A87" s="10"/>
      <c r="B87" s="26" t="s">
        <v>3</v>
      </c>
      <c r="C87" s="26"/>
      <c r="D87" s="22">
        <f>+D36-D38+D80</f>
        <v>104716.87999999998</v>
      </c>
      <c r="E87" s="13"/>
      <c r="F87" s="21">
        <f>IF(D$12=0,0,D87/D$12)</f>
        <v>2.2034400528403695</v>
      </c>
      <c r="G87" s="13"/>
      <c r="H87" s="22">
        <f>+H36-H38+H80</f>
        <v>105707.90000000002</v>
      </c>
      <c r="I87" s="13"/>
      <c r="J87" s="21">
        <f>IF(H$12=0,0,H87/H$12)</f>
        <v>1.0856694536604763</v>
      </c>
      <c r="K87" s="16"/>
      <c r="L87" s="22">
        <f>+D87-H87</f>
        <v>-991.02000000004773</v>
      </c>
      <c r="M87" s="16"/>
      <c r="N87" s="21">
        <f>IF(H87=0,0,L87/H87)</f>
        <v>-9.3750798190111381E-3</v>
      </c>
      <c r="O87" s="25"/>
      <c r="P87" s="22">
        <f>+P36-P38+P80</f>
        <v>67192.800000000017</v>
      </c>
      <c r="Q87" s="13"/>
      <c r="R87" s="21">
        <f>IF(P$12=0,0,P87/P$12)</f>
        <v>1.2829874815121172</v>
      </c>
      <c r="S87" s="13"/>
      <c r="T87" s="22">
        <f>+T36-T38+T80</f>
        <v>92427.88</v>
      </c>
      <c r="U87" s="13"/>
      <c r="V87" s="21">
        <f>IF(T$12=0,0,T87/T$12)</f>
        <v>0.86969950313171451</v>
      </c>
      <c r="W87" s="16"/>
      <c r="X87" s="22">
        <f>+P87-T87</f>
        <v>-25235.079999999987</v>
      </c>
      <c r="Y87" s="16"/>
      <c r="Z87" s="21">
        <f>IF(T87=0,0,X87/T87)</f>
        <v>-0.27302454627326717</v>
      </c>
    </row>
    <row r="88" spans="1:26" x14ac:dyDescent="0.25">
      <c r="A88" s="9"/>
      <c r="B88" s="10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s="23" customFormat="1" x14ac:dyDescent="0.25">
      <c r="A89" s="51"/>
      <c r="B89" s="10" t="s">
        <v>13</v>
      </c>
      <c r="C89" s="10"/>
      <c r="D89" s="4">
        <v>6510.77</v>
      </c>
      <c r="E89" s="4"/>
      <c r="F89" s="12">
        <f>IF(D$12=0,0,D89/D$12)</f>
        <v>0.13699884290700312</v>
      </c>
      <c r="G89" s="4"/>
      <c r="H89" s="4">
        <v>11398.17</v>
      </c>
      <c r="I89" s="4"/>
      <c r="J89" s="12">
        <f>IF(H$12=0,0,H89/H$12)</f>
        <v>0.11706452400084789</v>
      </c>
      <c r="K89" s="4"/>
      <c r="L89" s="4">
        <f>+D89-H89</f>
        <v>-4887.3999999999996</v>
      </c>
      <c r="M89" s="4"/>
      <c r="N89" s="12">
        <f>IF(H89=0,0,L89/H89)</f>
        <v>-0.4287881300243811</v>
      </c>
      <c r="O89" s="10"/>
      <c r="P89" s="4">
        <v>8842.34</v>
      </c>
      <c r="Q89" s="4"/>
      <c r="R89" s="12">
        <f>IF(P$12=0,0,P89/P$12)</f>
        <v>0.16883671356564767</v>
      </c>
      <c r="S89" s="4"/>
      <c r="T89" s="4">
        <v>13250.64</v>
      </c>
      <c r="U89" s="4"/>
      <c r="V89" s="12">
        <f>IF(T$12=0,0,T89/T$12)</f>
        <v>0.12468180622748483</v>
      </c>
      <c r="W89" s="4"/>
      <c r="X89" s="4">
        <f>+P89-T89</f>
        <v>-4408.2999999999993</v>
      </c>
      <c r="Y89" s="4"/>
      <c r="Z89" s="12">
        <f>IF(T89=0,0,X89/T89)</f>
        <v>-0.33268581743976133</v>
      </c>
    </row>
    <row r="90" spans="1:26" x14ac:dyDescent="0.25">
      <c r="A90" s="9"/>
      <c r="B90" s="10"/>
      <c r="C90" s="10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O90" s="10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.75" thickBot="1" x14ac:dyDescent="0.3">
      <c r="A91" s="10"/>
      <c r="B91" s="26" t="s">
        <v>4</v>
      </c>
      <c r="C91" s="26"/>
      <c r="D91" s="36">
        <f>+D87-D89</f>
        <v>98206.109999999971</v>
      </c>
      <c r="E91" s="13"/>
      <c r="F91" s="34">
        <f>IF(D$12=0,0,D91/D$12)</f>
        <v>2.066441209933366</v>
      </c>
      <c r="G91" s="13"/>
      <c r="H91" s="36">
        <f>+H87-H89</f>
        <v>94309.730000000025</v>
      </c>
      <c r="I91" s="13"/>
      <c r="J91" s="34">
        <f>IF(H$12=0,0,H91/H$12)</f>
        <v>0.96860492965962852</v>
      </c>
      <c r="K91" s="16"/>
      <c r="L91" s="36">
        <f>D91-H91</f>
        <v>3896.3799999999464</v>
      </c>
      <c r="M91" s="16"/>
      <c r="N91" s="34">
        <f>IF(H91=0,0,L91/H91)</f>
        <v>4.1314719064511639E-2</v>
      </c>
      <c r="O91" s="25"/>
      <c r="P91" s="36">
        <f>+P87-P89</f>
        <v>58350.460000000021</v>
      </c>
      <c r="Q91" s="13"/>
      <c r="R91" s="34">
        <f>IF(P$12=0,0,P91/P$12)</f>
        <v>1.1141507679464695</v>
      </c>
      <c r="S91" s="13"/>
      <c r="T91" s="36">
        <f>+T87-T89</f>
        <v>79177.240000000005</v>
      </c>
      <c r="U91" s="13"/>
      <c r="V91" s="34">
        <f>IF(T$12=0,0,T91/T$12)</f>
        <v>0.7450176969042297</v>
      </c>
      <c r="W91" s="16"/>
      <c r="X91" s="36">
        <f>P91-T91</f>
        <v>-20826.779999999984</v>
      </c>
      <c r="Y91" s="16"/>
      <c r="Z91" s="34">
        <f>IF(T91=0,0,X91/T91)</f>
        <v>-0.26303998472288226</v>
      </c>
    </row>
    <row r="92" spans="1:26" ht="15.75" thickTop="1" x14ac:dyDescent="0.25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.75" thickBot="1" x14ac:dyDescent="0.3">
      <c r="A94" s="10"/>
      <c r="B94" s="26" t="s">
        <v>5</v>
      </c>
      <c r="C94" s="26"/>
      <c r="D94" s="30">
        <f>SUM(D91:D93)</f>
        <v>98206.109999999971</v>
      </c>
      <c r="E94" s="13"/>
      <c r="F94" s="31">
        <f>IF(D$12=0,0,D94/D$12)</f>
        <v>2.066441209933366</v>
      </c>
      <c r="G94" s="13"/>
      <c r="H94" s="30">
        <f>SUM(H91:H93)</f>
        <v>94309.730000000025</v>
      </c>
      <c r="I94" s="13"/>
      <c r="J94" s="31">
        <f>IF(H$12=0,0,H94/H$12)</f>
        <v>0.96860492965962852</v>
      </c>
      <c r="K94" s="16"/>
      <c r="L94" s="30">
        <f>+D94-H94</f>
        <v>3896.3799999999464</v>
      </c>
      <c r="M94" s="16"/>
      <c r="N94" s="31">
        <f>IF(H94=0,0,L94/H94)</f>
        <v>4.1314719064511639E-2</v>
      </c>
      <c r="O94" s="25"/>
      <c r="P94" s="30">
        <f>SUM(P91:P93)</f>
        <v>58350.460000000021</v>
      </c>
      <c r="Q94" s="13"/>
      <c r="R94" s="31">
        <f>IF(P$12=0,0,P94/P$12)</f>
        <v>1.1141507679464695</v>
      </c>
      <c r="S94" s="13"/>
      <c r="T94" s="30">
        <f>SUM(T91:T93)</f>
        <v>79177.240000000005</v>
      </c>
      <c r="U94" s="13"/>
      <c r="V94" s="31">
        <f>IF(T$12=0,0,T94/T$12)</f>
        <v>0.7450176969042297</v>
      </c>
      <c r="W94" s="16"/>
      <c r="X94" s="30">
        <f>+P94-T94</f>
        <v>-20826.779999999984</v>
      </c>
      <c r="Y94" s="16"/>
      <c r="Z94" s="31">
        <f>IF(T94=0,0,X94/T94)</f>
        <v>-0.26303998472288226</v>
      </c>
    </row>
    <row r="95" spans="1:26" ht="15.75" thickTop="1" x14ac:dyDescent="0.25">
      <c r="A95" s="9"/>
      <c r="C95" s="9"/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  <row r="96" spans="1:26" x14ac:dyDescent="0.25">
      <c r="A96" s="9"/>
      <c r="B96" s="61">
        <v>44113.695782604169</v>
      </c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56" t="s">
        <v>313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8"/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","316", " - ", "Campus Copy Center")</f>
        <v>Department 316 - Campus Copy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47524.27</v>
      </c>
      <c r="E12" s="4"/>
      <c r="F12" s="12"/>
      <c r="G12" s="4"/>
      <c r="H12" s="4">
        <f>SUM(OSRRefH13x_0)</f>
        <v>95870.160000000018</v>
      </c>
      <c r="I12" s="4"/>
      <c r="J12" s="12"/>
      <c r="K12" s="4"/>
      <c r="L12" s="4">
        <f t="shared" ref="L12:L24" si="0">+D12-H12</f>
        <v>-48345.890000000021</v>
      </c>
      <c r="M12" s="4"/>
      <c r="N12" s="12">
        <f t="shared" ref="N12:N24" si="1">IF(H12=0,0,L12/H12)</f>
        <v>-0.50428506638561998</v>
      </c>
      <c r="O12" s="10"/>
      <c r="P12" s="4">
        <f>SUM(OSRRefP13x_0)</f>
        <v>52372.140000000007</v>
      </c>
      <c r="Q12" s="4"/>
      <c r="R12" s="12"/>
      <c r="S12" s="4"/>
      <c r="T12" s="4">
        <f>SUM(OSRRefT13x_0)</f>
        <v>102624.93000000001</v>
      </c>
      <c r="U12" s="4"/>
      <c r="V12" s="12"/>
      <c r="W12" s="4"/>
      <c r="X12" s="4">
        <f t="shared" ref="X12:X24" si="2">+P12-T12</f>
        <v>-50252.79</v>
      </c>
      <c r="Y12" s="4"/>
      <c r="Z12" s="12">
        <f t="shared" ref="Z12:Z24" si="3">IF(T12=0,0,X12/T12)</f>
        <v>-0.48967429259147849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-7.3</f>
        <v>-7.3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-7.3</v>
      </c>
      <c r="M13" s="2"/>
      <c r="N13" s="19">
        <f t="shared" si="1"/>
        <v>0</v>
      </c>
      <c r="O13" s="11"/>
      <c r="P13" s="2">
        <f>-7.3</f>
        <v>-7.3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-7.3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>--42350.45</f>
        <v>42350.45</v>
      </c>
      <c r="E14" s="2"/>
      <c r="F14" s="19"/>
      <c r="G14" s="2"/>
      <c r="H14" s="2">
        <f>--73904.1</f>
        <v>73904.100000000006</v>
      </c>
      <c r="I14" s="2"/>
      <c r="J14" s="19"/>
      <c r="K14" s="2"/>
      <c r="L14" s="2">
        <f t="shared" si="0"/>
        <v>-31553.650000000009</v>
      </c>
      <c r="M14" s="2"/>
      <c r="N14" s="19">
        <f t="shared" si="1"/>
        <v>-0.4269539849615922</v>
      </c>
      <c r="O14" s="11"/>
      <c r="P14" s="2">
        <f>--43436.05</f>
        <v>43436.05</v>
      </c>
      <c r="Q14" s="2"/>
      <c r="R14" s="19"/>
      <c r="S14" s="2"/>
      <c r="T14" s="2">
        <f>--74367.8</f>
        <v>74367.8</v>
      </c>
      <c r="U14" s="2"/>
      <c r="V14" s="19"/>
      <c r="W14" s="2"/>
      <c r="X14" s="2">
        <f t="shared" si="2"/>
        <v>-30931.75</v>
      </c>
      <c r="Y14" s="2"/>
      <c r="Z14" s="19">
        <f t="shared" si="3"/>
        <v>-0.41592934038656515</v>
      </c>
    </row>
    <row r="15" spans="1:26" s="24" customFormat="1" hidden="1" outlineLevel="1" x14ac:dyDescent="0.25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>--5206.35</f>
        <v>5206.3500000000004</v>
      </c>
      <c r="E15" s="2"/>
      <c r="F15" s="19"/>
      <c r="G15" s="2"/>
      <c r="H15" s="2">
        <f>--8017.07</f>
        <v>8017.07</v>
      </c>
      <c r="I15" s="2"/>
      <c r="J15" s="19"/>
      <c r="K15" s="2"/>
      <c r="L15" s="2">
        <f t="shared" si="0"/>
        <v>-2810.7199999999993</v>
      </c>
      <c r="M15" s="2"/>
      <c r="N15" s="19">
        <f t="shared" si="1"/>
        <v>-0.3505919244811383</v>
      </c>
      <c r="O15" s="11"/>
      <c r="P15" s="2">
        <f>--8956.87</f>
        <v>8956.8700000000008</v>
      </c>
      <c r="Q15" s="2"/>
      <c r="R15" s="19"/>
      <c r="S15" s="2"/>
      <c r="T15" s="2">
        <f>--12076.99</f>
        <v>12076.99</v>
      </c>
      <c r="U15" s="2"/>
      <c r="V15" s="19"/>
      <c r="W15" s="2"/>
      <c r="X15" s="2">
        <f t="shared" si="2"/>
        <v>-3120.119999999999</v>
      </c>
      <c r="Y15" s="2"/>
      <c r="Z15" s="19">
        <f t="shared" si="3"/>
        <v>-0.25835245371570226</v>
      </c>
    </row>
    <row r="16" spans="1:26" s="24" customFormat="1" hidden="1" outlineLevel="1" x14ac:dyDescent="0.25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>--4.99</f>
        <v>4.99</v>
      </c>
      <c r="E16" s="2"/>
      <c r="F16" s="19"/>
      <c r="G16" s="2"/>
      <c r="H16" s="2">
        <f>--61.71</f>
        <v>61.71</v>
      </c>
      <c r="I16" s="2"/>
      <c r="J16" s="19"/>
      <c r="K16" s="2"/>
      <c r="L16" s="2">
        <f t="shared" si="0"/>
        <v>-56.72</v>
      </c>
      <c r="M16" s="2"/>
      <c r="N16" s="19">
        <f t="shared" si="1"/>
        <v>-0.91913790309512233</v>
      </c>
      <c r="O16" s="11"/>
      <c r="P16" s="2">
        <f>--4.99</f>
        <v>4.99</v>
      </c>
      <c r="Q16" s="2"/>
      <c r="R16" s="19"/>
      <c r="S16" s="2"/>
      <c r="T16" s="2">
        <f>--77.26</f>
        <v>77.260000000000005</v>
      </c>
      <c r="U16" s="2"/>
      <c r="V16" s="19"/>
      <c r="W16" s="2"/>
      <c r="X16" s="2">
        <f t="shared" si="2"/>
        <v>-72.27000000000001</v>
      </c>
      <c r="Y16" s="2"/>
      <c r="Z16" s="19">
        <f t="shared" si="3"/>
        <v>-0.93541289153507645</v>
      </c>
    </row>
    <row r="17" spans="1:26" s="24" customFormat="1" hidden="1" outlineLevel="1" x14ac:dyDescent="0.25">
      <c r="A17" s="44"/>
      <c r="B17" s="11" t="str">
        <f>CONCATENATE("          ", "4047", " - ", "TAXABLE SALES-MISC")</f>
        <v xml:space="preserve">          4047 - TAXABLE SALES-MISC</v>
      </c>
      <c r="C17" s="11"/>
      <c r="D17" s="2">
        <f>0</f>
        <v>0</v>
      </c>
      <c r="E17" s="2"/>
      <c r="F17" s="19"/>
      <c r="G17" s="2"/>
      <c r="H17" s="2">
        <f>--442.38</f>
        <v>442.38</v>
      </c>
      <c r="I17" s="2"/>
      <c r="J17" s="19"/>
      <c r="K17" s="2"/>
      <c r="L17" s="2">
        <f t="shared" si="0"/>
        <v>-442.38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--482.38</f>
        <v>482.38</v>
      </c>
      <c r="U17" s="2"/>
      <c r="V17" s="19"/>
      <c r="W17" s="2"/>
      <c r="X17" s="2">
        <f t="shared" si="2"/>
        <v>-482.38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>--446.75</f>
        <v>446.75</v>
      </c>
      <c r="E18" s="2"/>
      <c r="F18" s="19"/>
      <c r="G18" s="2"/>
      <c r="H18" s="2">
        <f>--169.45</f>
        <v>169.45</v>
      </c>
      <c r="I18" s="2"/>
      <c r="J18" s="19"/>
      <c r="K18" s="2"/>
      <c r="L18" s="2">
        <f t="shared" si="0"/>
        <v>277.3</v>
      </c>
      <c r="M18" s="2"/>
      <c r="N18" s="19">
        <f t="shared" si="1"/>
        <v>1.636470935379168</v>
      </c>
      <c r="O18" s="11"/>
      <c r="P18" s="2">
        <f>--457.5</f>
        <v>457.5</v>
      </c>
      <c r="Q18" s="2"/>
      <c r="R18" s="19"/>
      <c r="S18" s="2"/>
      <c r="T18" s="2">
        <f>--177.4</f>
        <v>177.4</v>
      </c>
      <c r="U18" s="2"/>
      <c r="V18" s="19"/>
      <c r="W18" s="2"/>
      <c r="X18" s="2">
        <f t="shared" si="2"/>
        <v>280.10000000000002</v>
      </c>
      <c r="Y18" s="2"/>
      <c r="Z18" s="19">
        <f t="shared" si="3"/>
        <v>1.5789177001127397</v>
      </c>
    </row>
    <row r="19" spans="1:26" s="24" customFormat="1" hidden="1" outlineLevel="1" x14ac:dyDescent="0.25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>--5.98</f>
        <v>5.98</v>
      </c>
      <c r="E19" s="2"/>
      <c r="F19" s="19"/>
      <c r="G19" s="2"/>
      <c r="H19" s="2">
        <f>--401</f>
        <v>401</v>
      </c>
      <c r="I19" s="2"/>
      <c r="J19" s="19"/>
      <c r="K19" s="2"/>
      <c r="L19" s="2">
        <f t="shared" si="0"/>
        <v>-395.02</v>
      </c>
      <c r="M19" s="2"/>
      <c r="N19" s="19">
        <f t="shared" si="1"/>
        <v>-0.98508728179551119</v>
      </c>
      <c r="O19" s="11"/>
      <c r="P19" s="2">
        <f>--5.98</f>
        <v>5.98</v>
      </c>
      <c r="Q19" s="2"/>
      <c r="R19" s="19"/>
      <c r="S19" s="2"/>
      <c r="T19" s="2">
        <f>--512</f>
        <v>512</v>
      </c>
      <c r="U19" s="2"/>
      <c r="V19" s="19"/>
      <c r="W19" s="2"/>
      <c r="X19" s="2">
        <f t="shared" si="2"/>
        <v>-506.02</v>
      </c>
      <c r="Y19" s="2"/>
      <c r="Z19" s="19">
        <f t="shared" si="3"/>
        <v>-0.98832031249999996</v>
      </c>
    </row>
    <row r="20" spans="1:26" s="24" customFormat="1" hidden="1" outlineLevel="1" x14ac:dyDescent="0.25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>--15.5</f>
        <v>15.5</v>
      </c>
      <c r="E20" s="2"/>
      <c r="F20" s="19"/>
      <c r="G20" s="2"/>
      <c r="H20" s="2">
        <f>--13281.65</f>
        <v>13281.65</v>
      </c>
      <c r="I20" s="2"/>
      <c r="J20" s="19"/>
      <c r="K20" s="2"/>
      <c r="L20" s="2">
        <f t="shared" si="0"/>
        <v>-13266.15</v>
      </c>
      <c r="M20" s="2"/>
      <c r="N20" s="19">
        <f t="shared" si="1"/>
        <v>-0.99883297632447776</v>
      </c>
      <c r="O20" s="11"/>
      <c r="P20" s="2">
        <f>--15.5</f>
        <v>15.5</v>
      </c>
      <c r="Q20" s="2"/>
      <c r="R20" s="19"/>
      <c r="S20" s="2"/>
      <c r="T20" s="2">
        <f>--15348.75</f>
        <v>15348.75</v>
      </c>
      <c r="U20" s="2"/>
      <c r="V20" s="19"/>
      <c r="W20" s="2"/>
      <c r="X20" s="2">
        <f t="shared" si="2"/>
        <v>-15333.25</v>
      </c>
      <c r="Y20" s="2"/>
      <c r="Z20" s="19">
        <f t="shared" si="3"/>
        <v>-0.99899014577734346</v>
      </c>
    </row>
    <row r="21" spans="1:26" s="24" customFormat="1" hidden="1" outlineLevel="1" x14ac:dyDescent="0.25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>--23</f>
        <v>23</v>
      </c>
      <c r="E21" s="2"/>
      <c r="F21" s="19"/>
      <c r="G21" s="2"/>
      <c r="H21" s="2">
        <f>--53.9</f>
        <v>53.9</v>
      </c>
      <c r="I21" s="2"/>
      <c r="J21" s="19"/>
      <c r="K21" s="2"/>
      <c r="L21" s="2">
        <f t="shared" si="0"/>
        <v>-30.9</v>
      </c>
      <c r="M21" s="2"/>
      <c r="N21" s="19">
        <f t="shared" si="1"/>
        <v>-0.57328385899814471</v>
      </c>
      <c r="O21" s="11"/>
      <c r="P21" s="2">
        <f>--24</f>
        <v>24</v>
      </c>
      <c r="Q21" s="2"/>
      <c r="R21" s="19"/>
      <c r="S21" s="2"/>
      <c r="T21" s="2">
        <f>--70.4</f>
        <v>70.400000000000006</v>
      </c>
      <c r="U21" s="2"/>
      <c r="V21" s="19"/>
      <c r="W21" s="2"/>
      <c r="X21" s="2">
        <f t="shared" si="2"/>
        <v>-46.400000000000006</v>
      </c>
      <c r="Y21" s="2"/>
      <c r="Z21" s="19">
        <f t="shared" si="3"/>
        <v>-0.65909090909090917</v>
      </c>
    </row>
    <row r="22" spans="1:26" s="24" customFormat="1" hidden="1" outlineLevel="1" x14ac:dyDescent="0.25">
      <c r="A22" s="44"/>
      <c r="B22" s="11" t="str">
        <f>CONCATENATE("          ", "4241", " - ", "SALES RETURN TAXABLE-LOGO GIFT")</f>
        <v xml:space="preserve">          4241 - SALES RETURN TAXABLE-LOGO GIFT</v>
      </c>
      <c r="C22" s="11"/>
      <c r="D22" s="2">
        <f>-521.45</f>
        <v>-521.45000000000005</v>
      </c>
      <c r="E22" s="2"/>
      <c r="F22" s="19"/>
      <c r="G22" s="2"/>
      <c r="H22" s="2">
        <f>-452.95</f>
        <v>-452.95</v>
      </c>
      <c r="I22" s="2"/>
      <c r="J22" s="19"/>
      <c r="K22" s="2"/>
      <c r="L22" s="2">
        <f t="shared" si="0"/>
        <v>-68.500000000000057</v>
      </c>
      <c r="M22" s="2"/>
      <c r="N22" s="19">
        <f t="shared" si="1"/>
        <v>0.1512308201788278</v>
      </c>
      <c r="O22" s="11"/>
      <c r="P22" s="2">
        <f>-521.45</f>
        <v>-521.45000000000005</v>
      </c>
      <c r="Q22" s="2"/>
      <c r="R22" s="19"/>
      <c r="S22" s="2"/>
      <c r="T22" s="2">
        <f>-463.7</f>
        <v>-463.7</v>
      </c>
      <c r="U22" s="2"/>
      <c r="V22" s="19"/>
      <c r="W22" s="2"/>
      <c r="X22" s="2">
        <f t="shared" si="2"/>
        <v>-57.750000000000057</v>
      </c>
      <c r="Y22" s="2"/>
      <c r="Z22" s="19">
        <f t="shared" si="3"/>
        <v>0.12454172956653022</v>
      </c>
    </row>
    <row r="23" spans="1:26" s="24" customFormat="1" hidden="1" outlineLevel="1" x14ac:dyDescent="0.25">
      <c r="A23" s="44"/>
      <c r="B23" s="11" t="str">
        <f>CONCATENATE("          ", "4242", " - ", "SALES RETURN TAXABLE-EVERYDAY")</f>
        <v xml:space="preserve">          4242 - SALES RETURN TAXABLE-EVERYDAY</v>
      </c>
      <c r="C23" s="11"/>
      <c r="D23" s="2">
        <f t="shared" ref="D23:D24" si="4">0</f>
        <v>0</v>
      </c>
      <c r="E23" s="2"/>
      <c r="F23" s="19"/>
      <c r="G23" s="2"/>
      <c r="H23" s="2">
        <f>0</f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5">0</f>
        <v>0</v>
      </c>
      <c r="Q23" s="2"/>
      <c r="R23" s="19"/>
      <c r="S23" s="2"/>
      <c r="T23" s="2">
        <f>-16.2</f>
        <v>-16.2</v>
      </c>
      <c r="U23" s="2"/>
      <c r="V23" s="19"/>
      <c r="W23" s="2"/>
      <c r="X23" s="2">
        <f t="shared" si="2"/>
        <v>16.2</v>
      </c>
      <c r="Y23" s="2"/>
      <c r="Z23" s="19">
        <f t="shared" si="3"/>
        <v>-1</v>
      </c>
    </row>
    <row r="24" spans="1:26" s="24" customFormat="1" hidden="1" outlineLevel="1" x14ac:dyDescent="0.25">
      <c r="A24" s="44"/>
      <c r="B24" s="11" t="str">
        <f>CONCATENATE("          ", "4346", " - ", "SALES RETURN NON TAXABLE-COIN-")</f>
        <v xml:space="preserve">          4346 - SALES RETURN NON TAXABLE-COIN-</v>
      </c>
      <c r="C24" s="11"/>
      <c r="D24" s="2">
        <f t="shared" si="4"/>
        <v>0</v>
      </c>
      <c r="E24" s="2"/>
      <c r="F24" s="19"/>
      <c r="G24" s="2"/>
      <c r="H24" s="2">
        <f>-8.15</f>
        <v>-8.15</v>
      </c>
      <c r="I24" s="2"/>
      <c r="J24" s="19"/>
      <c r="K24" s="2"/>
      <c r="L24" s="2">
        <f t="shared" si="0"/>
        <v>8.15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-8.15</f>
        <v>-8.15</v>
      </c>
      <c r="U24" s="2"/>
      <c r="V24" s="19"/>
      <c r="W24" s="2"/>
      <c r="X24" s="2">
        <f t="shared" si="2"/>
        <v>8.15</v>
      </c>
      <c r="Y24" s="2"/>
      <c r="Z24" s="19">
        <f t="shared" si="3"/>
        <v>-1</v>
      </c>
    </row>
    <row r="25" spans="1:26" x14ac:dyDescent="0.25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5" t="s">
        <v>8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6</v>
      </c>
      <c r="C28" s="26"/>
      <c r="D28" s="22">
        <f>D12-D26</f>
        <v>47524.27</v>
      </c>
      <c r="E28" s="13"/>
      <c r="F28" s="21">
        <f>IF(D$12=0,0,D28/D$12)</f>
        <v>1</v>
      </c>
      <c r="G28" s="13"/>
      <c r="H28" s="22">
        <f>H12-H26</f>
        <v>95870.160000000018</v>
      </c>
      <c r="I28" s="13"/>
      <c r="J28" s="21">
        <f>IF(H$12=0,0,H28/H$12)</f>
        <v>1</v>
      </c>
      <c r="K28" s="16"/>
      <c r="L28" s="22">
        <f>+D28-H28</f>
        <v>-48345.890000000021</v>
      </c>
      <c r="M28" s="16"/>
      <c r="N28" s="21">
        <f>IF(H28=0,0,L28/H28)</f>
        <v>-0.50428506638561998</v>
      </c>
      <c r="O28" s="25"/>
      <c r="P28" s="22">
        <f>P12-P26</f>
        <v>52372.140000000007</v>
      </c>
      <c r="Q28" s="13"/>
      <c r="R28" s="21">
        <f>IF(P$12=0,0,P28/P$12)</f>
        <v>1</v>
      </c>
      <c r="S28" s="13"/>
      <c r="T28" s="22">
        <f>T12-T26</f>
        <v>102624.93000000001</v>
      </c>
      <c r="U28" s="13"/>
      <c r="V28" s="21">
        <f>IF(T$12=0,0,T28/T$12)</f>
        <v>1</v>
      </c>
      <c r="W28" s="16"/>
      <c r="X28" s="22">
        <f>+P28-T28</f>
        <v>-50252.79</v>
      </c>
      <c r="Y28" s="16"/>
      <c r="Z28" s="21">
        <f>IF(T28=0,0,X28/T28)</f>
        <v>-0.48967429259147849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9</v>
      </c>
      <c r="C30" s="10"/>
      <c r="D30" s="20">
        <f>SUM(OSRRefD22x_0)</f>
        <v>-50410.609999999986</v>
      </c>
      <c r="E30" s="20"/>
      <c r="F30" s="35">
        <f t="shared" ref="F30:F39" si="6">IF(D$12=0,0,D30/D$12)</f>
        <v>-1.0607340207435061</v>
      </c>
      <c r="G30" s="20"/>
      <c r="H30" s="20">
        <f>SUM(OSRRefH22x_0)</f>
        <v>38398.17</v>
      </c>
      <c r="I30" s="20"/>
      <c r="J30" s="35">
        <f t="shared" ref="J30:J39" si="7">IF(H$12=0,0,H30/H$12)</f>
        <v>0.40052264437651913</v>
      </c>
      <c r="K30" s="4"/>
      <c r="L30" s="20">
        <f t="shared" ref="L30:L39" si="8">+D30-H30</f>
        <v>-88808.779999999984</v>
      </c>
      <c r="M30" s="4"/>
      <c r="N30" s="35">
        <f t="shared" ref="N30:N39" si="9">IF(H30=0,0,L30/H30)</f>
        <v>-2.3128388670605915</v>
      </c>
      <c r="O30" s="10"/>
      <c r="P30" s="20">
        <f>SUM(OSRRefP22x_0)</f>
        <v>-1256.6600000000039</v>
      </c>
      <c r="Q30" s="20"/>
      <c r="R30" s="35">
        <f t="shared" ref="R30:R39" si="10">IF(P$12=0,0,P30/P$12)</f>
        <v>-2.3994818619212502E-2</v>
      </c>
      <c r="S30" s="20"/>
      <c r="T30" s="20">
        <f>SUM(OSRRefT22x_0)</f>
        <v>72315.109999999986</v>
      </c>
      <c r="U30" s="20"/>
      <c r="V30" s="35">
        <f t="shared" ref="V30:V39" si="11">IF(T$12=0,0,T30/T$12)</f>
        <v>0.70465441486781022</v>
      </c>
      <c r="W30" s="4"/>
      <c r="X30" s="20">
        <f t="shared" ref="X30:X39" si="12">+P30-T30</f>
        <v>-73571.76999999999</v>
      </c>
      <c r="Y30" s="4"/>
      <c r="Z30" s="35">
        <f t="shared" ref="Z30:Z39" si="13">IF(T30=0,0,X30/T30)</f>
        <v>-1.0173775577469217</v>
      </c>
    </row>
    <row r="31" spans="1:26" s="28" customFormat="1" outlineLevel="1" collapsed="1" x14ac:dyDescent="0.2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8903.2699999999986</v>
      </c>
      <c r="E31" s="1"/>
      <c r="F31" s="5">
        <f t="shared" si="6"/>
        <v>0.18734154149027432</v>
      </c>
      <c r="G31" s="1"/>
      <c r="H31" s="1">
        <f>SUM(OSRRefH22_0x_0)</f>
        <v>6811.57</v>
      </c>
      <c r="I31" s="1"/>
      <c r="J31" s="5">
        <f t="shared" si="7"/>
        <v>7.1049949222990752E-2</v>
      </c>
      <c r="K31" s="1"/>
      <c r="L31" s="1">
        <f t="shared" si="8"/>
        <v>2091.6999999999989</v>
      </c>
      <c r="M31" s="1"/>
      <c r="N31" s="5">
        <f t="shared" si="9"/>
        <v>0.30708045281777901</v>
      </c>
      <c r="O31" s="14"/>
      <c r="P31" s="1">
        <f>SUM(OSRRefP22_0x_0)</f>
        <v>16833.55</v>
      </c>
      <c r="Q31" s="1"/>
      <c r="R31" s="5">
        <f t="shared" si="10"/>
        <v>0.32142184757010117</v>
      </c>
      <c r="S31" s="1"/>
      <c r="T31" s="1">
        <f>SUM(OSRRefT22_0x_0)</f>
        <v>14306.35</v>
      </c>
      <c r="U31" s="1"/>
      <c r="V31" s="5">
        <f t="shared" si="11"/>
        <v>0.13940423637804186</v>
      </c>
      <c r="W31" s="1"/>
      <c r="X31" s="1">
        <f t="shared" si="12"/>
        <v>2527.1999999999989</v>
      </c>
      <c r="Y31" s="1"/>
      <c r="Z31" s="5">
        <f t="shared" si="13"/>
        <v>0.17664883076396137</v>
      </c>
    </row>
    <row r="32" spans="1:26" s="24" customFormat="1" hidden="1" outlineLevel="2" x14ac:dyDescent="0.25">
      <c r="A32" s="29"/>
      <c r="B32" s="11" t="str">
        <f>CONCATENATE("          ", "6111", " - ", "F.I.C.A.")</f>
        <v xml:space="preserve">          6111 - F.I.C.A.</v>
      </c>
      <c r="C32" s="11"/>
      <c r="D32" s="7">
        <v>1290.1199999999999</v>
      </c>
      <c r="E32" s="2"/>
      <c r="F32" s="6">
        <f t="shared" si="6"/>
        <v>2.7146550594043844E-2</v>
      </c>
      <c r="G32" s="2"/>
      <c r="H32" s="7">
        <v>1279.9100000000001</v>
      </c>
      <c r="I32" s="2"/>
      <c r="J32" s="6">
        <f t="shared" si="7"/>
        <v>1.3350452320096262E-2</v>
      </c>
      <c r="K32" s="2"/>
      <c r="L32" s="7">
        <f t="shared" si="8"/>
        <v>10.209999999999809</v>
      </c>
      <c r="M32" s="2"/>
      <c r="N32" s="6">
        <f t="shared" si="9"/>
        <v>7.9771233914883149E-3</v>
      </c>
      <c r="O32" s="11"/>
      <c r="P32" s="7">
        <v>2333.48</v>
      </c>
      <c r="Q32" s="2"/>
      <c r="R32" s="6">
        <f t="shared" si="10"/>
        <v>4.4555750442888141E-2</v>
      </c>
      <c r="S32" s="2"/>
      <c r="T32" s="7">
        <v>2333.27</v>
      </c>
      <c r="U32" s="2"/>
      <c r="V32" s="6">
        <f t="shared" si="11"/>
        <v>2.2735898577470406E-2</v>
      </c>
      <c r="W32" s="2"/>
      <c r="X32" s="7">
        <f t="shared" si="12"/>
        <v>0.21000000000003638</v>
      </c>
      <c r="Y32" s="2"/>
      <c r="Z32" s="6">
        <f t="shared" si="13"/>
        <v>9.0002442923466374E-5</v>
      </c>
    </row>
    <row r="33" spans="1:26" s="24" customFormat="1" hidden="1" outlineLevel="2" x14ac:dyDescent="0.25">
      <c r="A33" s="29"/>
      <c r="B33" s="11" t="str">
        <f>CONCATENATE("          ", "6112", " - ", "COMPENSATION INSURANCE")</f>
        <v xml:space="preserve">          6112 - COMPENSATION INSURANCE</v>
      </c>
      <c r="C33" s="11"/>
      <c r="D33" s="7">
        <v>311.95999999999998</v>
      </c>
      <c r="E33" s="2"/>
      <c r="F33" s="6">
        <f t="shared" si="6"/>
        <v>6.5642249738922867E-3</v>
      </c>
      <c r="G33" s="2"/>
      <c r="H33" s="7">
        <v>205.75</v>
      </c>
      <c r="I33" s="2"/>
      <c r="J33" s="6">
        <f t="shared" si="7"/>
        <v>2.1461318099396096E-3</v>
      </c>
      <c r="K33" s="2"/>
      <c r="L33" s="7">
        <f t="shared" si="8"/>
        <v>106.20999999999998</v>
      </c>
      <c r="M33" s="2"/>
      <c r="N33" s="6">
        <f t="shared" si="9"/>
        <v>0.51620899149453214</v>
      </c>
      <c r="O33" s="11"/>
      <c r="P33" s="7">
        <v>605.57000000000005</v>
      </c>
      <c r="Q33" s="2"/>
      <c r="R33" s="6">
        <f t="shared" si="10"/>
        <v>1.1562827106167515E-2</v>
      </c>
      <c r="S33" s="2"/>
      <c r="T33" s="7">
        <v>365.98</v>
      </c>
      <c r="U33" s="2"/>
      <c r="V33" s="6">
        <f t="shared" si="11"/>
        <v>3.5661900086070702E-3</v>
      </c>
      <c r="W33" s="2"/>
      <c r="X33" s="7">
        <f t="shared" si="12"/>
        <v>239.59000000000003</v>
      </c>
      <c r="Y33" s="2"/>
      <c r="Z33" s="6">
        <f t="shared" si="13"/>
        <v>0.65465325974096955</v>
      </c>
    </row>
    <row r="34" spans="1:26" s="24" customFormat="1" hidden="1" outlineLevel="2" x14ac:dyDescent="0.25">
      <c r="A34" s="29"/>
      <c r="B34" s="11" t="str">
        <f>CONCATENATE("          ", "6113", " - ", "GROUP INSURANCE")</f>
        <v xml:space="preserve">          6113 - GROUP INSURANCE</v>
      </c>
      <c r="C34" s="11"/>
      <c r="D34" s="7">
        <v>3321.73</v>
      </c>
      <c r="E34" s="2"/>
      <c r="F34" s="6">
        <f t="shared" si="6"/>
        <v>6.9895445001048939E-2</v>
      </c>
      <c r="G34" s="2"/>
      <c r="H34" s="7">
        <v>2589.16</v>
      </c>
      <c r="I34" s="2"/>
      <c r="J34" s="6">
        <f t="shared" si="7"/>
        <v>2.7006943557828622E-2</v>
      </c>
      <c r="K34" s="2"/>
      <c r="L34" s="7">
        <f t="shared" si="8"/>
        <v>732.57000000000016</v>
      </c>
      <c r="M34" s="2"/>
      <c r="N34" s="6">
        <f t="shared" si="9"/>
        <v>0.28293732330176591</v>
      </c>
      <c r="O34" s="11"/>
      <c r="P34" s="7">
        <v>6046.21</v>
      </c>
      <c r="Q34" s="2"/>
      <c r="R34" s="6">
        <f t="shared" si="10"/>
        <v>0.11544706784943291</v>
      </c>
      <c r="S34" s="2"/>
      <c r="T34" s="7">
        <v>5178.32</v>
      </c>
      <c r="U34" s="2"/>
      <c r="V34" s="6">
        <f t="shared" si="11"/>
        <v>5.0458694588147335E-2</v>
      </c>
      <c r="W34" s="2"/>
      <c r="X34" s="7">
        <f t="shared" si="12"/>
        <v>867.89000000000033</v>
      </c>
      <c r="Y34" s="2"/>
      <c r="Z34" s="6">
        <f t="shared" si="13"/>
        <v>0.16760068902655695</v>
      </c>
    </row>
    <row r="35" spans="1:26" s="24" customFormat="1" hidden="1" outlineLevel="2" x14ac:dyDescent="0.25">
      <c r="A35" s="29"/>
      <c r="B35" s="11" t="str">
        <f>CONCATENATE("          ", "6114", " - ", "STATE UNEMPLOYMENT INSURANCE")</f>
        <v xml:space="preserve">          6114 - STATE UNEMPLOYMENT INSURANCE</v>
      </c>
      <c r="C35" s="11"/>
      <c r="D35" s="7">
        <v>43.84</v>
      </c>
      <c r="E35" s="2"/>
      <c r="F35" s="6">
        <f t="shared" si="6"/>
        <v>9.2247603172021379E-4</v>
      </c>
      <c r="G35" s="2"/>
      <c r="H35" s="7">
        <v>42.51</v>
      </c>
      <c r="I35" s="2"/>
      <c r="J35" s="6">
        <f t="shared" si="7"/>
        <v>4.4341221502081557E-4</v>
      </c>
      <c r="K35" s="2"/>
      <c r="L35" s="7">
        <f t="shared" si="8"/>
        <v>1.3300000000000054</v>
      </c>
      <c r="M35" s="2"/>
      <c r="N35" s="6">
        <f t="shared" si="9"/>
        <v>3.128675605739839E-2</v>
      </c>
      <c r="O35" s="11"/>
      <c r="P35" s="7">
        <v>85.1</v>
      </c>
      <c r="Q35" s="2"/>
      <c r="R35" s="6">
        <f t="shared" si="10"/>
        <v>1.6249097325410035E-3</v>
      </c>
      <c r="S35" s="2"/>
      <c r="T35" s="7">
        <v>78.790000000000006</v>
      </c>
      <c r="U35" s="2"/>
      <c r="V35" s="6">
        <f t="shared" si="11"/>
        <v>7.6774717410282281E-4</v>
      </c>
      <c r="W35" s="2"/>
      <c r="X35" s="7">
        <f t="shared" si="12"/>
        <v>6.3099999999999881</v>
      </c>
      <c r="Y35" s="2"/>
      <c r="Z35" s="6">
        <f t="shared" si="13"/>
        <v>8.0086305368701455E-2</v>
      </c>
    </row>
    <row r="36" spans="1:26" s="24" customFormat="1" hidden="1" outlineLevel="2" x14ac:dyDescent="0.25">
      <c r="A36" s="29"/>
      <c r="B36" s="11" t="str">
        <f>CONCATENATE("          ", "6115", " - ", "P.E.R.S.")</f>
        <v xml:space="preserve">          6115 - P.E.R.S.</v>
      </c>
      <c r="C36" s="11"/>
      <c r="D36" s="7">
        <v>1614.45</v>
      </c>
      <c r="E36" s="2"/>
      <c r="F36" s="6">
        <f t="shared" si="6"/>
        <v>3.3971063627068865E-2</v>
      </c>
      <c r="G36" s="2"/>
      <c r="H36" s="7">
        <v>1089.6300000000001</v>
      </c>
      <c r="I36" s="2"/>
      <c r="J36" s="6">
        <f t="shared" si="7"/>
        <v>1.1365684588405818E-2</v>
      </c>
      <c r="K36" s="2"/>
      <c r="L36" s="7">
        <f t="shared" si="8"/>
        <v>524.81999999999994</v>
      </c>
      <c r="M36" s="2"/>
      <c r="N36" s="6">
        <f t="shared" si="9"/>
        <v>0.48164973431348246</v>
      </c>
      <c r="O36" s="11"/>
      <c r="P36" s="7">
        <v>3680.91</v>
      </c>
      <c r="Q36" s="2"/>
      <c r="R36" s="6">
        <f t="shared" si="10"/>
        <v>7.028374246307291E-2</v>
      </c>
      <c r="S36" s="2"/>
      <c r="T36" s="7">
        <v>2179.2600000000002</v>
      </c>
      <c r="U36" s="2"/>
      <c r="V36" s="6">
        <f t="shared" si="11"/>
        <v>2.1235191098303307E-2</v>
      </c>
      <c r="W36" s="2"/>
      <c r="X36" s="7">
        <f t="shared" si="12"/>
        <v>1501.6499999999996</v>
      </c>
      <c r="Y36" s="2"/>
      <c r="Z36" s="6">
        <f t="shared" si="13"/>
        <v>0.68906417774840978</v>
      </c>
    </row>
    <row r="37" spans="1:26" s="24" customFormat="1" hidden="1" outlineLevel="2" x14ac:dyDescent="0.25">
      <c r="A37" s="29"/>
      <c r="B37" s="11" t="str">
        <f>CONCATENATE("          ", "6118", " - ", "VACATION")</f>
        <v xml:space="preserve">          6118 - VACATION</v>
      </c>
      <c r="C37" s="11"/>
      <c r="D37" s="7">
        <v>1216.0999999999999</v>
      </c>
      <c r="E37" s="2"/>
      <c r="F37" s="6">
        <f t="shared" si="6"/>
        <v>2.5589030615304559E-2</v>
      </c>
      <c r="G37" s="2"/>
      <c r="H37" s="7">
        <v>969.46</v>
      </c>
      <c r="I37" s="2"/>
      <c r="J37" s="6">
        <f t="shared" si="7"/>
        <v>1.0112218442109619E-2</v>
      </c>
      <c r="K37" s="2"/>
      <c r="L37" s="7">
        <f t="shared" si="8"/>
        <v>246.63999999999987</v>
      </c>
      <c r="M37" s="2"/>
      <c r="N37" s="6">
        <f t="shared" si="9"/>
        <v>0.25440967136343928</v>
      </c>
      <c r="O37" s="11"/>
      <c r="P37" s="7">
        <v>2194.98</v>
      </c>
      <c r="Q37" s="2"/>
      <c r="R37" s="6">
        <f t="shared" si="10"/>
        <v>4.1911214626708014E-2</v>
      </c>
      <c r="S37" s="2"/>
      <c r="T37" s="7">
        <v>2446.42</v>
      </c>
      <c r="U37" s="2"/>
      <c r="V37" s="6">
        <f t="shared" si="11"/>
        <v>2.3838457185792965E-2</v>
      </c>
      <c r="W37" s="2"/>
      <c r="X37" s="7">
        <f t="shared" si="12"/>
        <v>-251.44000000000005</v>
      </c>
      <c r="Y37" s="2"/>
      <c r="Z37" s="6">
        <f t="shared" si="13"/>
        <v>-0.10277875426132882</v>
      </c>
    </row>
    <row r="38" spans="1:26" s="24" customFormat="1" hidden="1" outlineLevel="2" x14ac:dyDescent="0.25">
      <c r="A38" s="29"/>
      <c r="B38" s="11" t="str">
        <f>CONCATENATE("          ", "6119", " - ", "SICK LEAVE")</f>
        <v xml:space="preserve">          6119 - SICK LEAVE</v>
      </c>
      <c r="C38" s="11"/>
      <c r="D38" s="7">
        <v>738.5</v>
      </c>
      <c r="E38" s="2"/>
      <c r="F38" s="6">
        <f t="shared" si="6"/>
        <v>1.5539428590907341E-2</v>
      </c>
      <c r="G38" s="2"/>
      <c r="H38" s="7">
        <v>491.74</v>
      </c>
      <c r="I38" s="2"/>
      <c r="J38" s="6">
        <f t="shared" si="7"/>
        <v>5.1292289488199449E-3</v>
      </c>
      <c r="K38" s="2"/>
      <c r="L38" s="7">
        <f t="shared" si="8"/>
        <v>246.76</v>
      </c>
      <c r="M38" s="2"/>
      <c r="N38" s="6">
        <f t="shared" si="9"/>
        <v>0.50180989954040756</v>
      </c>
      <c r="O38" s="11"/>
      <c r="P38" s="7">
        <v>1371.02</v>
      </c>
      <c r="Q38" s="2"/>
      <c r="R38" s="6">
        <f t="shared" si="10"/>
        <v>2.6178422344399137E-2</v>
      </c>
      <c r="S38" s="2"/>
      <c r="T38" s="7">
        <v>1338.52</v>
      </c>
      <c r="U38" s="2"/>
      <c r="V38" s="6">
        <f t="shared" si="11"/>
        <v>1.3042834718620513E-2</v>
      </c>
      <c r="W38" s="2"/>
      <c r="X38" s="7">
        <f t="shared" si="12"/>
        <v>32.5</v>
      </c>
      <c r="Y38" s="2"/>
      <c r="Z38" s="6">
        <f t="shared" si="13"/>
        <v>2.4280548665690464E-2</v>
      </c>
    </row>
    <row r="39" spans="1:26" s="24" customFormat="1" hidden="1" outlineLevel="2" x14ac:dyDescent="0.25">
      <c r="A39" s="29"/>
      <c r="B39" s="11" t="str">
        <f>CONCATENATE("          ", "6156", " - ", "EMPLOYEE MEALS")</f>
        <v xml:space="preserve">          6156 - EMPLOYEE MEALS</v>
      </c>
      <c r="C39" s="11"/>
      <c r="D39" s="7">
        <v>366.57</v>
      </c>
      <c r="E39" s="2"/>
      <c r="F39" s="6">
        <f t="shared" si="6"/>
        <v>7.7133220562882925E-3</v>
      </c>
      <c r="G39" s="2"/>
      <c r="H39" s="7">
        <v>143.41</v>
      </c>
      <c r="I39" s="2"/>
      <c r="J39" s="6">
        <f t="shared" si="7"/>
        <v>1.4958773407700578E-3</v>
      </c>
      <c r="K39" s="2"/>
      <c r="L39" s="7">
        <f t="shared" si="8"/>
        <v>223.16</v>
      </c>
      <c r="M39" s="2"/>
      <c r="N39" s="6">
        <f t="shared" si="9"/>
        <v>1.5560979011226554</v>
      </c>
      <c r="O39" s="11"/>
      <c r="P39" s="7">
        <v>516.28</v>
      </c>
      <c r="Q39" s="2"/>
      <c r="R39" s="6">
        <f t="shared" si="10"/>
        <v>9.857913004891531E-3</v>
      </c>
      <c r="S39" s="2"/>
      <c r="T39" s="7">
        <v>385.79</v>
      </c>
      <c r="U39" s="2"/>
      <c r="V39" s="6">
        <f t="shared" si="11"/>
        <v>3.7592230269974363E-3</v>
      </c>
      <c r="W39" s="2"/>
      <c r="X39" s="7">
        <f t="shared" si="12"/>
        <v>130.48999999999995</v>
      </c>
      <c r="Y39" s="2"/>
      <c r="Z39" s="6">
        <f t="shared" si="13"/>
        <v>0.33824101194950607</v>
      </c>
    </row>
    <row r="40" spans="1:26" s="28" customFormat="1" outlineLevel="1" collapsed="1" x14ac:dyDescent="0.2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13505.78</v>
      </c>
      <c r="E40" s="1"/>
      <c r="F40" s="5">
        <f t="shared" ref="F40:F43" si="14">IF(D$12=0,0,D40/D$12)</f>
        <v>0.28418700592349977</v>
      </c>
      <c r="G40" s="1"/>
      <c r="H40" s="1">
        <f>SUM(OSRRefH22_1x_0)</f>
        <v>17210.150000000001</v>
      </c>
      <c r="I40" s="1"/>
      <c r="J40" s="5">
        <f t="shared" ref="J40:J43" si="15">IF(H$12=0,0,H40/H$12)</f>
        <v>0.17951519012798142</v>
      </c>
      <c r="K40" s="1"/>
      <c r="L40" s="1">
        <f t="shared" ref="L40:L43" si="16">+D40-H40</f>
        <v>-3704.3700000000008</v>
      </c>
      <c r="M40" s="1"/>
      <c r="N40" s="5">
        <f t="shared" ref="N40:N43" si="17">IF(H40=0,0,L40/H40)</f>
        <v>-0.21524333024407111</v>
      </c>
      <c r="O40" s="14"/>
      <c r="P40" s="1">
        <f>SUM(OSRRefP22_1x_0)</f>
        <v>28565.72</v>
      </c>
      <c r="Q40" s="1"/>
      <c r="R40" s="5">
        <f t="shared" ref="R40:R43" si="18">IF(P$12=0,0,P40/P$12)</f>
        <v>0.54543732602868622</v>
      </c>
      <c r="S40" s="1"/>
      <c r="T40" s="1">
        <f>SUM(OSRRefT22_1x_0)</f>
        <v>33817.019999999997</v>
      </c>
      <c r="U40" s="1"/>
      <c r="V40" s="5">
        <f t="shared" ref="V40:V43" si="19">IF(T$12=0,0,T40/T$12)</f>
        <v>0.32952051709073021</v>
      </c>
      <c r="W40" s="1"/>
      <c r="X40" s="1">
        <f t="shared" ref="X40:X43" si="20">+P40-T40</f>
        <v>-5251.2999999999956</v>
      </c>
      <c r="Y40" s="1"/>
      <c r="Z40" s="5">
        <f t="shared" ref="Z40:Z43" si="21">IF(T40=0,0,X40/T40)</f>
        <v>-0.15528571115964671</v>
      </c>
    </row>
    <row r="41" spans="1:26" s="24" customFormat="1" hidden="1" outlineLevel="2" x14ac:dyDescent="0.25">
      <c r="A41" s="29"/>
      <c r="B41" s="11" t="str">
        <f>CONCATENATE("          ", "6002", " - ", "STAFF SALARIES")</f>
        <v xml:space="preserve">          6002 - STAFF SALARIES</v>
      </c>
      <c r="C41" s="11"/>
      <c r="D41" s="7">
        <v>12050.26</v>
      </c>
      <c r="E41" s="2"/>
      <c r="F41" s="6">
        <f t="shared" si="14"/>
        <v>0.25356012833021951</v>
      </c>
      <c r="G41" s="2"/>
      <c r="H41" s="7">
        <v>10342.4</v>
      </c>
      <c r="I41" s="2"/>
      <c r="J41" s="6">
        <f t="shared" si="15"/>
        <v>0.10787924000544066</v>
      </c>
      <c r="K41" s="2"/>
      <c r="L41" s="7">
        <f t="shared" si="16"/>
        <v>1707.8600000000006</v>
      </c>
      <c r="M41" s="2"/>
      <c r="N41" s="6">
        <f t="shared" si="17"/>
        <v>0.16513188428217829</v>
      </c>
      <c r="O41" s="11"/>
      <c r="P41" s="7">
        <v>27110.2</v>
      </c>
      <c r="Q41" s="2"/>
      <c r="R41" s="6">
        <f t="shared" si="18"/>
        <v>0.51764545042459598</v>
      </c>
      <c r="S41" s="2"/>
      <c r="T41" s="7">
        <v>22816.769999999997</v>
      </c>
      <c r="U41" s="2"/>
      <c r="V41" s="6">
        <f t="shared" si="19"/>
        <v>0.22233164982426779</v>
      </c>
      <c r="W41" s="2"/>
      <c r="X41" s="7">
        <f t="shared" si="20"/>
        <v>4293.4300000000039</v>
      </c>
      <c r="Y41" s="2"/>
      <c r="Z41" s="6">
        <f t="shared" si="21"/>
        <v>0.18816992939842075</v>
      </c>
    </row>
    <row r="42" spans="1:26" s="24" customFormat="1" hidden="1" outlineLevel="2" x14ac:dyDescent="0.25">
      <c r="A42" s="29"/>
      <c r="B42" s="11" t="str">
        <f>CONCATENATE("          ", "6005", " - ", "TEMPORARY WAGES-HOURLY")</f>
        <v xml:space="preserve">          6005 - TEMPORARY WAGES-HOURLY</v>
      </c>
      <c r="C42" s="11"/>
      <c r="D42" s="7">
        <v>383.25</v>
      </c>
      <c r="E42" s="2"/>
      <c r="F42" s="6">
        <f t="shared" si="14"/>
        <v>8.0643006194519151E-3</v>
      </c>
      <c r="G42" s="2"/>
      <c r="H42" s="7">
        <v>1505</v>
      </c>
      <c r="I42" s="2"/>
      <c r="J42" s="6">
        <f t="shared" si="15"/>
        <v>1.569831530478305E-2</v>
      </c>
      <c r="K42" s="2"/>
      <c r="L42" s="7">
        <f t="shared" si="16"/>
        <v>-1121.75</v>
      </c>
      <c r="M42" s="2"/>
      <c r="N42" s="6">
        <f t="shared" si="17"/>
        <v>-0.74534883720930234</v>
      </c>
      <c r="O42" s="11"/>
      <c r="P42" s="7">
        <v>383.25</v>
      </c>
      <c r="Q42" s="2"/>
      <c r="R42" s="6">
        <f t="shared" si="18"/>
        <v>7.3178220328594546E-3</v>
      </c>
      <c r="S42" s="2"/>
      <c r="T42" s="7">
        <v>2492</v>
      </c>
      <c r="U42" s="2"/>
      <c r="V42" s="6">
        <f t="shared" si="19"/>
        <v>2.428259877984813E-2</v>
      </c>
      <c r="W42" s="2"/>
      <c r="X42" s="7">
        <f t="shared" si="20"/>
        <v>-2108.75</v>
      </c>
      <c r="Y42" s="2"/>
      <c r="Z42" s="6">
        <f t="shared" si="21"/>
        <v>-0.8462078651685393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1072.27</v>
      </c>
      <c r="E43" s="2"/>
      <c r="F43" s="6">
        <f t="shared" si="14"/>
        <v>2.2562576973828321E-2</v>
      </c>
      <c r="G43" s="2"/>
      <c r="H43" s="7">
        <v>5362.75</v>
      </c>
      <c r="I43" s="2"/>
      <c r="J43" s="6">
        <f t="shared" si="15"/>
        <v>5.5937634817757674E-2</v>
      </c>
      <c r="K43" s="2"/>
      <c r="L43" s="7">
        <f t="shared" si="16"/>
        <v>-4290.4799999999996</v>
      </c>
      <c r="M43" s="2"/>
      <c r="N43" s="6">
        <f t="shared" si="17"/>
        <v>-0.80005221201808763</v>
      </c>
      <c r="O43" s="11"/>
      <c r="P43" s="7">
        <v>1072.27</v>
      </c>
      <c r="Q43" s="2"/>
      <c r="R43" s="6">
        <f t="shared" si="18"/>
        <v>2.0474053571230808E-2</v>
      </c>
      <c r="S43" s="2"/>
      <c r="T43" s="7">
        <v>8508.25</v>
      </c>
      <c r="U43" s="2"/>
      <c r="V43" s="6">
        <f t="shared" si="19"/>
        <v>8.290626848661431E-2</v>
      </c>
      <c r="W43" s="2"/>
      <c r="X43" s="7">
        <f t="shared" si="20"/>
        <v>-7435.98</v>
      </c>
      <c r="Y43" s="2"/>
      <c r="Z43" s="6">
        <f t="shared" si="21"/>
        <v>-0.87397290864748911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SUM(OSRRefD22_2x_0)</f>
        <v>169.88</v>
      </c>
      <c r="E44" s="1"/>
      <c r="F44" s="5">
        <f t="shared" ref="F44:F52" si="22">IF(D$12=0,0,D44/D$12)</f>
        <v>3.5745946229158282E-3</v>
      </c>
      <c r="G44" s="1"/>
      <c r="H44" s="1">
        <f>SUM(OSRRefH22_2x_0)</f>
        <v>0</v>
      </c>
      <c r="I44" s="1"/>
      <c r="J44" s="5">
        <f t="shared" ref="J44:J52" si="23">IF(H$12=0,0,H44/H$12)</f>
        <v>0</v>
      </c>
      <c r="K44" s="1"/>
      <c r="L44" s="1">
        <f t="shared" ref="L44:L52" si="24">+D44-H44</f>
        <v>169.88</v>
      </c>
      <c r="M44" s="1"/>
      <c r="N44" s="5">
        <f t="shared" ref="N44:N52" si="25">IF(H44=0,0,L44/H44)</f>
        <v>0</v>
      </c>
      <c r="O44" s="14"/>
      <c r="P44" s="1">
        <f>SUM(OSRRefP22_2x_0)</f>
        <v>339.76</v>
      </c>
      <c r="Q44" s="1"/>
      <c r="R44" s="5">
        <f t="shared" ref="R44:R52" si="26">IF(P$12=0,0,P44/P$12)</f>
        <v>6.4874186924574776E-3</v>
      </c>
      <c r="S44" s="1"/>
      <c r="T44" s="1">
        <f>SUM(OSRRefT22_2x_0)</f>
        <v>0</v>
      </c>
      <c r="U44" s="1"/>
      <c r="V44" s="5">
        <f t="shared" ref="V44:V52" si="27">IF(T$12=0,0,T44/T$12)</f>
        <v>0</v>
      </c>
      <c r="W44" s="1"/>
      <c r="X44" s="1">
        <f t="shared" ref="X44:X52" si="28">+P44-T44</f>
        <v>339.76</v>
      </c>
      <c r="Y44" s="1"/>
      <c r="Z44" s="5">
        <f t="shared" ref="Z44:Z52" si="29">IF(T44=0,0,X44/T44)</f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169.88</v>
      </c>
      <c r="E45" s="2"/>
      <c r="F45" s="6">
        <f t="shared" si="22"/>
        <v>3.5745946229158282E-3</v>
      </c>
      <c r="G45" s="2"/>
      <c r="H45" s="7"/>
      <c r="I45" s="2"/>
      <c r="J45" s="6">
        <f t="shared" si="23"/>
        <v>0</v>
      </c>
      <c r="K45" s="2"/>
      <c r="L45" s="7">
        <f t="shared" si="24"/>
        <v>169.88</v>
      </c>
      <c r="M45" s="2"/>
      <c r="N45" s="6">
        <f t="shared" si="25"/>
        <v>0</v>
      </c>
      <c r="O45" s="11"/>
      <c r="P45" s="7">
        <v>339.76</v>
      </c>
      <c r="Q45" s="2"/>
      <c r="R45" s="6">
        <f t="shared" si="26"/>
        <v>6.4874186924574776E-3</v>
      </c>
      <c r="S45" s="2"/>
      <c r="T45" s="7"/>
      <c r="U45" s="2"/>
      <c r="V45" s="6">
        <f t="shared" si="27"/>
        <v>0</v>
      </c>
      <c r="W45" s="2"/>
      <c r="X45" s="7">
        <f t="shared" si="28"/>
        <v>339.76</v>
      </c>
      <c r="Y45" s="2"/>
      <c r="Z45" s="6">
        <f t="shared" si="29"/>
        <v>0</v>
      </c>
    </row>
    <row r="46" spans="1:26" s="28" customFormat="1" outlineLevel="1" collapsed="1" x14ac:dyDescent="0.25">
      <c r="A46" s="27"/>
      <c r="B46" s="14" t="str">
        <f>CONCATENATE("     ","Discounts and Markdowns                           ")</f>
        <v xml:space="preserve">     Discounts and Markdowns                           </v>
      </c>
      <c r="C46" s="14"/>
      <c r="D46" s="1">
        <f>SUM(OSRRefD22_3x_0)</f>
        <v>0</v>
      </c>
      <c r="E46" s="1"/>
      <c r="F46" s="5">
        <f t="shared" si="22"/>
        <v>0</v>
      </c>
      <c r="G46" s="1"/>
      <c r="H46" s="1">
        <f>SUM(OSRRefH22_3x_0)</f>
        <v>96.95</v>
      </c>
      <c r="I46" s="1"/>
      <c r="J46" s="5">
        <f t="shared" si="23"/>
        <v>1.0112635673081175E-3</v>
      </c>
      <c r="K46" s="1"/>
      <c r="L46" s="1">
        <f t="shared" si="24"/>
        <v>-96.95</v>
      </c>
      <c r="M46" s="1"/>
      <c r="N46" s="5">
        <f t="shared" si="25"/>
        <v>-1</v>
      </c>
      <c r="O46" s="14"/>
      <c r="P46" s="1">
        <f>SUM(OSRRefP22_3x_0)</f>
        <v>0</v>
      </c>
      <c r="Q46" s="1"/>
      <c r="R46" s="5">
        <f t="shared" si="26"/>
        <v>0</v>
      </c>
      <c r="S46" s="1"/>
      <c r="T46" s="1">
        <f>SUM(OSRRefT22_3x_0)</f>
        <v>160.16999999999999</v>
      </c>
      <c r="U46" s="1"/>
      <c r="V46" s="5">
        <f t="shared" si="27"/>
        <v>1.5607318806453751E-3</v>
      </c>
      <c r="W46" s="1"/>
      <c r="X46" s="1">
        <f t="shared" si="28"/>
        <v>-160.16999999999999</v>
      </c>
      <c r="Y46" s="1"/>
      <c r="Z46" s="5">
        <f t="shared" si="29"/>
        <v>-1</v>
      </c>
    </row>
    <row r="47" spans="1:26" s="24" customFormat="1" hidden="1" outlineLevel="2" x14ac:dyDescent="0.25">
      <c r="A47" s="29"/>
      <c r="B47" s="11" t="str">
        <f>CONCATENATE("          ", "6382", " - ", "DISCOUNTS/MARK DOWNS")</f>
        <v xml:space="preserve">          6382 - DISCOUNTS/MARK DOWNS</v>
      </c>
      <c r="C47" s="11"/>
      <c r="D47" s="7"/>
      <c r="E47" s="2"/>
      <c r="F47" s="6">
        <f t="shared" si="22"/>
        <v>0</v>
      </c>
      <c r="G47" s="2"/>
      <c r="H47" s="7">
        <v>96.95</v>
      </c>
      <c r="I47" s="2"/>
      <c r="J47" s="6">
        <f t="shared" si="23"/>
        <v>1.0112635673081175E-3</v>
      </c>
      <c r="K47" s="2"/>
      <c r="L47" s="7">
        <f t="shared" si="24"/>
        <v>-96.95</v>
      </c>
      <c r="M47" s="2"/>
      <c r="N47" s="6">
        <f t="shared" si="25"/>
        <v>-1</v>
      </c>
      <c r="O47" s="11"/>
      <c r="P47" s="7"/>
      <c r="Q47" s="2"/>
      <c r="R47" s="6">
        <f t="shared" si="26"/>
        <v>0</v>
      </c>
      <c r="S47" s="2"/>
      <c r="T47" s="7">
        <v>160.16999999999999</v>
      </c>
      <c r="U47" s="2"/>
      <c r="V47" s="6">
        <f t="shared" si="27"/>
        <v>1.5607318806453751E-3</v>
      </c>
      <c r="W47" s="2"/>
      <c r="X47" s="7">
        <f t="shared" si="28"/>
        <v>-160.16999999999999</v>
      </c>
      <c r="Y47" s="2"/>
      <c r="Z47" s="6">
        <f t="shared" si="29"/>
        <v>-1</v>
      </c>
    </row>
    <row r="48" spans="1:26" s="28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SUM(OSRRefD22_4x_0)</f>
        <v>1205.6400000000001</v>
      </c>
      <c r="E48" s="1"/>
      <c r="F48" s="5">
        <f t="shared" si="22"/>
        <v>2.5368932547517303E-2</v>
      </c>
      <c r="G48" s="1"/>
      <c r="H48" s="1">
        <f>SUM(OSRRefH22_4x_0)</f>
        <v>1205.6400000000001</v>
      </c>
      <c r="I48" s="1"/>
      <c r="J48" s="5">
        <f t="shared" si="23"/>
        <v>1.2575758713660224E-2</v>
      </c>
      <c r="K48" s="1"/>
      <c r="L48" s="1">
        <f t="shared" si="24"/>
        <v>0</v>
      </c>
      <c r="M48" s="1"/>
      <c r="N48" s="5">
        <f t="shared" si="25"/>
        <v>0</v>
      </c>
      <c r="O48" s="14"/>
      <c r="P48" s="1">
        <f>SUM(OSRRefP22_4x_0)</f>
        <v>2411.2800000000002</v>
      </c>
      <c r="Q48" s="1"/>
      <c r="R48" s="5">
        <f t="shared" si="26"/>
        <v>4.6041273089088966E-2</v>
      </c>
      <c r="S48" s="1"/>
      <c r="T48" s="1">
        <f>SUM(OSRRefT22_4x_0)</f>
        <v>2411.2800000000002</v>
      </c>
      <c r="U48" s="1"/>
      <c r="V48" s="5">
        <f t="shared" si="27"/>
        <v>2.3496045259178252E-2</v>
      </c>
      <c r="W48" s="1"/>
      <c r="X48" s="1">
        <f t="shared" si="28"/>
        <v>0</v>
      </c>
      <c r="Y48" s="1"/>
      <c r="Z48" s="5">
        <f t="shared" si="29"/>
        <v>0</v>
      </c>
    </row>
    <row r="49" spans="1:26" s="24" customFormat="1" hidden="1" outlineLevel="2" x14ac:dyDescent="0.25">
      <c r="A49" s="29"/>
      <c r="B49" s="11" t="str">
        <f>CONCATENATE("          ", "6351", " - ", "EQUIPMENT RENTAL")</f>
        <v xml:space="preserve">          6351 - EQUIPMENT RENTAL</v>
      </c>
      <c r="C49" s="11"/>
      <c r="D49" s="7">
        <v>1205.6400000000001</v>
      </c>
      <c r="E49" s="2"/>
      <c r="F49" s="6">
        <f t="shared" si="22"/>
        <v>2.5368932547517303E-2</v>
      </c>
      <c r="G49" s="2"/>
      <c r="H49" s="7">
        <v>1205.6400000000001</v>
      </c>
      <c r="I49" s="2"/>
      <c r="J49" s="6">
        <f t="shared" si="23"/>
        <v>1.2575758713660224E-2</v>
      </c>
      <c r="K49" s="2"/>
      <c r="L49" s="7">
        <f t="shared" si="24"/>
        <v>0</v>
      </c>
      <c r="M49" s="2"/>
      <c r="N49" s="6">
        <f t="shared" si="25"/>
        <v>0</v>
      </c>
      <c r="O49" s="11"/>
      <c r="P49" s="7">
        <v>2411.2800000000002</v>
      </c>
      <c r="Q49" s="2"/>
      <c r="R49" s="6">
        <f t="shared" si="26"/>
        <v>4.6041273089088966E-2</v>
      </c>
      <c r="S49" s="2"/>
      <c r="T49" s="7">
        <v>2411.2800000000002</v>
      </c>
      <c r="U49" s="2"/>
      <c r="V49" s="6">
        <f t="shared" si="27"/>
        <v>2.3496045259178252E-2</v>
      </c>
      <c r="W49" s="2"/>
      <c r="X49" s="7">
        <f t="shared" si="28"/>
        <v>0</v>
      </c>
      <c r="Y49" s="2"/>
      <c r="Z49" s="6">
        <f t="shared" si="29"/>
        <v>0</v>
      </c>
    </row>
    <row r="50" spans="1:26" s="28" customFormat="1" outlineLevel="1" collapsed="1" x14ac:dyDescent="0.25">
      <c r="A50" s="27"/>
      <c r="B50" s="14" t="str">
        <f>CONCATENATE("     ","Freight out/Postage                               ")</f>
        <v xml:space="preserve">     Freight out/Postage                               </v>
      </c>
      <c r="C50" s="14"/>
      <c r="D50" s="1">
        <f>SUM(OSRRefD22_5x_0)</f>
        <v>-84423.84</v>
      </c>
      <c r="E50" s="1"/>
      <c r="F50" s="5">
        <f t="shared" si="22"/>
        <v>-1.7764363345297045</v>
      </c>
      <c r="G50" s="1"/>
      <c r="H50" s="1">
        <f>SUM(OSRRefH22_5x_0)</f>
        <v>0</v>
      </c>
      <c r="I50" s="1"/>
      <c r="J50" s="5">
        <f t="shared" si="23"/>
        <v>0</v>
      </c>
      <c r="K50" s="1"/>
      <c r="L50" s="1">
        <f t="shared" si="24"/>
        <v>-84423.84</v>
      </c>
      <c r="M50" s="1"/>
      <c r="N50" s="5">
        <f t="shared" si="25"/>
        <v>0</v>
      </c>
      <c r="O50" s="14"/>
      <c r="P50" s="1">
        <f>SUM(OSRRefP22_5x_0)</f>
        <v>-75679.08</v>
      </c>
      <c r="Q50" s="1"/>
      <c r="R50" s="5">
        <f t="shared" si="26"/>
        <v>-1.4450255422062186</v>
      </c>
      <c r="S50" s="1"/>
      <c r="T50" s="1">
        <f>SUM(OSRRefT22_5x_0)</f>
        <v>0</v>
      </c>
      <c r="U50" s="1"/>
      <c r="V50" s="5">
        <f t="shared" si="27"/>
        <v>0</v>
      </c>
      <c r="W50" s="1"/>
      <c r="X50" s="1">
        <f t="shared" si="28"/>
        <v>-75679.08</v>
      </c>
      <c r="Y50" s="1"/>
      <c r="Z50" s="5">
        <f t="shared" si="29"/>
        <v>0</v>
      </c>
    </row>
    <row r="51" spans="1:26" s="24" customFormat="1" hidden="1" outlineLevel="2" x14ac:dyDescent="0.25">
      <c r="A51" s="29"/>
      <c r="B51" s="11" t="str">
        <f>CONCATENATE("          ", "6305", " - ", "FREIGHT OUT")</f>
        <v xml:space="preserve">          6305 - FREIGHT OUT</v>
      </c>
      <c r="C51" s="11"/>
      <c r="D51" s="7">
        <v>7873.15</v>
      </c>
      <c r="E51" s="2"/>
      <c r="F51" s="6">
        <f t="shared" si="22"/>
        <v>0.16566587977048358</v>
      </c>
      <c r="G51" s="2"/>
      <c r="H51" s="7"/>
      <c r="I51" s="2"/>
      <c r="J51" s="6">
        <f t="shared" si="23"/>
        <v>0</v>
      </c>
      <c r="K51" s="2"/>
      <c r="L51" s="7">
        <f t="shared" si="24"/>
        <v>7873.15</v>
      </c>
      <c r="M51" s="2"/>
      <c r="N51" s="6">
        <f t="shared" si="25"/>
        <v>0</v>
      </c>
      <c r="O51" s="11"/>
      <c r="P51" s="7">
        <v>19778.350000000002</v>
      </c>
      <c r="Q51" s="2"/>
      <c r="R51" s="6">
        <f t="shared" si="26"/>
        <v>0.3776502163173015</v>
      </c>
      <c r="S51" s="2"/>
      <c r="T51" s="7"/>
      <c r="U51" s="2"/>
      <c r="V51" s="6">
        <f t="shared" si="27"/>
        <v>0</v>
      </c>
      <c r="W51" s="2"/>
      <c r="X51" s="7">
        <f t="shared" si="28"/>
        <v>19778.350000000002</v>
      </c>
      <c r="Y51" s="2"/>
      <c r="Z51" s="6">
        <f t="shared" si="29"/>
        <v>0</v>
      </c>
    </row>
    <row r="52" spans="1:26" s="24" customFormat="1" hidden="1" outlineLevel="2" x14ac:dyDescent="0.25">
      <c r="A52" s="29"/>
      <c r="B52" s="11" t="str">
        <f>CONCATENATE("          ", "6307", " - ", "POSTAGE")</f>
        <v xml:space="preserve">          6307 - POSTAGE</v>
      </c>
      <c r="C52" s="11"/>
      <c r="D52" s="7">
        <v>-92296.989999999991</v>
      </c>
      <c r="E52" s="2"/>
      <c r="F52" s="6">
        <f t="shared" si="22"/>
        <v>-1.942102214300188</v>
      </c>
      <c r="G52" s="2"/>
      <c r="H52" s="7"/>
      <c r="I52" s="2"/>
      <c r="J52" s="6">
        <f t="shared" si="23"/>
        <v>0</v>
      </c>
      <c r="K52" s="2"/>
      <c r="L52" s="7">
        <f t="shared" si="24"/>
        <v>-92296.989999999991</v>
      </c>
      <c r="M52" s="2"/>
      <c r="N52" s="6">
        <f t="shared" si="25"/>
        <v>0</v>
      </c>
      <c r="O52" s="11"/>
      <c r="P52" s="7">
        <v>-95457.430000000008</v>
      </c>
      <c r="Q52" s="2"/>
      <c r="R52" s="6">
        <f t="shared" si="26"/>
        <v>-1.8226757585235203</v>
      </c>
      <c r="S52" s="2"/>
      <c r="T52" s="7"/>
      <c r="U52" s="2"/>
      <c r="V52" s="6">
        <f t="shared" si="27"/>
        <v>0</v>
      </c>
      <c r="W52" s="2"/>
      <c r="X52" s="7">
        <f t="shared" si="28"/>
        <v>-95457.430000000008</v>
      </c>
      <c r="Y52" s="2"/>
      <c r="Z52" s="6">
        <f t="shared" si="29"/>
        <v>0</v>
      </c>
    </row>
    <row r="53" spans="1:26" s="28" customFormat="1" outlineLevel="1" collapsed="1" x14ac:dyDescent="0.25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SUM(OSRRefD22_6x_0)</f>
        <v>5225.0200000000004</v>
      </c>
      <c r="E53" s="1"/>
      <c r="F53" s="5">
        <f t="shared" ref="F53:F62" si="30">IF(D$12=0,0,D53/D$12)</f>
        <v>0.10994424532980729</v>
      </c>
      <c r="G53" s="1"/>
      <c r="H53" s="1">
        <f>SUM(OSRRefH22_6x_0)</f>
        <v>5867.62</v>
      </c>
      <c r="I53" s="1"/>
      <c r="J53" s="5">
        <f t="shared" ref="J53:J62" si="31">IF(H$12=0,0,H53/H$12)</f>
        <v>6.1203819832990773E-2</v>
      </c>
      <c r="K53" s="1"/>
      <c r="L53" s="1">
        <f t="shared" ref="L53:L62" si="32">+D53-H53</f>
        <v>-642.59999999999945</v>
      </c>
      <c r="M53" s="1"/>
      <c r="N53" s="5">
        <f t="shared" ref="N53:N62" si="33">IF(H53=0,0,L53/H53)</f>
        <v>-0.10951629451123274</v>
      </c>
      <c r="O53" s="14"/>
      <c r="P53" s="1">
        <f>SUM(OSRRefP22_6x_0)</f>
        <v>11603.12</v>
      </c>
      <c r="Q53" s="1"/>
      <c r="R53" s="5">
        <f t="shared" ref="R53:R62" si="34">IF(P$12=0,0,P53/P$12)</f>
        <v>0.22155138208979047</v>
      </c>
      <c r="S53" s="1"/>
      <c r="T53" s="1">
        <f>SUM(OSRRefT22_6x_0)</f>
        <v>11810.02</v>
      </c>
      <c r="U53" s="1"/>
      <c r="V53" s="5">
        <f t="shared" ref="V53:V62" si="35">IF(T$12=0,0,T53/T$12)</f>
        <v>0.1150794451211806</v>
      </c>
      <c r="W53" s="1"/>
      <c r="X53" s="1">
        <f t="shared" ref="X53:X62" si="36">+P53-T53</f>
        <v>-206.89999999999964</v>
      </c>
      <c r="Y53" s="1"/>
      <c r="Z53" s="5">
        <f t="shared" ref="Z53:Z62" si="37">IF(T53=0,0,X53/T53)</f>
        <v>-1.751902198302794E-2</v>
      </c>
    </row>
    <row r="54" spans="1:26" s="24" customFormat="1" hidden="1" outlineLevel="2" x14ac:dyDescent="0.25">
      <c r="A54" s="29"/>
      <c r="B54" s="11" t="str">
        <f>CONCATENATE("          ", "6373", " - ", "MAINTENANCE CONTRACTS")</f>
        <v xml:space="preserve">          6373 - MAINTENANCE CONTRACTS</v>
      </c>
      <c r="C54" s="11"/>
      <c r="D54" s="7">
        <v>5225.0200000000004</v>
      </c>
      <c r="E54" s="2"/>
      <c r="F54" s="6">
        <f t="shared" si="30"/>
        <v>0.10994424532980729</v>
      </c>
      <c r="G54" s="2"/>
      <c r="H54" s="7">
        <v>5867.62</v>
      </c>
      <c r="I54" s="2"/>
      <c r="J54" s="6">
        <f t="shared" si="31"/>
        <v>6.1203819832990773E-2</v>
      </c>
      <c r="K54" s="2"/>
      <c r="L54" s="7">
        <f t="shared" si="32"/>
        <v>-642.59999999999945</v>
      </c>
      <c r="M54" s="2"/>
      <c r="N54" s="6">
        <f t="shared" si="33"/>
        <v>-0.10951629451123274</v>
      </c>
      <c r="O54" s="11"/>
      <c r="P54" s="7">
        <v>11603.12</v>
      </c>
      <c r="Q54" s="2"/>
      <c r="R54" s="6">
        <f t="shared" si="34"/>
        <v>0.22155138208979047</v>
      </c>
      <c r="S54" s="2"/>
      <c r="T54" s="7">
        <v>11810.02</v>
      </c>
      <c r="U54" s="2"/>
      <c r="V54" s="6">
        <f t="shared" si="35"/>
        <v>0.1150794451211806</v>
      </c>
      <c r="W54" s="2"/>
      <c r="X54" s="7">
        <f t="shared" si="36"/>
        <v>-206.89999999999964</v>
      </c>
      <c r="Y54" s="2"/>
      <c r="Z54" s="6">
        <f t="shared" si="37"/>
        <v>-1.751902198302794E-2</v>
      </c>
    </row>
    <row r="55" spans="1:26" s="28" customFormat="1" outlineLevel="1" collapsed="1" x14ac:dyDescent="0.25">
      <c r="A55" s="27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SUM(OSRRefD22_7x_0)</f>
        <v>4.6500000000000004</v>
      </c>
      <c r="E55" s="1"/>
      <c r="F55" s="5">
        <f t="shared" si="30"/>
        <v>9.7844743327988009E-5</v>
      </c>
      <c r="G55" s="1"/>
      <c r="H55" s="1">
        <f>SUM(OSRRefH22_7x_0)</f>
        <v>3649.17</v>
      </c>
      <c r="I55" s="1"/>
      <c r="J55" s="5">
        <f t="shared" si="31"/>
        <v>3.8063668611797448E-2</v>
      </c>
      <c r="K55" s="1"/>
      <c r="L55" s="1">
        <f t="shared" si="32"/>
        <v>-3644.52</v>
      </c>
      <c r="M55" s="1"/>
      <c r="N55" s="5">
        <f t="shared" si="33"/>
        <v>-0.99872573763348926</v>
      </c>
      <c r="O55" s="14"/>
      <c r="P55" s="1">
        <f>SUM(OSRRefP22_7x_0)</f>
        <v>5322.2</v>
      </c>
      <c r="Q55" s="1"/>
      <c r="R55" s="5">
        <f t="shared" si="34"/>
        <v>0.10162273300269951</v>
      </c>
      <c r="S55" s="1"/>
      <c r="T55" s="1">
        <f>SUM(OSRRefT22_7x_0)</f>
        <v>4254.18</v>
      </c>
      <c r="U55" s="1"/>
      <c r="V55" s="5">
        <f t="shared" si="35"/>
        <v>4.1453670175463211E-2</v>
      </c>
      <c r="W55" s="1"/>
      <c r="X55" s="1">
        <f t="shared" si="36"/>
        <v>1068.0199999999995</v>
      </c>
      <c r="Y55" s="1"/>
      <c r="Z55" s="5">
        <f t="shared" si="37"/>
        <v>0.25105190659539545</v>
      </c>
    </row>
    <row r="56" spans="1:26" s="24" customFormat="1" hidden="1" outlineLevel="2" x14ac:dyDescent="0.25">
      <c r="A56" s="29"/>
      <c r="B56" s="11" t="str">
        <f>CONCATENATE("          ", "6259", " - ", "ROYALTY &amp; COMMISSIONS")</f>
        <v xml:space="preserve">          6259 - ROYALTY &amp; COMMISSIONS</v>
      </c>
      <c r="C56" s="11"/>
      <c r="D56" s="7">
        <v>4.6500000000000004</v>
      </c>
      <c r="E56" s="2"/>
      <c r="F56" s="6">
        <f t="shared" si="30"/>
        <v>9.7844743327988009E-5</v>
      </c>
      <c r="G56" s="2"/>
      <c r="H56" s="7">
        <v>3649.17</v>
      </c>
      <c r="I56" s="2"/>
      <c r="J56" s="6">
        <f t="shared" si="31"/>
        <v>3.8063668611797448E-2</v>
      </c>
      <c r="K56" s="2"/>
      <c r="L56" s="7">
        <f t="shared" si="32"/>
        <v>-3644.52</v>
      </c>
      <c r="M56" s="2"/>
      <c r="N56" s="6">
        <f t="shared" si="33"/>
        <v>-0.99872573763348926</v>
      </c>
      <c r="O56" s="11"/>
      <c r="P56" s="7">
        <v>5322.2</v>
      </c>
      <c r="Q56" s="2"/>
      <c r="R56" s="6">
        <f t="shared" si="34"/>
        <v>0.10162273300269951</v>
      </c>
      <c r="S56" s="2"/>
      <c r="T56" s="7">
        <v>4254.18</v>
      </c>
      <c r="U56" s="2"/>
      <c r="V56" s="6">
        <f t="shared" si="35"/>
        <v>4.1453670175463211E-2</v>
      </c>
      <c r="W56" s="2"/>
      <c r="X56" s="7">
        <f t="shared" si="36"/>
        <v>1068.0199999999995</v>
      </c>
      <c r="Y56" s="2"/>
      <c r="Z56" s="6">
        <f t="shared" si="37"/>
        <v>0.25105190659539545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SUM(OSRRefD22_8x_0)</f>
        <v>4783.22</v>
      </c>
      <c r="E57" s="1"/>
      <c r="F57" s="5">
        <f t="shared" si="30"/>
        <v>0.10064794261963415</v>
      </c>
      <c r="G57" s="1"/>
      <c r="H57" s="1">
        <f>SUM(OSRRefH22_8x_0)</f>
        <v>3399.9700000000003</v>
      </c>
      <c r="I57" s="1"/>
      <c r="J57" s="5">
        <f t="shared" si="31"/>
        <v>3.5464319659005469E-2</v>
      </c>
      <c r="K57" s="1"/>
      <c r="L57" s="1">
        <f t="shared" si="32"/>
        <v>1383.25</v>
      </c>
      <c r="M57" s="1"/>
      <c r="N57" s="5">
        <f t="shared" si="33"/>
        <v>0.40684182507492711</v>
      </c>
      <c r="O57" s="14"/>
      <c r="P57" s="1">
        <f>SUM(OSRRefP22_8x_0)</f>
        <v>8931.02</v>
      </c>
      <c r="Q57" s="1"/>
      <c r="R57" s="5">
        <f t="shared" si="34"/>
        <v>0.17052998025285962</v>
      </c>
      <c r="S57" s="1"/>
      <c r="T57" s="1">
        <f>SUM(OSRRefT22_8x_0)</f>
        <v>5310.34</v>
      </c>
      <c r="U57" s="1"/>
      <c r="V57" s="5">
        <f t="shared" si="35"/>
        <v>5.1745126647102214E-2</v>
      </c>
      <c r="W57" s="1"/>
      <c r="X57" s="1">
        <f t="shared" si="36"/>
        <v>3620.6800000000003</v>
      </c>
      <c r="Y57" s="1"/>
      <c r="Z57" s="5">
        <f t="shared" si="37"/>
        <v>0.68181698346998498</v>
      </c>
    </row>
    <row r="58" spans="1:26" s="24" customFormat="1" hidden="1" outlineLevel="2" x14ac:dyDescent="0.25">
      <c r="A58" s="29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30"/>
        <v>0</v>
      </c>
      <c r="G58" s="2"/>
      <c r="H58" s="7">
        <v>1000</v>
      </c>
      <c r="I58" s="2"/>
      <c r="J58" s="6">
        <f t="shared" si="31"/>
        <v>1.0430774288892391E-2</v>
      </c>
      <c r="K58" s="2"/>
      <c r="L58" s="7">
        <f t="shared" si="32"/>
        <v>-1000</v>
      </c>
      <c r="M58" s="2"/>
      <c r="N58" s="6">
        <f t="shared" si="33"/>
        <v>-1</v>
      </c>
      <c r="O58" s="11"/>
      <c r="P58" s="7"/>
      <c r="Q58" s="2"/>
      <c r="R58" s="6">
        <f t="shared" si="34"/>
        <v>0</v>
      </c>
      <c r="S58" s="2"/>
      <c r="T58" s="7">
        <v>1017.27</v>
      </c>
      <c r="U58" s="2"/>
      <c r="V58" s="6">
        <f t="shared" si="35"/>
        <v>9.9125037162022898E-3</v>
      </c>
      <c r="W58" s="2"/>
      <c r="X58" s="7">
        <f t="shared" si="36"/>
        <v>-1017.27</v>
      </c>
      <c r="Y58" s="2"/>
      <c r="Z58" s="6">
        <f t="shared" si="37"/>
        <v>-1</v>
      </c>
    </row>
    <row r="59" spans="1:26" s="24" customFormat="1" hidden="1" outlineLevel="2" x14ac:dyDescent="0.25">
      <c r="A59" s="29"/>
      <c r="B59" s="11" t="str">
        <f>CONCATENATE("          ", "6235", " - ", "COVID-19 EXPENSES")</f>
        <v xml:space="preserve">          6235 - COVID-19 EXPENSES</v>
      </c>
      <c r="C59" s="11"/>
      <c r="D59" s="7"/>
      <c r="E59" s="2"/>
      <c r="F59" s="6">
        <f t="shared" si="30"/>
        <v>0</v>
      </c>
      <c r="G59" s="2"/>
      <c r="H59" s="7"/>
      <c r="I59" s="2"/>
      <c r="J59" s="6">
        <f t="shared" si="31"/>
        <v>0</v>
      </c>
      <c r="K59" s="2"/>
      <c r="L59" s="7">
        <f t="shared" si="32"/>
        <v>0</v>
      </c>
      <c r="M59" s="2"/>
      <c r="N59" s="6">
        <f t="shared" si="33"/>
        <v>0</v>
      </c>
      <c r="O59" s="11"/>
      <c r="P59" s="7">
        <v>310.91000000000003</v>
      </c>
      <c r="Q59" s="2"/>
      <c r="R59" s="6">
        <f t="shared" si="34"/>
        <v>5.9365532895925199E-3</v>
      </c>
      <c r="S59" s="2"/>
      <c r="T59" s="7"/>
      <c r="U59" s="2"/>
      <c r="V59" s="6">
        <f t="shared" si="35"/>
        <v>0</v>
      </c>
      <c r="W59" s="2"/>
      <c r="X59" s="7">
        <f t="shared" si="36"/>
        <v>310.91000000000003</v>
      </c>
      <c r="Y59" s="2"/>
      <c r="Z59" s="6">
        <f t="shared" si="37"/>
        <v>0</v>
      </c>
    </row>
    <row r="60" spans="1:26" s="24" customFormat="1" hidden="1" outlineLevel="2" x14ac:dyDescent="0.25">
      <c r="A60" s="29"/>
      <c r="B60" s="11" t="str">
        <f>CONCATENATE("          ", "6243", " - ", "PAPER SUPPLIES")</f>
        <v xml:space="preserve">          6243 - PAPER SUPPLIES</v>
      </c>
      <c r="C60" s="11"/>
      <c r="D60" s="7">
        <v>2044.69</v>
      </c>
      <c r="E60" s="2"/>
      <c r="F60" s="6">
        <f t="shared" si="30"/>
        <v>4.3024122201140602E-2</v>
      </c>
      <c r="G60" s="2"/>
      <c r="H60" s="7">
        <v>1496.95</v>
      </c>
      <c r="I60" s="2"/>
      <c r="J60" s="6">
        <f t="shared" si="31"/>
        <v>1.5614347571757467E-2</v>
      </c>
      <c r="K60" s="2"/>
      <c r="L60" s="7">
        <f t="shared" si="32"/>
        <v>547.74</v>
      </c>
      <c r="M60" s="2"/>
      <c r="N60" s="6">
        <f t="shared" si="33"/>
        <v>0.36590400480977986</v>
      </c>
      <c r="O60" s="11"/>
      <c r="P60" s="7">
        <v>3124.69</v>
      </c>
      <c r="Q60" s="2"/>
      <c r="R60" s="6">
        <f t="shared" si="34"/>
        <v>5.9663210248807851E-2</v>
      </c>
      <c r="S60" s="2"/>
      <c r="T60" s="7">
        <v>2658.29</v>
      </c>
      <c r="U60" s="2"/>
      <c r="V60" s="6">
        <f t="shared" si="35"/>
        <v>2.5902965293131013E-2</v>
      </c>
      <c r="W60" s="2"/>
      <c r="X60" s="7">
        <f t="shared" si="36"/>
        <v>466.40000000000009</v>
      </c>
      <c r="Y60" s="2"/>
      <c r="Z60" s="6">
        <f t="shared" si="37"/>
        <v>0.17545113588058492</v>
      </c>
    </row>
    <row r="61" spans="1:26" s="24" customFormat="1" hidden="1" outlineLevel="2" x14ac:dyDescent="0.25">
      <c r="A61" s="29"/>
      <c r="B61" s="11" t="str">
        <f>CONCATENATE("          ", "6245", " - ", "PRINTING")</f>
        <v xml:space="preserve">          6245 - PRINTING</v>
      </c>
      <c r="C61" s="11"/>
      <c r="D61" s="7">
        <v>1248</v>
      </c>
      <c r="E61" s="2"/>
      <c r="F61" s="6">
        <f t="shared" si="30"/>
        <v>2.6260266596414845E-2</v>
      </c>
      <c r="G61" s="2"/>
      <c r="H61" s="7">
        <v>-12.7</v>
      </c>
      <c r="I61" s="2"/>
      <c r="J61" s="6">
        <f t="shared" si="31"/>
        <v>-1.3247083346893337E-4</v>
      </c>
      <c r="K61" s="2"/>
      <c r="L61" s="7">
        <f t="shared" si="32"/>
        <v>1260.7</v>
      </c>
      <c r="M61" s="2"/>
      <c r="N61" s="6">
        <f t="shared" si="33"/>
        <v>-99.267716535433081</v>
      </c>
      <c r="O61" s="11"/>
      <c r="P61" s="7">
        <v>-295.5</v>
      </c>
      <c r="Q61" s="2"/>
      <c r="R61" s="6">
        <f t="shared" si="34"/>
        <v>-5.6423128785648242E-3</v>
      </c>
      <c r="S61" s="2"/>
      <c r="T61" s="7">
        <v>-12.7</v>
      </c>
      <c r="U61" s="2"/>
      <c r="V61" s="6">
        <f t="shared" si="35"/>
        <v>-1.2375160694384882E-4</v>
      </c>
      <c r="W61" s="2"/>
      <c r="X61" s="7">
        <f t="shared" si="36"/>
        <v>-282.8</v>
      </c>
      <c r="Y61" s="2"/>
      <c r="Z61" s="6">
        <f t="shared" si="37"/>
        <v>22.267716535433074</v>
      </c>
    </row>
    <row r="62" spans="1:26" s="24" customFormat="1" hidden="1" outlineLevel="2" x14ac:dyDescent="0.25">
      <c r="A62" s="29"/>
      <c r="B62" s="11" t="str">
        <f>CONCATENATE("          ", "6247", " - ", "STORE SUPPLIES")</f>
        <v xml:space="preserve">          6247 - STORE SUPPLIES</v>
      </c>
      <c r="C62" s="11"/>
      <c r="D62" s="7">
        <v>1490.53</v>
      </c>
      <c r="E62" s="2"/>
      <c r="F62" s="6">
        <f t="shared" si="30"/>
        <v>3.1363553822078699E-2</v>
      </c>
      <c r="G62" s="2"/>
      <c r="H62" s="7">
        <v>915.72</v>
      </c>
      <c r="I62" s="2"/>
      <c r="J62" s="6">
        <f t="shared" si="31"/>
        <v>9.5516686318245416E-3</v>
      </c>
      <c r="K62" s="2"/>
      <c r="L62" s="7">
        <f t="shared" si="32"/>
        <v>574.80999999999995</v>
      </c>
      <c r="M62" s="2"/>
      <c r="N62" s="6">
        <f t="shared" si="33"/>
        <v>0.62771371161490408</v>
      </c>
      <c r="O62" s="11"/>
      <c r="P62" s="7">
        <v>5790.92</v>
      </c>
      <c r="Q62" s="2"/>
      <c r="R62" s="6">
        <f t="shared" si="34"/>
        <v>0.11057252959302406</v>
      </c>
      <c r="S62" s="2"/>
      <c r="T62" s="7">
        <v>1647.48</v>
      </c>
      <c r="U62" s="2"/>
      <c r="V62" s="6">
        <f t="shared" si="35"/>
        <v>1.6053409244712762E-2</v>
      </c>
      <c r="W62" s="2"/>
      <c r="X62" s="7">
        <f t="shared" si="36"/>
        <v>4143.4400000000005</v>
      </c>
      <c r="Y62" s="2"/>
      <c r="Z62" s="6">
        <f t="shared" si="37"/>
        <v>2.5150168742564403</v>
      </c>
    </row>
    <row r="63" spans="1:26" s="28" customFormat="1" outlineLevel="1" collapsed="1" x14ac:dyDescent="0.25">
      <c r="A63" s="27"/>
      <c r="B63" s="14" t="str">
        <f>CONCATENATE("     ","Telephone/Data Lines                              ")</f>
        <v xml:space="preserve">     Telephone/Data Lines                              </v>
      </c>
      <c r="C63" s="14"/>
      <c r="D63" s="1">
        <f>SUM(OSRRefD22_9x_0)</f>
        <v>200.75</v>
      </c>
      <c r="E63" s="1"/>
      <c r="F63" s="5">
        <f t="shared" ref="F63:F66" si="38">IF(D$12=0,0,D63/D$12)</f>
        <v>4.2241574673319553E-3</v>
      </c>
      <c r="G63" s="1"/>
      <c r="H63" s="1">
        <f>SUM(OSRRefH22_9x_0)</f>
        <v>157.1</v>
      </c>
      <c r="I63" s="1"/>
      <c r="J63" s="5">
        <f t="shared" ref="J63:J66" si="39">IF(H$12=0,0,H63/H$12)</f>
        <v>1.6386746407849946E-3</v>
      </c>
      <c r="K63" s="1"/>
      <c r="L63" s="1">
        <f t="shared" ref="L63:L66" si="40">+D63-H63</f>
        <v>43.650000000000006</v>
      </c>
      <c r="M63" s="1"/>
      <c r="N63" s="5">
        <f t="shared" ref="N63:N66" si="41">IF(H63=0,0,L63/H63)</f>
        <v>0.27784850413749207</v>
      </c>
      <c r="O63" s="14"/>
      <c r="P63" s="1">
        <f>SUM(OSRRefP22_9x_0)</f>
        <v>400.75</v>
      </c>
      <c r="Q63" s="1"/>
      <c r="R63" s="5">
        <f t="shared" ref="R63:R66" si="42">IF(P$12=0,0,P63/P$12)</f>
        <v>7.6519691576475571E-3</v>
      </c>
      <c r="S63" s="1"/>
      <c r="T63" s="1">
        <f>SUM(OSRRefT22_9x_0)</f>
        <v>245.75</v>
      </c>
      <c r="U63" s="1"/>
      <c r="V63" s="5">
        <f t="shared" ref="V63:V66" si="43">IF(T$12=0,0,T63/T$12)</f>
        <v>2.3946423154685707E-3</v>
      </c>
      <c r="W63" s="1"/>
      <c r="X63" s="1">
        <f t="shared" ref="X63:X66" si="44">+P63-T63</f>
        <v>155</v>
      </c>
      <c r="Y63" s="1"/>
      <c r="Z63" s="5">
        <f t="shared" ref="Z63:Z66" si="45">IF(T63=0,0,X63/T63)</f>
        <v>0.63072227873855546</v>
      </c>
    </row>
    <row r="64" spans="1:26" s="24" customFormat="1" hidden="1" outlineLevel="2" x14ac:dyDescent="0.25">
      <c r="A64" s="29"/>
      <c r="B64" s="11" t="str">
        <f>CONCATENATE("          ", "6309", " - ", "TELEPHONE")</f>
        <v xml:space="preserve">          6309 - TELEPHONE</v>
      </c>
      <c r="C64" s="11"/>
      <c r="D64" s="7">
        <v>200.75</v>
      </c>
      <c r="E64" s="2"/>
      <c r="F64" s="6">
        <f t="shared" si="38"/>
        <v>4.2241574673319553E-3</v>
      </c>
      <c r="G64" s="2"/>
      <c r="H64" s="7">
        <v>157.1</v>
      </c>
      <c r="I64" s="2"/>
      <c r="J64" s="6">
        <f t="shared" si="39"/>
        <v>1.6386746407849946E-3</v>
      </c>
      <c r="K64" s="2"/>
      <c r="L64" s="7">
        <f t="shared" si="40"/>
        <v>43.650000000000006</v>
      </c>
      <c r="M64" s="2"/>
      <c r="N64" s="6">
        <f t="shared" si="41"/>
        <v>0.27784850413749207</v>
      </c>
      <c r="O64" s="11"/>
      <c r="P64" s="7">
        <v>400.75</v>
      </c>
      <c r="Q64" s="2"/>
      <c r="R64" s="6">
        <f t="shared" si="42"/>
        <v>7.6519691576475571E-3</v>
      </c>
      <c r="S64" s="2"/>
      <c r="T64" s="7">
        <v>245.75</v>
      </c>
      <c r="U64" s="2"/>
      <c r="V64" s="6">
        <f t="shared" si="43"/>
        <v>2.3946423154685707E-3</v>
      </c>
      <c r="W64" s="2"/>
      <c r="X64" s="7">
        <f t="shared" si="44"/>
        <v>155</v>
      </c>
      <c r="Y64" s="2"/>
      <c r="Z64" s="6">
        <f t="shared" si="45"/>
        <v>0.63072227873855546</v>
      </c>
    </row>
    <row r="65" spans="1:26" s="28" customFormat="1" outlineLevel="1" collapsed="1" x14ac:dyDescent="0.25">
      <c r="A65" s="27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SUM(OSRRefD22_10x_0)</f>
        <v>15.02</v>
      </c>
      <c r="E65" s="1"/>
      <c r="F65" s="5">
        <f t="shared" si="38"/>
        <v>3.1604904188954402E-4</v>
      </c>
      <c r="G65" s="1"/>
      <c r="H65" s="1">
        <f>SUM(OSRRefH22_10x_0)</f>
        <v>0</v>
      </c>
      <c r="I65" s="1"/>
      <c r="J65" s="5">
        <f t="shared" si="39"/>
        <v>0</v>
      </c>
      <c r="K65" s="1"/>
      <c r="L65" s="1">
        <f t="shared" si="40"/>
        <v>15.02</v>
      </c>
      <c r="M65" s="1"/>
      <c r="N65" s="5">
        <f t="shared" si="41"/>
        <v>0</v>
      </c>
      <c r="O65" s="14"/>
      <c r="P65" s="1">
        <f>SUM(OSRRefP22_10x_0)</f>
        <v>15.02</v>
      </c>
      <c r="Q65" s="1"/>
      <c r="R65" s="5">
        <f t="shared" si="42"/>
        <v>2.8679370367527466E-4</v>
      </c>
      <c r="S65" s="1"/>
      <c r="T65" s="1">
        <f>SUM(OSRRefT22_10x_0)</f>
        <v>0</v>
      </c>
      <c r="U65" s="1"/>
      <c r="V65" s="5">
        <f t="shared" si="43"/>
        <v>0</v>
      </c>
      <c r="W65" s="1"/>
      <c r="X65" s="1">
        <f t="shared" si="44"/>
        <v>15.02</v>
      </c>
      <c r="Y65" s="1"/>
      <c r="Z65" s="5">
        <f t="shared" si="45"/>
        <v>0</v>
      </c>
    </row>
    <row r="66" spans="1:26" s="24" customFormat="1" hidden="1" outlineLevel="2" x14ac:dyDescent="0.25">
      <c r="A66" s="29"/>
      <c r="B66" s="11" t="str">
        <f>CONCATENATE("          ", "6274", " - ", "UTILITIES")</f>
        <v xml:space="preserve">          6274 - UTILITIES</v>
      </c>
      <c r="C66" s="11"/>
      <c r="D66" s="7">
        <v>15.02</v>
      </c>
      <c r="E66" s="2"/>
      <c r="F66" s="6">
        <f t="shared" si="38"/>
        <v>3.1604904188954402E-4</v>
      </c>
      <c r="G66" s="2"/>
      <c r="H66" s="7"/>
      <c r="I66" s="2"/>
      <c r="J66" s="6">
        <f t="shared" si="39"/>
        <v>0</v>
      </c>
      <c r="K66" s="2"/>
      <c r="L66" s="7">
        <f t="shared" si="40"/>
        <v>15.02</v>
      </c>
      <c r="M66" s="2"/>
      <c r="N66" s="6">
        <f t="shared" si="41"/>
        <v>0</v>
      </c>
      <c r="O66" s="11"/>
      <c r="P66" s="7">
        <v>15.02</v>
      </c>
      <c r="Q66" s="2"/>
      <c r="R66" s="6">
        <f t="shared" si="42"/>
        <v>2.8679370367527466E-4</v>
      </c>
      <c r="S66" s="2"/>
      <c r="T66" s="7"/>
      <c r="U66" s="2"/>
      <c r="V66" s="6">
        <f t="shared" si="43"/>
        <v>0</v>
      </c>
      <c r="W66" s="2"/>
      <c r="X66" s="7">
        <f t="shared" si="44"/>
        <v>15.02</v>
      </c>
      <c r="Y66" s="2"/>
      <c r="Z66" s="6">
        <f t="shared" si="45"/>
        <v>0</v>
      </c>
    </row>
    <row r="67" spans="1:26" s="5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25">
      <c r="A68" s="10"/>
      <c r="B68" s="25" t="s">
        <v>0</v>
      </c>
      <c r="C68" s="10"/>
      <c r="D68" s="4">
        <f>SUM(OSRRefD25x_0)</f>
        <v>6782</v>
      </c>
      <c r="E68" s="4"/>
      <c r="F68" s="12">
        <f t="shared" ref="F68:F69" si="46">IF(D$12=0,0,D68/D$12)</f>
        <v>0.14270603209686336</v>
      </c>
      <c r="G68" s="4"/>
      <c r="H68" s="4">
        <f>SUM(OSRRefH25x_0)</f>
        <v>13269</v>
      </c>
      <c r="I68" s="4"/>
      <c r="J68" s="12">
        <f t="shared" ref="J68:J69" si="47">IF(H$12=0,0,H68/H$12)</f>
        <v>0.13840594403931314</v>
      </c>
      <c r="K68" s="4"/>
      <c r="L68" s="4">
        <f t="shared" ref="L68:L69" si="48">+D68-H68</f>
        <v>-6487</v>
      </c>
      <c r="M68" s="4"/>
      <c r="N68" s="12">
        <f t="shared" ref="N68:N69" si="49">IF(H68=0,0,L68/H68)</f>
        <v>-0.48888386464692141</v>
      </c>
      <c r="O68" s="10"/>
      <c r="P68" s="4">
        <f>SUM(OSRRefP25x_0)</f>
        <v>13564</v>
      </c>
      <c r="Q68" s="4"/>
      <c r="R68" s="12">
        <f t="shared" ref="R68:R69" si="50">IF(P$12=0,0,P68/P$12)</f>
        <v>0.25899266289290446</v>
      </c>
      <c r="S68" s="4"/>
      <c r="T68" s="4">
        <f>SUM(OSRRefT25x_0)</f>
        <v>26538</v>
      </c>
      <c r="U68" s="4"/>
      <c r="V68" s="12">
        <f t="shared" ref="V68:V69" si="51">IF(T$12=0,0,T68/T$12)</f>
        <v>0.25859213740754805</v>
      </c>
      <c r="W68" s="4"/>
      <c r="X68" s="4">
        <f t="shared" ref="X68:X69" si="52">+P68-T68</f>
        <v>-12974</v>
      </c>
      <c r="Y68" s="4"/>
      <c r="Z68" s="12">
        <f t="shared" ref="Z68:Z69" si="53">IF(T68=0,0,X68/T68)</f>
        <v>-0.48888386464692141</v>
      </c>
    </row>
    <row r="69" spans="1:26" s="24" customFormat="1" hidden="1" outlineLevel="1" x14ac:dyDescent="0.25">
      <c r="A69" s="44"/>
      <c r="B69" s="11" t="str">
        <f>CONCATENATE("          ", "9150", " - ", "MISC. INCOME")</f>
        <v xml:space="preserve">          9150 - MISC. INCOME</v>
      </c>
      <c r="C69" s="11"/>
      <c r="D69" s="2">
        <f>--6782</f>
        <v>6782</v>
      </c>
      <c r="E69" s="2"/>
      <c r="F69" s="19">
        <f t="shared" si="46"/>
        <v>0.14270603209686336</v>
      </c>
      <c r="G69" s="2"/>
      <c r="H69" s="2">
        <f>--13269</f>
        <v>13269</v>
      </c>
      <c r="I69" s="2"/>
      <c r="J69" s="19">
        <f t="shared" si="47"/>
        <v>0.13840594403931314</v>
      </c>
      <c r="K69" s="2"/>
      <c r="L69" s="2">
        <f t="shared" si="48"/>
        <v>-6487</v>
      </c>
      <c r="M69" s="2"/>
      <c r="N69" s="19">
        <f t="shared" si="49"/>
        <v>-0.48888386464692141</v>
      </c>
      <c r="O69" s="11"/>
      <c r="P69" s="2">
        <f>--13564</f>
        <v>13564</v>
      </c>
      <c r="Q69" s="2"/>
      <c r="R69" s="19">
        <f t="shared" si="50"/>
        <v>0.25899266289290446</v>
      </c>
      <c r="S69" s="2"/>
      <c r="T69" s="2">
        <f>--26538</f>
        <v>26538</v>
      </c>
      <c r="U69" s="2"/>
      <c r="V69" s="19">
        <f t="shared" si="51"/>
        <v>0.25859213740754805</v>
      </c>
      <c r="W69" s="2"/>
      <c r="X69" s="2">
        <f t="shared" si="52"/>
        <v>-12974</v>
      </c>
      <c r="Y69" s="2"/>
      <c r="Z69" s="19">
        <f t="shared" si="53"/>
        <v>-0.48888386464692141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10"/>
      <c r="B71" s="26" t="s">
        <v>3</v>
      </c>
      <c r="C71" s="26"/>
      <c r="D71" s="22">
        <f>+D28-D30+D68</f>
        <v>104716.87999999998</v>
      </c>
      <c r="E71" s="13"/>
      <c r="F71" s="21">
        <f>IF(D$12=0,0,D71/D$12)</f>
        <v>2.2034400528403695</v>
      </c>
      <c r="G71" s="13"/>
      <c r="H71" s="22">
        <f>+H28-H30+H68</f>
        <v>70740.99000000002</v>
      </c>
      <c r="I71" s="13"/>
      <c r="J71" s="21">
        <f>IF(H$12=0,0,H71/H$12)</f>
        <v>0.73788329966279398</v>
      </c>
      <c r="K71" s="16"/>
      <c r="L71" s="22">
        <f>+D71-H71</f>
        <v>33975.889999999956</v>
      </c>
      <c r="M71" s="16"/>
      <c r="N71" s="21">
        <f>IF(H71=0,0,L71/H71)</f>
        <v>0.48028575794599349</v>
      </c>
      <c r="O71" s="25"/>
      <c r="P71" s="22">
        <f>+P28-P30+P68</f>
        <v>67192.800000000017</v>
      </c>
      <c r="Q71" s="13"/>
      <c r="R71" s="21">
        <f>IF(P$12=0,0,P71/P$12)</f>
        <v>1.2829874815121172</v>
      </c>
      <c r="S71" s="13"/>
      <c r="T71" s="22">
        <f>+T28-T30+T68</f>
        <v>56847.820000000022</v>
      </c>
      <c r="U71" s="13"/>
      <c r="V71" s="21">
        <f>IF(T$12=0,0,T71/T$12)</f>
        <v>0.55393772253973783</v>
      </c>
      <c r="W71" s="16"/>
      <c r="X71" s="22">
        <f>+P71-T71</f>
        <v>10344.979999999996</v>
      </c>
      <c r="Y71" s="16"/>
      <c r="Z71" s="21">
        <f>IF(T71=0,0,X71/T71)</f>
        <v>0.18197672311796639</v>
      </c>
    </row>
    <row r="72" spans="1:26" x14ac:dyDescent="0.25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25">
      <c r="A73" s="51"/>
      <c r="B73" s="10" t="s">
        <v>13</v>
      </c>
      <c r="C73" s="10"/>
      <c r="D73" s="4">
        <v>6510.77</v>
      </c>
      <c r="E73" s="4"/>
      <c r="F73" s="12">
        <f>IF(D$12=0,0,D73/D$12)</f>
        <v>0.13699884290700312</v>
      </c>
      <c r="G73" s="4"/>
      <c r="H73" s="4">
        <v>11390.94</v>
      </c>
      <c r="I73" s="4"/>
      <c r="J73" s="12">
        <f>IF(H$12=0,0,H73/H$12)</f>
        <v>0.11881632407831591</v>
      </c>
      <c r="K73" s="4"/>
      <c r="L73" s="4">
        <f>+D73-H73</f>
        <v>-4880.17</v>
      </c>
      <c r="M73" s="4"/>
      <c r="N73" s="12">
        <f>IF(H73=0,0,L73/H73)</f>
        <v>-0.42842557330650499</v>
      </c>
      <c r="O73" s="10"/>
      <c r="P73" s="4">
        <v>8842.34</v>
      </c>
      <c r="Q73" s="4"/>
      <c r="R73" s="12">
        <f>IF(P$12=0,0,P73/P$12)</f>
        <v>0.16883671356564767</v>
      </c>
      <c r="S73" s="4"/>
      <c r="T73" s="4">
        <v>12795.46</v>
      </c>
      <c r="U73" s="4"/>
      <c r="V73" s="12">
        <f>IF(T$12=0,0,T73/T$12)</f>
        <v>0.12468179028234171</v>
      </c>
      <c r="W73" s="4"/>
      <c r="X73" s="4">
        <f>+P73-T73</f>
        <v>-3953.119999999999</v>
      </c>
      <c r="Y73" s="4"/>
      <c r="Z73" s="12">
        <f>IF(T73=0,0,X73/T73)</f>
        <v>-0.30894707966731944</v>
      </c>
    </row>
    <row r="74" spans="1:26" x14ac:dyDescent="0.25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4</v>
      </c>
      <c r="C75" s="26"/>
      <c r="D75" s="36">
        <f>+D71-D73</f>
        <v>98206.109999999971</v>
      </c>
      <c r="E75" s="13"/>
      <c r="F75" s="34">
        <f>IF(D$12=0,0,D75/D$12)</f>
        <v>2.066441209933366</v>
      </c>
      <c r="G75" s="13"/>
      <c r="H75" s="36">
        <f>+H71-H73</f>
        <v>59350.050000000017</v>
      </c>
      <c r="I75" s="13"/>
      <c r="J75" s="34">
        <f>IF(H$12=0,0,H75/H$12)</f>
        <v>0.6190669755844781</v>
      </c>
      <c r="K75" s="16"/>
      <c r="L75" s="36">
        <f>D75-H75</f>
        <v>38856.059999999954</v>
      </c>
      <c r="M75" s="16"/>
      <c r="N75" s="34">
        <f>IF(H75=0,0,L75/H75)</f>
        <v>0.65469296150550749</v>
      </c>
      <c r="O75" s="25"/>
      <c r="P75" s="36">
        <f>+P71-P73</f>
        <v>58350.460000000021</v>
      </c>
      <c r="Q75" s="13"/>
      <c r="R75" s="34">
        <f>IF(P$12=0,0,P75/P$12)</f>
        <v>1.1141507679464695</v>
      </c>
      <c r="S75" s="13"/>
      <c r="T75" s="36">
        <f>+T71-T73</f>
        <v>44052.360000000022</v>
      </c>
      <c r="U75" s="13"/>
      <c r="V75" s="34">
        <f>IF(T$12=0,0,T75/T$12)</f>
        <v>0.42925593225739611</v>
      </c>
      <c r="W75" s="16"/>
      <c r="X75" s="36">
        <f>P75-T75</f>
        <v>14298.099999999999</v>
      </c>
      <c r="Y75" s="16"/>
      <c r="Z75" s="34">
        <f>IF(T75=0,0,X75/T75)</f>
        <v>0.32457057919257881</v>
      </c>
    </row>
    <row r="76" spans="1:26" ht="15.75" thickTop="1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.75" thickBot="1" x14ac:dyDescent="0.3">
      <c r="A78" s="10"/>
      <c r="B78" s="26" t="s">
        <v>5</v>
      </c>
      <c r="C78" s="26"/>
      <c r="D78" s="30">
        <f>SUM(D75:D77)</f>
        <v>98206.109999999971</v>
      </c>
      <c r="E78" s="13"/>
      <c r="F78" s="31">
        <f>IF(D$12=0,0,D78/D$12)</f>
        <v>2.066441209933366</v>
      </c>
      <c r="G78" s="13"/>
      <c r="H78" s="30">
        <f>SUM(H75:H77)</f>
        <v>59350.050000000017</v>
      </c>
      <c r="I78" s="13"/>
      <c r="J78" s="31">
        <f>IF(H$12=0,0,H78/H$12)</f>
        <v>0.6190669755844781</v>
      </c>
      <c r="K78" s="16"/>
      <c r="L78" s="30">
        <f>+D78-H78</f>
        <v>38856.059999999954</v>
      </c>
      <c r="M78" s="16"/>
      <c r="N78" s="31">
        <f>IF(H78=0,0,L78/H78)</f>
        <v>0.65469296150550749</v>
      </c>
      <c r="O78" s="25"/>
      <c r="P78" s="30">
        <f>SUM(P75:P77)</f>
        <v>58350.460000000021</v>
      </c>
      <c r="Q78" s="13"/>
      <c r="R78" s="31">
        <f>IF(P$12=0,0,P78/P$12)</f>
        <v>1.1141507679464695</v>
      </c>
      <c r="S78" s="13"/>
      <c r="T78" s="30">
        <f>SUM(T75:T77)</f>
        <v>44052.360000000022</v>
      </c>
      <c r="U78" s="13"/>
      <c r="V78" s="31">
        <f>IF(T$12=0,0,T78/T$12)</f>
        <v>0.42925593225739611</v>
      </c>
      <c r="W78" s="16"/>
      <c r="X78" s="30">
        <f>+P78-T78</f>
        <v>14298.099999999999</v>
      </c>
      <c r="Y78" s="16"/>
      <c r="Z78" s="31">
        <f>IF(T78=0,0,X78/T78)</f>
        <v>0.32457057919257881</v>
      </c>
    </row>
    <row r="79" spans="1:26" ht="15.75" thickTop="1" x14ac:dyDescent="0.25">
      <c r="A79" s="9"/>
      <c r="C79" s="9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61">
        <v>44113.696307060185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6" t="s">
        <v>313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8"/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","320", " - ", "Customer Service (old)")</f>
        <v>Department 320 - Customer Service (old)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1496.3999999999999</v>
      </c>
      <c r="I12" s="4"/>
      <c r="J12" s="12"/>
      <c r="K12" s="4"/>
      <c r="L12" s="4">
        <f t="shared" ref="L12:L15" si="0">+D12-H12</f>
        <v>-1496.3999999999999</v>
      </c>
      <c r="M12" s="4"/>
      <c r="N12" s="12">
        <f t="shared" ref="N12:N15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3650.72</v>
      </c>
      <c r="U12" s="4"/>
      <c r="V12" s="12"/>
      <c r="W12" s="4"/>
      <c r="X12" s="4">
        <f t="shared" ref="X12:X15" si="2">+P12-T12</f>
        <v>-3650.72</v>
      </c>
      <c r="Y12" s="4"/>
      <c r="Z12" s="12">
        <f t="shared" ref="Z12:Z15" si="3">IF(T12=0,0,X12/T12)</f>
        <v>-1</v>
      </c>
    </row>
    <row r="13" spans="1:26" s="24" customFormat="1" hidden="1" outlineLevel="1" x14ac:dyDescent="0.25">
      <c r="A13" s="44"/>
      <c r="B13" s="11" t="str">
        <f>CONCATENATE("          ", "4092", " - ", "TAXABLE SALES-GRAD MERCH")</f>
        <v xml:space="preserve">          4092 - TAXABLE SALES-GRAD MERCH</v>
      </c>
      <c r="C13" s="11"/>
      <c r="D13" s="2">
        <f t="shared" ref="D13:D15" si="4">0</f>
        <v>0</v>
      </c>
      <c r="E13" s="2"/>
      <c r="F13" s="19"/>
      <c r="G13" s="2"/>
      <c r="H13" s="2">
        <f>--1734.05</f>
        <v>1734.05</v>
      </c>
      <c r="I13" s="2"/>
      <c r="J13" s="19"/>
      <c r="K13" s="2"/>
      <c r="L13" s="2">
        <f t="shared" si="0"/>
        <v>-1734.05</v>
      </c>
      <c r="M13" s="2"/>
      <c r="N13" s="19">
        <f t="shared" si="1"/>
        <v>-1</v>
      </c>
      <c r="O13" s="11"/>
      <c r="P13" s="2">
        <f t="shared" ref="P13:P15" si="5">0</f>
        <v>0</v>
      </c>
      <c r="Q13" s="2"/>
      <c r="R13" s="19"/>
      <c r="S13" s="2"/>
      <c r="T13" s="2">
        <f>--3862.68</f>
        <v>3862.68</v>
      </c>
      <c r="U13" s="2"/>
      <c r="V13" s="19"/>
      <c r="W13" s="2"/>
      <c r="X13" s="2">
        <f t="shared" si="2"/>
        <v>-3862.68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"4095", " - ", "TAXABLE SALES-CUSTOMER SERVICE")</f>
        <v xml:space="preserve">          4095 - TAXABLE SALES-CUSTOMER SERVICE</v>
      </c>
      <c r="C14" s="11"/>
      <c r="D14" s="2">
        <f t="shared" si="4"/>
        <v>0</v>
      </c>
      <c r="E14" s="2"/>
      <c r="F14" s="19"/>
      <c r="G14" s="2"/>
      <c r="H14" s="2">
        <f>--121.55</f>
        <v>121.55</v>
      </c>
      <c r="I14" s="2"/>
      <c r="J14" s="19"/>
      <c r="K14" s="2"/>
      <c r="L14" s="2">
        <f t="shared" si="0"/>
        <v>-121.55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--157.19</f>
        <v>157.19</v>
      </c>
      <c r="U14" s="2"/>
      <c r="V14" s="19"/>
      <c r="W14" s="2"/>
      <c r="X14" s="2">
        <f t="shared" si="2"/>
        <v>-157.19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"4292", " - ", "SALES RETURN TAXABLE-GRAD MERC")</f>
        <v xml:space="preserve">          4292 - SALES RETURN TAXABLE-GRAD MERC</v>
      </c>
      <c r="C15" s="11"/>
      <c r="D15" s="2">
        <f t="shared" si="4"/>
        <v>0</v>
      </c>
      <c r="E15" s="2"/>
      <c r="F15" s="19"/>
      <c r="G15" s="2"/>
      <c r="H15" s="2">
        <f>-359.2</f>
        <v>-359.2</v>
      </c>
      <c r="I15" s="2"/>
      <c r="J15" s="19"/>
      <c r="K15" s="2"/>
      <c r="L15" s="2">
        <f t="shared" si="0"/>
        <v>359.2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-369.15</f>
        <v>-369.15</v>
      </c>
      <c r="U15" s="2"/>
      <c r="V15" s="19"/>
      <c r="W15" s="2"/>
      <c r="X15" s="2">
        <f t="shared" si="2"/>
        <v>369.15</v>
      </c>
      <c r="Y15" s="2"/>
      <c r="Z15" s="19">
        <f t="shared" si="3"/>
        <v>-1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0</v>
      </c>
      <c r="E17" s="4"/>
      <c r="F17" s="12">
        <f t="shared" ref="F17:F22" si="6">IF(D$12=0,0,D17/D$12)</f>
        <v>0</v>
      </c>
      <c r="G17" s="4"/>
      <c r="H17" s="4">
        <f>SUM(OSRRefH16x_0)</f>
        <v>820.97</v>
      </c>
      <c r="I17" s="4"/>
      <c r="J17" s="12">
        <f t="shared" ref="J17:J22" si="7">IF(H$12=0,0,H17/H$12)</f>
        <v>0.54863004544239513</v>
      </c>
      <c r="K17" s="4"/>
      <c r="L17" s="4">
        <f t="shared" ref="L17:L22" si="8">+D17-H17</f>
        <v>-820.97</v>
      </c>
      <c r="M17" s="4"/>
      <c r="N17" s="12">
        <f t="shared" ref="N17:N22" si="9">IF(H17=0,0,L17/H17)</f>
        <v>-1</v>
      </c>
      <c r="O17" s="10"/>
      <c r="P17" s="4">
        <f>SUM(OSRRefP16x_0)</f>
        <v>0</v>
      </c>
      <c r="Q17" s="4"/>
      <c r="R17" s="12">
        <f t="shared" ref="R17:R22" si="10">IF(P$12=0,0,P17/P$12)</f>
        <v>0</v>
      </c>
      <c r="S17" s="4"/>
      <c r="T17" s="4">
        <f>SUM(OSRRefT16x_0)</f>
        <v>1865.4199999999998</v>
      </c>
      <c r="U17" s="4"/>
      <c r="V17" s="12">
        <f t="shared" ref="V17:V22" si="11">IF(T$12=0,0,T17/T$12)</f>
        <v>0.5109731778936758</v>
      </c>
      <c r="W17" s="4"/>
      <c r="X17" s="4">
        <f t="shared" ref="X17:X22" si="12">+P17-T17</f>
        <v>-1865.4199999999998</v>
      </c>
      <c r="Y17" s="4"/>
      <c r="Z17" s="12">
        <f t="shared" ref="Z17:Z22" si="13">IF(T17=0,0,X17/T17)</f>
        <v>-1</v>
      </c>
    </row>
    <row r="18" spans="1:26" s="24" customFormat="1" hidden="1" outlineLevel="1" x14ac:dyDescent="0.25">
      <c r="A18" s="44"/>
      <c r="B18" s="11" t="str">
        <f>CONCATENATE("          ", "5092", " - ", "PURCHASES @ COST-GRAD MERCH")</f>
        <v xml:space="preserve">          5092 - PURCHASES @ COST-GRAD MERCH</v>
      </c>
      <c r="C18" s="11"/>
      <c r="D18" s="2"/>
      <c r="E18" s="2"/>
      <c r="F18" s="19">
        <f t="shared" si="6"/>
        <v>0</v>
      </c>
      <c r="G18" s="2"/>
      <c r="H18" s="2">
        <v>-600.6</v>
      </c>
      <c r="I18" s="2"/>
      <c r="J18" s="19">
        <f t="shared" si="7"/>
        <v>-0.40136327185244591</v>
      </c>
      <c r="K18" s="2"/>
      <c r="L18" s="2">
        <f t="shared" si="8"/>
        <v>600.6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628</v>
      </c>
      <c r="U18" s="2"/>
      <c r="V18" s="19">
        <f t="shared" si="11"/>
        <v>0.1720208616382522</v>
      </c>
      <c r="W18" s="2"/>
      <c r="X18" s="2">
        <f t="shared" si="12"/>
        <v>-628</v>
      </c>
      <c r="Y18" s="2"/>
      <c r="Z18" s="19">
        <f t="shared" si="13"/>
        <v>-1</v>
      </c>
    </row>
    <row r="19" spans="1:26" s="24" customFormat="1" hidden="1" outlineLevel="1" x14ac:dyDescent="0.25">
      <c r="A19" s="44"/>
      <c r="B19" s="11" t="str">
        <f>CONCATENATE("          ", "5095", " - ", "PURCHASES @ COST-CUSTOMER SERV")</f>
        <v xml:space="preserve">          5095 - PURCHASES @ COST-CUSTOMER SERV</v>
      </c>
      <c r="C19" s="11"/>
      <c r="D19" s="2"/>
      <c r="E19" s="2"/>
      <c r="F19" s="19">
        <f t="shared" si="6"/>
        <v>0</v>
      </c>
      <c r="G19" s="2"/>
      <c r="H19" s="2"/>
      <c r="I19" s="2"/>
      <c r="J19" s="19">
        <f t="shared" si="7"/>
        <v>0</v>
      </c>
      <c r="K19" s="2"/>
      <c r="L19" s="2">
        <f t="shared" si="8"/>
        <v>0</v>
      </c>
      <c r="M19" s="2"/>
      <c r="N19" s="19">
        <f t="shared" si="9"/>
        <v>0</v>
      </c>
      <c r="O19" s="11"/>
      <c r="P19" s="2"/>
      <c r="Q19" s="2"/>
      <c r="R19" s="19">
        <f t="shared" si="10"/>
        <v>0</v>
      </c>
      <c r="S19" s="2"/>
      <c r="T19" s="2">
        <v>11.85</v>
      </c>
      <c r="U19" s="2"/>
      <c r="V19" s="19">
        <f t="shared" si="11"/>
        <v>3.2459350484288032E-3</v>
      </c>
      <c r="W19" s="2"/>
      <c r="X19" s="2">
        <f t="shared" si="12"/>
        <v>-11.85</v>
      </c>
      <c r="Y19" s="2"/>
      <c r="Z19" s="19">
        <f t="shared" si="13"/>
        <v>-1</v>
      </c>
    </row>
    <row r="20" spans="1:26" s="24" customFormat="1" hidden="1" outlineLevel="1" x14ac:dyDescent="0.25">
      <c r="A20" s="44"/>
      <c r="B20" s="11" t="str">
        <f>CONCATENATE("          ", "5200", " - ", "PURCHASES OFFSET")</f>
        <v xml:space="preserve">          5200 - PURCHASES OFFSET</v>
      </c>
      <c r="C20" s="11"/>
      <c r="D20" s="2"/>
      <c r="E20" s="2"/>
      <c r="F20" s="19">
        <f t="shared" si="6"/>
        <v>0</v>
      </c>
      <c r="G20" s="2"/>
      <c r="H20" s="2">
        <v>541</v>
      </c>
      <c r="I20" s="2"/>
      <c r="J20" s="19">
        <f t="shared" si="7"/>
        <v>0.36153434910451754</v>
      </c>
      <c r="K20" s="2"/>
      <c r="L20" s="2">
        <f t="shared" si="8"/>
        <v>-541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-700</v>
      </c>
      <c r="U20" s="2"/>
      <c r="V20" s="19">
        <f t="shared" si="11"/>
        <v>-0.1917429986413639</v>
      </c>
      <c r="W20" s="2"/>
      <c r="X20" s="2">
        <f t="shared" si="12"/>
        <v>700</v>
      </c>
      <c r="Y20" s="2"/>
      <c r="Z20" s="19">
        <f t="shared" si="13"/>
        <v>-1</v>
      </c>
    </row>
    <row r="21" spans="1:26" s="24" customFormat="1" hidden="1" outlineLevel="1" x14ac:dyDescent="0.25">
      <c r="A21" s="44"/>
      <c r="B21" s="11" t="str">
        <f>CONCATENATE("          ", "5300", " - ", "COG$ OFFSET")</f>
        <v xml:space="preserve">          5300 - COG$ OFFSET</v>
      </c>
      <c r="C21" s="11"/>
      <c r="D21" s="2"/>
      <c r="E21" s="2"/>
      <c r="F21" s="19">
        <f t="shared" si="6"/>
        <v>0</v>
      </c>
      <c r="G21" s="2"/>
      <c r="H21" s="2">
        <v>821</v>
      </c>
      <c r="I21" s="2"/>
      <c r="J21" s="19">
        <f t="shared" si="7"/>
        <v>0.54865009355787231</v>
      </c>
      <c r="K21" s="2"/>
      <c r="L21" s="2">
        <f t="shared" si="8"/>
        <v>-821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1866</v>
      </c>
      <c r="U21" s="2"/>
      <c r="V21" s="19">
        <f t="shared" si="11"/>
        <v>0.5111320506639786</v>
      </c>
      <c r="W21" s="2"/>
      <c r="X21" s="2">
        <f t="shared" si="12"/>
        <v>-1866</v>
      </c>
      <c r="Y21" s="2"/>
      <c r="Z21" s="19">
        <f t="shared" si="13"/>
        <v>-1</v>
      </c>
    </row>
    <row r="22" spans="1:26" s="24" customFormat="1" hidden="1" outlineLevel="1" x14ac:dyDescent="0.25">
      <c r="A22" s="44"/>
      <c r="B22" s="11" t="str">
        <f>CONCATENATE("          ", "5592", " - ", "FREIGHT-IN-GRAD MERCH")</f>
        <v xml:space="preserve">          5592 - FREIGHT-IN-GRAD MERCH</v>
      </c>
      <c r="C22" s="11"/>
      <c r="D22" s="2"/>
      <c r="E22" s="2"/>
      <c r="F22" s="19">
        <f t="shared" si="6"/>
        <v>0</v>
      </c>
      <c r="G22" s="2"/>
      <c r="H22" s="2">
        <v>59.57</v>
      </c>
      <c r="I22" s="2"/>
      <c r="J22" s="19">
        <f t="shared" si="7"/>
        <v>3.9808874632451217E-2</v>
      </c>
      <c r="K22" s="2"/>
      <c r="L22" s="2">
        <f t="shared" si="8"/>
        <v>-59.57</v>
      </c>
      <c r="M22" s="2"/>
      <c r="N22" s="19">
        <f t="shared" si="9"/>
        <v>-1</v>
      </c>
      <c r="O22" s="11"/>
      <c r="P22" s="2"/>
      <c r="Q22" s="2"/>
      <c r="R22" s="19">
        <f t="shared" si="10"/>
        <v>0</v>
      </c>
      <c r="S22" s="2"/>
      <c r="T22" s="2">
        <v>59.57</v>
      </c>
      <c r="U22" s="2"/>
      <c r="V22" s="19">
        <f t="shared" si="11"/>
        <v>1.6317329184380069E-2</v>
      </c>
      <c r="W22" s="2"/>
      <c r="X22" s="2">
        <f t="shared" si="12"/>
        <v>-59.57</v>
      </c>
      <c r="Y22" s="2"/>
      <c r="Z22" s="19">
        <f t="shared" si="13"/>
        <v>-1</v>
      </c>
    </row>
    <row r="23" spans="1:26" x14ac:dyDescent="0.25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10"/>
      <c r="B24" s="26" t="s">
        <v>6</v>
      </c>
      <c r="C24" s="26"/>
      <c r="D24" s="22">
        <f>D12-D17</f>
        <v>0</v>
      </c>
      <c r="E24" s="13"/>
      <c r="F24" s="21">
        <f>IF(D$12=0,0,D24/D$12)</f>
        <v>0</v>
      </c>
      <c r="G24" s="13"/>
      <c r="H24" s="22">
        <f>H12-H17</f>
        <v>675.42999999999984</v>
      </c>
      <c r="I24" s="13"/>
      <c r="J24" s="21">
        <f>IF(H$12=0,0,H24/H$12)</f>
        <v>0.45136995455760487</v>
      </c>
      <c r="K24" s="16"/>
      <c r="L24" s="22">
        <f>+D24-H24</f>
        <v>-675.42999999999984</v>
      </c>
      <c r="M24" s="16"/>
      <c r="N24" s="21">
        <f>IF(H24=0,0,L24/H24)</f>
        <v>-1</v>
      </c>
      <c r="O24" s="25"/>
      <c r="P24" s="22">
        <f>P12-P17</f>
        <v>0</v>
      </c>
      <c r="Q24" s="13"/>
      <c r="R24" s="21">
        <f>IF(P$12=0,0,P24/P$12)</f>
        <v>0</v>
      </c>
      <c r="S24" s="13"/>
      <c r="T24" s="22">
        <f>T12-T17</f>
        <v>1785.3</v>
      </c>
      <c r="U24" s="13"/>
      <c r="V24" s="21">
        <f>IF(T$12=0,0,T24/T$12)</f>
        <v>0.48902682210632425</v>
      </c>
      <c r="W24" s="16"/>
      <c r="X24" s="22">
        <f>+P24-T24</f>
        <v>-1785.3</v>
      </c>
      <c r="Y24" s="16"/>
      <c r="Z24" s="21">
        <f>IF(T24=0,0,X24/T24)</f>
        <v>-1</v>
      </c>
    </row>
    <row r="25" spans="1:26" x14ac:dyDescent="0.25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25">
      <c r="A26" s="10"/>
      <c r="B26" s="25" t="s">
        <v>9</v>
      </c>
      <c r="C26" s="10"/>
      <c r="D26" s="20">
        <f>SUM(OSRRefD22x_0)</f>
        <v>0</v>
      </c>
      <c r="E26" s="20"/>
      <c r="F26" s="35">
        <f t="shared" ref="F26:F34" si="14">IF(D$12=0,0,D26/D$12)</f>
        <v>0</v>
      </c>
      <c r="G26" s="20"/>
      <c r="H26" s="20">
        <f>SUM(OSRRefH22x_0)</f>
        <v>-11329.329999999998</v>
      </c>
      <c r="I26" s="20"/>
      <c r="J26" s="35">
        <f t="shared" ref="J26:J34" si="15">IF(H$12=0,0,H26/H$12)</f>
        <v>-7.571057203956161</v>
      </c>
      <c r="K26" s="4"/>
      <c r="L26" s="20">
        <f t="shared" ref="L26:L34" si="16">+D26-H26</f>
        <v>11329.329999999998</v>
      </c>
      <c r="M26" s="4"/>
      <c r="N26" s="35">
        <f t="shared" ref="N26:N34" si="17">IF(H26=0,0,L26/H26)</f>
        <v>-1</v>
      </c>
      <c r="O26" s="10"/>
      <c r="P26" s="20">
        <f>SUM(OSRRefP22x_0)</f>
        <v>0</v>
      </c>
      <c r="Q26" s="20"/>
      <c r="R26" s="35">
        <f t="shared" ref="R26:R34" si="18">IF(P$12=0,0,P26/P$12)</f>
        <v>0</v>
      </c>
      <c r="S26" s="20"/>
      <c r="T26" s="20">
        <f>SUM(OSRRefT22x_0)</f>
        <v>-10502.91</v>
      </c>
      <c r="U26" s="20"/>
      <c r="V26" s="35">
        <f t="shared" ref="V26:V34" si="19">IF(T$12=0,0,T26/T$12)</f>
        <v>-2.8769420826576675</v>
      </c>
      <c r="W26" s="4"/>
      <c r="X26" s="20">
        <f t="shared" ref="X26:X34" si="20">+P26-T26</f>
        <v>10502.91</v>
      </c>
      <c r="Y26" s="4"/>
      <c r="Z26" s="35">
        <f t="shared" ref="Z26:Z34" si="21">IF(T26=0,0,X26/T26)</f>
        <v>-1</v>
      </c>
    </row>
    <row r="27" spans="1:26" s="28" customFormat="1" outlineLevel="1" collapsed="1" x14ac:dyDescent="0.25">
      <c r="A27" s="27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0</v>
      </c>
      <c r="E27" s="1"/>
      <c r="F27" s="5">
        <f t="shared" si="14"/>
        <v>0</v>
      </c>
      <c r="G27" s="1"/>
      <c r="H27" s="1">
        <f>SUM(OSRRefH22_0x_0)</f>
        <v>422.25</v>
      </c>
      <c r="I27" s="1"/>
      <c r="J27" s="5">
        <f t="shared" si="15"/>
        <v>0.28217722534081802</v>
      </c>
      <c r="K27" s="1"/>
      <c r="L27" s="1">
        <f t="shared" si="16"/>
        <v>-422.25</v>
      </c>
      <c r="M27" s="1"/>
      <c r="N27" s="5">
        <f t="shared" si="17"/>
        <v>-1</v>
      </c>
      <c r="O27" s="14"/>
      <c r="P27" s="1">
        <f>SUM(OSRRefP22_0x_0)</f>
        <v>0</v>
      </c>
      <c r="Q27" s="1"/>
      <c r="R27" s="5">
        <f t="shared" si="18"/>
        <v>0</v>
      </c>
      <c r="S27" s="1"/>
      <c r="T27" s="1">
        <f>SUM(OSRRefT22_0x_0)</f>
        <v>835.72</v>
      </c>
      <c r="U27" s="1"/>
      <c r="V27" s="5">
        <f t="shared" si="19"/>
        <v>0.22891922689222949</v>
      </c>
      <c r="W27" s="1"/>
      <c r="X27" s="1">
        <f t="shared" si="20"/>
        <v>-835.72</v>
      </c>
      <c r="Y27" s="1"/>
      <c r="Z27" s="5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"6111", " - ", "F.I.C.A.")</f>
        <v xml:space="preserve">          6111 - F.I.C.A.</v>
      </c>
      <c r="C28" s="11"/>
      <c r="D28" s="7"/>
      <c r="E28" s="2"/>
      <c r="F28" s="6">
        <f t="shared" si="14"/>
        <v>0</v>
      </c>
      <c r="G28" s="2"/>
      <c r="H28" s="7">
        <v>82.22</v>
      </c>
      <c r="I28" s="2"/>
      <c r="J28" s="6">
        <f t="shared" si="15"/>
        <v>5.4945201817695806E-2</v>
      </c>
      <c r="K28" s="2"/>
      <c r="L28" s="7">
        <f t="shared" si="16"/>
        <v>-82.22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155.66</v>
      </c>
      <c r="U28" s="2"/>
      <c r="V28" s="6">
        <f t="shared" si="19"/>
        <v>4.2638164526449578E-2</v>
      </c>
      <c r="W28" s="2"/>
      <c r="X28" s="7">
        <f t="shared" si="20"/>
        <v>-155.66</v>
      </c>
      <c r="Y28" s="2"/>
      <c r="Z28" s="6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"6112", " - ", "COMPENSATION INSURANCE")</f>
        <v xml:space="preserve">          6112 - COMPENSATION INSURANCE</v>
      </c>
      <c r="C29" s="11"/>
      <c r="D29" s="7"/>
      <c r="E29" s="2"/>
      <c r="F29" s="6">
        <f t="shared" si="14"/>
        <v>0</v>
      </c>
      <c r="G29" s="2"/>
      <c r="H29" s="7">
        <v>18.239999999999998</v>
      </c>
      <c r="I29" s="2"/>
      <c r="J29" s="6">
        <f t="shared" si="15"/>
        <v>1.218925421010425E-2</v>
      </c>
      <c r="K29" s="2"/>
      <c r="L29" s="7">
        <f t="shared" si="16"/>
        <v>-18.239999999999998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36.479999999999997</v>
      </c>
      <c r="U29" s="2"/>
      <c r="V29" s="6">
        <f t="shared" si="19"/>
        <v>9.9925494149099344E-3</v>
      </c>
      <c r="W29" s="2"/>
      <c r="X29" s="7">
        <f t="shared" si="20"/>
        <v>-36.479999999999997</v>
      </c>
      <c r="Y29" s="2"/>
      <c r="Z29" s="6">
        <f t="shared" si="21"/>
        <v>-1</v>
      </c>
    </row>
    <row r="30" spans="1:26" s="24" customFormat="1" hidden="1" outlineLevel="2" x14ac:dyDescent="0.25">
      <c r="A30" s="29"/>
      <c r="B30" s="11" t="str">
        <f>CONCATENATE("          ", "6113", " - ", "GROUP INSURANCE")</f>
        <v xml:space="preserve">          6113 - GROUP INSURANCE</v>
      </c>
      <c r="C30" s="11"/>
      <c r="D30" s="7"/>
      <c r="E30" s="2"/>
      <c r="F30" s="6">
        <f t="shared" si="14"/>
        <v>0</v>
      </c>
      <c r="G30" s="2"/>
      <c r="H30" s="7">
        <v>152.63</v>
      </c>
      <c r="I30" s="2"/>
      <c r="J30" s="6">
        <f t="shared" si="15"/>
        <v>0.10199812884255548</v>
      </c>
      <c r="K30" s="2"/>
      <c r="L30" s="7">
        <f t="shared" si="16"/>
        <v>-152.63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305.26</v>
      </c>
      <c r="U30" s="2"/>
      <c r="V30" s="6">
        <f t="shared" si="19"/>
        <v>8.3616382521803923E-2</v>
      </c>
      <c r="W30" s="2"/>
      <c r="X30" s="7">
        <f t="shared" si="20"/>
        <v>-305.26</v>
      </c>
      <c r="Y30" s="2"/>
      <c r="Z30" s="6">
        <f t="shared" si="21"/>
        <v>-1</v>
      </c>
    </row>
    <row r="31" spans="1:26" s="24" customFormat="1" hidden="1" outlineLevel="2" x14ac:dyDescent="0.25">
      <c r="A31" s="29"/>
      <c r="B31" s="11" t="str">
        <f>CONCATENATE("          ", "6114", " - ", "STATE UNEMPLOYMENT INSURANCE")</f>
        <v xml:space="preserve">          6114 - STATE UNEMPLOYMENT INSURANCE</v>
      </c>
      <c r="C31" s="11"/>
      <c r="D31" s="7"/>
      <c r="E31" s="2"/>
      <c r="F31" s="6">
        <f t="shared" si="14"/>
        <v>0</v>
      </c>
      <c r="G31" s="2"/>
      <c r="H31" s="7">
        <v>2.5</v>
      </c>
      <c r="I31" s="2"/>
      <c r="J31" s="6">
        <f t="shared" si="15"/>
        <v>1.6706762897620959E-3</v>
      </c>
      <c r="K31" s="2"/>
      <c r="L31" s="7">
        <f t="shared" si="16"/>
        <v>-2.5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5</v>
      </c>
      <c r="U31" s="2"/>
      <c r="V31" s="6">
        <f t="shared" si="19"/>
        <v>1.3695928474383135E-3</v>
      </c>
      <c r="W31" s="2"/>
      <c r="X31" s="7">
        <f t="shared" si="20"/>
        <v>-5</v>
      </c>
      <c r="Y31" s="2"/>
      <c r="Z31" s="6">
        <f t="shared" si="21"/>
        <v>-1</v>
      </c>
    </row>
    <row r="32" spans="1:26" s="24" customFormat="1" hidden="1" outlineLevel="2" x14ac:dyDescent="0.25">
      <c r="A32" s="29"/>
      <c r="B32" s="11" t="str">
        <f>CONCATENATE("          ", "6115", " - ", "P.E.R.S.")</f>
        <v xml:space="preserve">          6115 - P.E.R.S.</v>
      </c>
      <c r="C32" s="11"/>
      <c r="D32" s="7"/>
      <c r="E32" s="2"/>
      <c r="F32" s="6">
        <f t="shared" si="14"/>
        <v>0</v>
      </c>
      <c r="G32" s="2"/>
      <c r="H32" s="7">
        <v>67.06</v>
      </c>
      <c r="I32" s="2"/>
      <c r="J32" s="6">
        <f t="shared" si="15"/>
        <v>4.4814220796578458E-2</v>
      </c>
      <c r="K32" s="2"/>
      <c r="L32" s="7">
        <f t="shared" si="16"/>
        <v>-67.06</v>
      </c>
      <c r="M32" s="2"/>
      <c r="N32" s="6">
        <f t="shared" si="17"/>
        <v>-1</v>
      </c>
      <c r="O32" s="11"/>
      <c r="P32" s="7"/>
      <c r="Q32" s="2"/>
      <c r="R32" s="6">
        <f t="shared" si="18"/>
        <v>0</v>
      </c>
      <c r="S32" s="2"/>
      <c r="T32" s="7">
        <v>134.12</v>
      </c>
      <c r="U32" s="2"/>
      <c r="V32" s="6">
        <f t="shared" si="19"/>
        <v>3.6737958539685325E-2</v>
      </c>
      <c r="W32" s="2"/>
      <c r="X32" s="7">
        <f t="shared" si="20"/>
        <v>-134.12</v>
      </c>
      <c r="Y32" s="2"/>
      <c r="Z32" s="6">
        <f t="shared" si="21"/>
        <v>-1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/>
      <c r="E33" s="2"/>
      <c r="F33" s="6">
        <f t="shared" si="14"/>
        <v>0</v>
      </c>
      <c r="G33" s="2"/>
      <c r="H33" s="7">
        <v>55.32</v>
      </c>
      <c r="I33" s="2"/>
      <c r="J33" s="6">
        <f t="shared" si="15"/>
        <v>3.696872493985566E-2</v>
      </c>
      <c r="K33" s="2"/>
      <c r="L33" s="7">
        <f t="shared" si="16"/>
        <v>-55.32</v>
      </c>
      <c r="M33" s="2"/>
      <c r="N33" s="6">
        <f t="shared" si="17"/>
        <v>-1</v>
      </c>
      <c r="O33" s="11"/>
      <c r="P33" s="7"/>
      <c r="Q33" s="2"/>
      <c r="R33" s="6">
        <f t="shared" si="18"/>
        <v>0</v>
      </c>
      <c r="S33" s="2"/>
      <c r="T33" s="7">
        <v>110.64</v>
      </c>
      <c r="U33" s="2"/>
      <c r="V33" s="6">
        <f t="shared" si="19"/>
        <v>3.0306350528115002E-2</v>
      </c>
      <c r="W33" s="2"/>
      <c r="X33" s="7">
        <f t="shared" si="20"/>
        <v>-110.64</v>
      </c>
      <c r="Y33" s="2"/>
      <c r="Z33" s="6">
        <f t="shared" si="21"/>
        <v>-1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/>
      <c r="E34" s="2"/>
      <c r="F34" s="6">
        <f t="shared" si="14"/>
        <v>0</v>
      </c>
      <c r="G34" s="2"/>
      <c r="H34" s="7">
        <v>44.28</v>
      </c>
      <c r="I34" s="2"/>
      <c r="J34" s="6">
        <f t="shared" si="15"/>
        <v>2.9591018444266242E-2</v>
      </c>
      <c r="K34" s="2"/>
      <c r="L34" s="7">
        <f t="shared" si="16"/>
        <v>-44.28</v>
      </c>
      <c r="M34" s="2"/>
      <c r="N34" s="6">
        <f t="shared" si="17"/>
        <v>-1</v>
      </c>
      <c r="O34" s="11"/>
      <c r="P34" s="7"/>
      <c r="Q34" s="2"/>
      <c r="R34" s="6">
        <f t="shared" si="18"/>
        <v>0</v>
      </c>
      <c r="S34" s="2"/>
      <c r="T34" s="7">
        <v>88.56</v>
      </c>
      <c r="U34" s="2"/>
      <c r="V34" s="6">
        <f t="shared" si="19"/>
        <v>2.4258228513827411E-2</v>
      </c>
      <c r="W34" s="2"/>
      <c r="X34" s="7">
        <f t="shared" si="20"/>
        <v>-88.56</v>
      </c>
      <c r="Y34" s="2"/>
      <c r="Z34" s="6">
        <f t="shared" si="21"/>
        <v>-1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0</v>
      </c>
      <c r="E35" s="1"/>
      <c r="F35" s="5">
        <f t="shared" ref="F35:F38" si="22">IF(D$12=0,0,D35/D$12)</f>
        <v>0</v>
      </c>
      <c r="G35" s="1"/>
      <c r="H35" s="1">
        <f>SUM(OSRRefH22_1x_0)</f>
        <v>911.74</v>
      </c>
      <c r="I35" s="1"/>
      <c r="J35" s="5">
        <f t="shared" ref="J35:J38" si="23">IF(H$12=0,0,H35/H$12)</f>
        <v>0.60928896017107737</v>
      </c>
      <c r="K35" s="1"/>
      <c r="L35" s="1">
        <f t="shared" ref="L35:L38" si="24">+D35-H35</f>
        <v>-911.74</v>
      </c>
      <c r="M35" s="1"/>
      <c r="N35" s="5">
        <f t="shared" ref="N35:N38" si="25">IF(H35=0,0,L35/H35)</f>
        <v>-1</v>
      </c>
      <c r="O35" s="14"/>
      <c r="P35" s="1">
        <f>SUM(OSRRefP22_1x_0)</f>
        <v>0</v>
      </c>
      <c r="Q35" s="1"/>
      <c r="R35" s="5">
        <f t="shared" ref="R35:R38" si="26">IF(P$12=0,0,P35/P$12)</f>
        <v>0</v>
      </c>
      <c r="S35" s="1"/>
      <c r="T35" s="1">
        <f>SUM(OSRRefT22_1x_0)</f>
        <v>2226.7399999999998</v>
      </c>
      <c r="U35" s="1"/>
      <c r="V35" s="5">
        <f t="shared" ref="V35:V38" si="27">IF(T$12=0,0,T35/T$12)</f>
        <v>0.60994543542095803</v>
      </c>
      <c r="W35" s="1"/>
      <c r="X35" s="1">
        <f t="shared" ref="X35:X38" si="28">+P35-T35</f>
        <v>-2226.7399999999998</v>
      </c>
      <c r="Y35" s="1"/>
      <c r="Z35" s="5">
        <f t="shared" ref="Z35:Z38" si="29">IF(T35=0,0,X35/T35)</f>
        <v>-1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7"/>
      <c r="E36" s="2"/>
      <c r="F36" s="6">
        <f t="shared" si="22"/>
        <v>0</v>
      </c>
      <c r="G36" s="2"/>
      <c r="H36" s="7">
        <v>912</v>
      </c>
      <c r="I36" s="2"/>
      <c r="J36" s="6">
        <f t="shared" si="23"/>
        <v>0.60946271050521261</v>
      </c>
      <c r="K36" s="2"/>
      <c r="L36" s="7">
        <f t="shared" si="24"/>
        <v>-912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2112</v>
      </c>
      <c r="U36" s="2"/>
      <c r="V36" s="6">
        <f t="shared" si="27"/>
        <v>0.57851601875794367</v>
      </c>
      <c r="W36" s="2"/>
      <c r="X36" s="7">
        <f t="shared" si="28"/>
        <v>-2112</v>
      </c>
      <c r="Y36" s="2"/>
      <c r="Z36" s="6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>
        <v>57.37</v>
      </c>
      <c r="I37" s="2"/>
      <c r="J37" s="6">
        <f t="shared" si="23"/>
        <v>3.8338679497460573E-2</v>
      </c>
      <c r="K37" s="2"/>
      <c r="L37" s="7">
        <f t="shared" si="24"/>
        <v>-57.37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57.37</v>
      </c>
      <c r="U37" s="2"/>
      <c r="V37" s="6">
        <f t="shared" si="27"/>
        <v>1.5714708331507211E-2</v>
      </c>
      <c r="W37" s="2"/>
      <c r="X37" s="7">
        <f t="shared" si="28"/>
        <v>-57.37</v>
      </c>
      <c r="Y37" s="2"/>
      <c r="Z37" s="6">
        <f t="shared" si="29"/>
        <v>-1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/>
      <c r="E38" s="2"/>
      <c r="F38" s="6">
        <f t="shared" si="22"/>
        <v>0</v>
      </c>
      <c r="G38" s="2"/>
      <c r="H38" s="7">
        <v>-57.63</v>
      </c>
      <c r="I38" s="2"/>
      <c r="J38" s="6">
        <f t="shared" si="23"/>
        <v>-3.8512429831595835E-2</v>
      </c>
      <c r="K38" s="2"/>
      <c r="L38" s="7">
        <f t="shared" si="24"/>
        <v>57.63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57.37</v>
      </c>
      <c r="U38" s="2"/>
      <c r="V38" s="6">
        <f t="shared" si="27"/>
        <v>1.5714708331507211E-2</v>
      </c>
      <c r="W38" s="2"/>
      <c r="X38" s="7">
        <f t="shared" si="28"/>
        <v>-57.37</v>
      </c>
      <c r="Y38" s="2"/>
      <c r="Z38" s="6">
        <f t="shared" si="29"/>
        <v>-1</v>
      </c>
    </row>
    <row r="39" spans="1:26" s="28" customFormat="1" outlineLevel="1" collapsed="1" x14ac:dyDescent="0.25">
      <c r="A39" s="27"/>
      <c r="B39" s="14" t="str">
        <f>CONCATENATE("     ","Discounts and Markdowns                           ")</f>
        <v xml:space="preserve">     Discounts and Markdowns                           </v>
      </c>
      <c r="C39" s="14"/>
      <c r="D39" s="1">
        <f>SUM(OSRRefD22_2x_0)</f>
        <v>0</v>
      </c>
      <c r="E39" s="1"/>
      <c r="F39" s="5">
        <f t="shared" ref="F39:F43" si="30">IF(D$12=0,0,D39/D$12)</f>
        <v>0</v>
      </c>
      <c r="G39" s="1"/>
      <c r="H39" s="1">
        <f>SUM(OSRRefH22_2x_0)</f>
        <v>0</v>
      </c>
      <c r="I39" s="1"/>
      <c r="J39" s="5">
        <f t="shared" ref="J39:J43" si="31">IF(H$12=0,0,H39/H$12)</f>
        <v>0</v>
      </c>
      <c r="K39" s="1"/>
      <c r="L39" s="1">
        <f t="shared" ref="L39:L43" si="32">+D39-H39</f>
        <v>0</v>
      </c>
      <c r="M39" s="1"/>
      <c r="N39" s="5">
        <f t="shared" ref="N39:N43" si="33">IF(H39=0,0,L39/H39)</f>
        <v>0</v>
      </c>
      <c r="O39" s="14"/>
      <c r="P39" s="1">
        <f>SUM(OSRRefP22_2x_0)</f>
        <v>0</v>
      </c>
      <c r="Q39" s="1"/>
      <c r="R39" s="5">
        <f t="shared" ref="R39:R43" si="34">IF(P$12=0,0,P39/P$12)</f>
        <v>0</v>
      </c>
      <c r="S39" s="1"/>
      <c r="T39" s="1">
        <f>SUM(OSRRefT22_2x_0)</f>
        <v>5.25</v>
      </c>
      <c r="U39" s="1"/>
      <c r="V39" s="5">
        <f t="shared" ref="V39:V43" si="35">IF(T$12=0,0,T39/T$12)</f>
        <v>1.4380724898102294E-3</v>
      </c>
      <c r="W39" s="1"/>
      <c r="X39" s="1">
        <f t="shared" ref="X39:X43" si="36">+P39-T39</f>
        <v>-5.25</v>
      </c>
      <c r="Y39" s="1"/>
      <c r="Z39" s="5">
        <f t="shared" ref="Z39:Z43" si="37">IF(T39=0,0,X39/T39)</f>
        <v>-1</v>
      </c>
    </row>
    <row r="40" spans="1:26" s="24" customFormat="1" hidden="1" outlineLevel="2" x14ac:dyDescent="0.25">
      <c r="A40" s="29"/>
      <c r="B40" s="11" t="str">
        <f>CONCATENATE("          ", "6382", " - ", "DISCOUNTS/MARK DOWNS")</f>
        <v xml:space="preserve">          6382 - DISCOUNTS/MARK DOWNS</v>
      </c>
      <c r="C40" s="11"/>
      <c r="D40" s="7"/>
      <c r="E40" s="2"/>
      <c r="F40" s="6">
        <f t="shared" si="30"/>
        <v>0</v>
      </c>
      <c r="G40" s="2"/>
      <c r="H40" s="7"/>
      <c r="I40" s="2"/>
      <c r="J40" s="6">
        <f t="shared" si="31"/>
        <v>0</v>
      </c>
      <c r="K40" s="2"/>
      <c r="L40" s="7">
        <f t="shared" si="32"/>
        <v>0</v>
      </c>
      <c r="M40" s="2"/>
      <c r="N40" s="6">
        <f t="shared" si="33"/>
        <v>0</v>
      </c>
      <c r="O40" s="11"/>
      <c r="P40" s="7"/>
      <c r="Q40" s="2"/>
      <c r="R40" s="6">
        <f t="shared" si="34"/>
        <v>0</v>
      </c>
      <c r="S40" s="2"/>
      <c r="T40" s="7">
        <v>5.25</v>
      </c>
      <c r="U40" s="2"/>
      <c r="V40" s="6">
        <f t="shared" si="35"/>
        <v>1.4380724898102294E-3</v>
      </c>
      <c r="W40" s="2"/>
      <c r="X40" s="7">
        <f t="shared" si="36"/>
        <v>-5.25</v>
      </c>
      <c r="Y40" s="2"/>
      <c r="Z40" s="6">
        <f t="shared" si="37"/>
        <v>-1</v>
      </c>
    </row>
    <row r="41" spans="1:26" s="28" customFormat="1" outlineLevel="1" collapsed="1" x14ac:dyDescent="0.25">
      <c r="A41" s="27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SUM(OSRRefD22_3x_0)</f>
        <v>0</v>
      </c>
      <c r="E41" s="1"/>
      <c r="F41" s="5">
        <f t="shared" si="30"/>
        <v>0</v>
      </c>
      <c r="G41" s="1"/>
      <c r="H41" s="1">
        <f>SUM(OSRRefH22_3x_0)</f>
        <v>-13203.749999999996</v>
      </c>
      <c r="I41" s="1"/>
      <c r="J41" s="5">
        <f t="shared" si="31"/>
        <v>-8.8236768243785075</v>
      </c>
      <c r="K41" s="1"/>
      <c r="L41" s="1">
        <f t="shared" si="32"/>
        <v>13203.749999999996</v>
      </c>
      <c r="M41" s="1"/>
      <c r="N41" s="5">
        <f t="shared" si="33"/>
        <v>-1</v>
      </c>
      <c r="O41" s="14"/>
      <c r="P41" s="1">
        <f>SUM(OSRRefP22_3x_0)</f>
        <v>0</v>
      </c>
      <c r="Q41" s="1"/>
      <c r="R41" s="5">
        <f t="shared" si="34"/>
        <v>0</v>
      </c>
      <c r="S41" s="1"/>
      <c r="T41" s="1">
        <f>SUM(OSRRefT22_3x_0)</f>
        <v>-15800.169999999998</v>
      </c>
      <c r="U41" s="1"/>
      <c r="V41" s="5">
        <f t="shared" si="35"/>
        <v>-4.3279599640618835</v>
      </c>
      <c r="W41" s="1"/>
      <c r="X41" s="1">
        <f t="shared" si="36"/>
        <v>15800.169999999998</v>
      </c>
      <c r="Y41" s="1"/>
      <c r="Z41" s="5">
        <f t="shared" si="37"/>
        <v>-1</v>
      </c>
    </row>
    <row r="42" spans="1:26" s="24" customFormat="1" hidden="1" outlineLevel="2" x14ac:dyDescent="0.25">
      <c r="A42" s="29"/>
      <c r="B42" s="11" t="str">
        <f>CONCATENATE("          ", "6305", " - ", "FREIGHT OUT")</f>
        <v xml:space="preserve">          6305 - FREIGHT OUT</v>
      </c>
      <c r="C42" s="11"/>
      <c r="D42" s="7"/>
      <c r="E42" s="2"/>
      <c r="F42" s="6">
        <f t="shared" si="30"/>
        <v>0</v>
      </c>
      <c r="G42" s="2"/>
      <c r="H42" s="7">
        <v>2560.3000000000002</v>
      </c>
      <c r="I42" s="2"/>
      <c r="J42" s="6">
        <f t="shared" si="31"/>
        <v>1.7109730018711578</v>
      </c>
      <c r="K42" s="2"/>
      <c r="L42" s="7">
        <f t="shared" si="32"/>
        <v>-2560.3000000000002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3613.43</v>
      </c>
      <c r="U42" s="2"/>
      <c r="V42" s="6">
        <f t="shared" si="35"/>
        <v>0.98978557654380506</v>
      </c>
      <c r="W42" s="2"/>
      <c r="X42" s="7">
        <f t="shared" si="36"/>
        <v>-3613.43</v>
      </c>
      <c r="Y42" s="2"/>
      <c r="Z42" s="6">
        <f t="shared" si="37"/>
        <v>-1</v>
      </c>
    </row>
    <row r="43" spans="1:26" s="24" customFormat="1" hidden="1" outlineLevel="2" x14ac:dyDescent="0.25">
      <c r="A43" s="29"/>
      <c r="B43" s="11" t="str">
        <f>CONCATENATE("          ", "6307", " - ", "POSTAGE")</f>
        <v xml:space="preserve">          6307 - POSTAGE</v>
      </c>
      <c r="C43" s="11"/>
      <c r="D43" s="7"/>
      <c r="E43" s="2"/>
      <c r="F43" s="6">
        <f t="shared" si="30"/>
        <v>0</v>
      </c>
      <c r="G43" s="2"/>
      <c r="H43" s="7">
        <v>-15764.049999999997</v>
      </c>
      <c r="I43" s="2"/>
      <c r="J43" s="6">
        <f t="shared" si="31"/>
        <v>-10.534649826249666</v>
      </c>
      <c r="K43" s="2"/>
      <c r="L43" s="7">
        <f t="shared" si="32"/>
        <v>15764.049999999997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-19413.599999999999</v>
      </c>
      <c r="U43" s="2"/>
      <c r="V43" s="6">
        <f t="shared" si="35"/>
        <v>-5.3177455406056886</v>
      </c>
      <c r="W43" s="2"/>
      <c r="X43" s="7">
        <f t="shared" si="36"/>
        <v>19413.599999999999</v>
      </c>
      <c r="Y43" s="2"/>
      <c r="Z43" s="6">
        <f t="shared" si="37"/>
        <v>-1</v>
      </c>
    </row>
    <row r="44" spans="1:26" s="28" customFormat="1" outlineLevel="1" collapsed="1" x14ac:dyDescent="0.25">
      <c r="A44" s="27"/>
      <c r="B44" s="14" t="str">
        <f>CONCATENATE("     ","Inventory Adjustment                              ")</f>
        <v xml:space="preserve">     Inventory Adjustment                              </v>
      </c>
      <c r="C44" s="14"/>
      <c r="D44" s="1">
        <f>SUM(OSRRefD22_4x_0)</f>
        <v>0</v>
      </c>
      <c r="E44" s="1"/>
      <c r="F44" s="5">
        <f t="shared" ref="F44:F48" si="38">IF(D$12=0,0,D44/D$12)</f>
        <v>0</v>
      </c>
      <c r="G44" s="1"/>
      <c r="H44" s="1">
        <f>SUM(OSRRefH22_4x_0)</f>
        <v>100</v>
      </c>
      <c r="I44" s="1"/>
      <c r="J44" s="5">
        <f t="shared" ref="J44:J48" si="39">IF(H$12=0,0,H44/H$12)</f>
        <v>6.6827051590483841E-2</v>
      </c>
      <c r="K44" s="1"/>
      <c r="L44" s="1">
        <f t="shared" ref="L44:L48" si="40">+D44-H44</f>
        <v>-100</v>
      </c>
      <c r="M44" s="1"/>
      <c r="N44" s="5">
        <f t="shared" ref="N44:N48" si="41">IF(H44=0,0,L44/H44)</f>
        <v>-1</v>
      </c>
      <c r="O44" s="14"/>
      <c r="P44" s="1">
        <f>SUM(OSRRefP22_4x_0)</f>
        <v>0</v>
      </c>
      <c r="Q44" s="1"/>
      <c r="R44" s="5">
        <f t="shared" ref="R44:R48" si="42">IF(P$12=0,0,P44/P$12)</f>
        <v>0</v>
      </c>
      <c r="S44" s="1"/>
      <c r="T44" s="1">
        <f>SUM(OSRRefT22_4x_0)</f>
        <v>100</v>
      </c>
      <c r="U44" s="1"/>
      <c r="V44" s="5">
        <f t="shared" ref="V44:V48" si="43">IF(T$12=0,0,T44/T$12)</f>
        <v>2.7391856948766273E-2</v>
      </c>
      <c r="W44" s="1"/>
      <c r="X44" s="1">
        <f t="shared" ref="X44:X48" si="44">+P44-T44</f>
        <v>-100</v>
      </c>
      <c r="Y44" s="1"/>
      <c r="Z44" s="5">
        <f t="shared" ref="Z44:Z48" si="45">IF(T44=0,0,X44/T44)</f>
        <v>-1</v>
      </c>
    </row>
    <row r="45" spans="1:26" s="24" customFormat="1" hidden="1" outlineLevel="2" x14ac:dyDescent="0.25">
      <c r="A45" s="29"/>
      <c r="B45" s="11" t="str">
        <f>CONCATENATE("          ", "6408", " - ", "INVENTORY ADJUSTMENT")</f>
        <v xml:space="preserve">          6408 - INVENTORY ADJUSTMENT</v>
      </c>
      <c r="C45" s="11"/>
      <c r="D45" s="7"/>
      <c r="E45" s="2"/>
      <c r="F45" s="6">
        <f t="shared" si="38"/>
        <v>0</v>
      </c>
      <c r="G45" s="2"/>
      <c r="H45" s="7">
        <v>100</v>
      </c>
      <c r="I45" s="2"/>
      <c r="J45" s="6">
        <f t="shared" si="39"/>
        <v>6.6827051590483841E-2</v>
      </c>
      <c r="K45" s="2"/>
      <c r="L45" s="7">
        <f t="shared" si="40"/>
        <v>-100</v>
      </c>
      <c r="M45" s="2"/>
      <c r="N45" s="6">
        <f t="shared" si="41"/>
        <v>-1</v>
      </c>
      <c r="O45" s="11"/>
      <c r="P45" s="7"/>
      <c r="Q45" s="2"/>
      <c r="R45" s="6">
        <f t="shared" si="42"/>
        <v>0</v>
      </c>
      <c r="S45" s="2"/>
      <c r="T45" s="7">
        <v>100</v>
      </c>
      <c r="U45" s="2"/>
      <c r="V45" s="6">
        <f t="shared" si="43"/>
        <v>2.7391856948766273E-2</v>
      </c>
      <c r="W45" s="2"/>
      <c r="X45" s="7">
        <f t="shared" si="44"/>
        <v>-100</v>
      </c>
      <c r="Y45" s="2"/>
      <c r="Z45" s="6">
        <f t="shared" si="45"/>
        <v>-1</v>
      </c>
    </row>
    <row r="46" spans="1:26" s="28" customFormat="1" outlineLevel="1" collapsed="1" x14ac:dyDescent="0.25">
      <c r="A46" s="27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SUM(OSRRefD22_5x_0)</f>
        <v>0</v>
      </c>
      <c r="E46" s="1"/>
      <c r="F46" s="5">
        <f t="shared" si="38"/>
        <v>0</v>
      </c>
      <c r="G46" s="1"/>
      <c r="H46" s="1">
        <f>SUM(OSRRefH22_5x_0)</f>
        <v>397.93</v>
      </c>
      <c r="I46" s="1"/>
      <c r="J46" s="5">
        <f t="shared" si="39"/>
        <v>0.26592488639401235</v>
      </c>
      <c r="K46" s="1"/>
      <c r="L46" s="1">
        <f t="shared" si="40"/>
        <v>-397.93</v>
      </c>
      <c r="M46" s="1"/>
      <c r="N46" s="5">
        <f t="shared" si="41"/>
        <v>-1</v>
      </c>
      <c r="O46" s="14"/>
      <c r="P46" s="1">
        <f>SUM(OSRRefP22_5x_0)</f>
        <v>0</v>
      </c>
      <c r="Q46" s="1"/>
      <c r="R46" s="5">
        <f t="shared" si="42"/>
        <v>0</v>
      </c>
      <c r="S46" s="1"/>
      <c r="T46" s="1">
        <f>SUM(OSRRefT22_5x_0)</f>
        <v>1983.25</v>
      </c>
      <c r="U46" s="1"/>
      <c r="V46" s="5">
        <f t="shared" si="43"/>
        <v>0.5432490029364071</v>
      </c>
      <c r="W46" s="1"/>
      <c r="X46" s="1">
        <f t="shared" si="44"/>
        <v>-1983.25</v>
      </c>
      <c r="Y46" s="1"/>
      <c r="Z46" s="5">
        <f t="shared" si="45"/>
        <v>-1</v>
      </c>
    </row>
    <row r="47" spans="1:26" s="24" customFormat="1" hidden="1" outlineLevel="2" x14ac:dyDescent="0.25">
      <c r="A47" s="29"/>
      <c r="B47" s="11" t="str">
        <f>CONCATENATE("          ", "6241", " - ", "OFFICE EXPENSE")</f>
        <v xml:space="preserve">          6241 - OFFICE EXPENSE</v>
      </c>
      <c r="C47" s="11"/>
      <c r="D47" s="7"/>
      <c r="E47" s="2"/>
      <c r="F47" s="6">
        <f t="shared" si="38"/>
        <v>0</v>
      </c>
      <c r="G47" s="2"/>
      <c r="H47" s="7">
        <v>27.61</v>
      </c>
      <c r="I47" s="2"/>
      <c r="J47" s="6">
        <f t="shared" si="39"/>
        <v>1.8450948944132586E-2</v>
      </c>
      <c r="K47" s="2"/>
      <c r="L47" s="7">
        <f t="shared" si="40"/>
        <v>-27.61</v>
      </c>
      <c r="M47" s="2"/>
      <c r="N47" s="6">
        <f t="shared" si="41"/>
        <v>-1</v>
      </c>
      <c r="O47" s="11"/>
      <c r="P47" s="7"/>
      <c r="Q47" s="2"/>
      <c r="R47" s="6">
        <f t="shared" si="42"/>
        <v>0</v>
      </c>
      <c r="S47" s="2"/>
      <c r="T47" s="7">
        <v>27.61</v>
      </c>
      <c r="U47" s="2"/>
      <c r="V47" s="6">
        <f t="shared" si="43"/>
        <v>7.5628917035543679E-3</v>
      </c>
      <c r="W47" s="2"/>
      <c r="X47" s="7">
        <f t="shared" si="44"/>
        <v>-27.61</v>
      </c>
      <c r="Y47" s="2"/>
      <c r="Z47" s="6">
        <f t="shared" si="45"/>
        <v>-1</v>
      </c>
    </row>
    <row r="48" spans="1:26" s="24" customFormat="1" hidden="1" outlineLevel="2" x14ac:dyDescent="0.25">
      <c r="A48" s="29"/>
      <c r="B48" s="11" t="str">
        <f>CONCATENATE("          ", "6247", " - ", "STORE SUPPLIES")</f>
        <v xml:space="preserve">          6247 - STORE SUPPLIES</v>
      </c>
      <c r="C48" s="11"/>
      <c r="D48" s="7"/>
      <c r="E48" s="2"/>
      <c r="F48" s="6">
        <f t="shared" si="38"/>
        <v>0</v>
      </c>
      <c r="G48" s="2"/>
      <c r="H48" s="7">
        <v>370.32</v>
      </c>
      <c r="I48" s="2"/>
      <c r="J48" s="6">
        <f t="shared" si="39"/>
        <v>0.24747393744987972</v>
      </c>
      <c r="K48" s="2"/>
      <c r="L48" s="7">
        <f t="shared" si="40"/>
        <v>-370.32</v>
      </c>
      <c r="M48" s="2"/>
      <c r="N48" s="6">
        <f t="shared" si="41"/>
        <v>-1</v>
      </c>
      <c r="O48" s="11"/>
      <c r="P48" s="7"/>
      <c r="Q48" s="2"/>
      <c r="R48" s="6">
        <f t="shared" si="42"/>
        <v>0</v>
      </c>
      <c r="S48" s="2"/>
      <c r="T48" s="7">
        <v>1955.64</v>
      </c>
      <c r="U48" s="2"/>
      <c r="V48" s="6">
        <f t="shared" si="43"/>
        <v>0.5356861112328527</v>
      </c>
      <c r="W48" s="2"/>
      <c r="X48" s="7">
        <f t="shared" si="44"/>
        <v>-1955.64</v>
      </c>
      <c r="Y48" s="2"/>
      <c r="Z48" s="6">
        <f t="shared" si="45"/>
        <v>-1</v>
      </c>
    </row>
    <row r="49" spans="1:26" s="28" customFormat="1" outlineLevel="1" collapsed="1" x14ac:dyDescent="0.25">
      <c r="A49" s="27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SUM(OSRRefD22_6x_0)</f>
        <v>0</v>
      </c>
      <c r="E49" s="1"/>
      <c r="F49" s="5">
        <f t="shared" ref="F49:F50" si="46">IF(D$12=0,0,D49/D$12)</f>
        <v>0</v>
      </c>
      <c r="G49" s="1"/>
      <c r="H49" s="1">
        <f>SUM(OSRRefH22_6x_0)</f>
        <v>42.5</v>
      </c>
      <c r="I49" s="1"/>
      <c r="J49" s="5">
        <f t="shared" ref="J49:J50" si="47">IF(H$12=0,0,H49/H$12)</f>
        <v>2.840149692595563E-2</v>
      </c>
      <c r="K49" s="1"/>
      <c r="L49" s="1">
        <f t="shared" ref="L49:L50" si="48">+D49-H49</f>
        <v>-42.5</v>
      </c>
      <c r="M49" s="1"/>
      <c r="N49" s="5">
        <f t="shared" ref="N49:N50" si="49">IF(H49=0,0,L49/H49)</f>
        <v>-1</v>
      </c>
      <c r="O49" s="14"/>
      <c r="P49" s="1">
        <f>SUM(OSRRefP22_6x_0)</f>
        <v>0</v>
      </c>
      <c r="Q49" s="1"/>
      <c r="R49" s="5">
        <f t="shared" ref="R49:R50" si="50">IF(P$12=0,0,P49/P$12)</f>
        <v>0</v>
      </c>
      <c r="S49" s="1"/>
      <c r="T49" s="1">
        <f>SUM(OSRRefT22_6x_0)</f>
        <v>146.30000000000001</v>
      </c>
      <c r="U49" s="1"/>
      <c r="V49" s="5">
        <f t="shared" ref="V49:V50" si="51">IF(T$12=0,0,T49/T$12)</f>
        <v>4.0074286716045057E-2</v>
      </c>
      <c r="W49" s="1"/>
      <c r="X49" s="1">
        <f t="shared" ref="X49:X50" si="52">+P49-T49</f>
        <v>-146.30000000000001</v>
      </c>
      <c r="Y49" s="1"/>
      <c r="Z49" s="5">
        <f t="shared" ref="Z49:Z50" si="53">IF(T49=0,0,X49/T49)</f>
        <v>-1</v>
      </c>
    </row>
    <row r="50" spans="1:26" s="24" customFormat="1" hidden="1" outlineLevel="2" x14ac:dyDescent="0.25">
      <c r="A50" s="29"/>
      <c r="B50" s="11" t="str">
        <f>CONCATENATE("          ", "6309", " - ", "TELEPHONE")</f>
        <v xml:space="preserve">          6309 - TELEPHONE</v>
      </c>
      <c r="C50" s="11"/>
      <c r="D50" s="7"/>
      <c r="E50" s="2"/>
      <c r="F50" s="6">
        <f t="shared" si="46"/>
        <v>0</v>
      </c>
      <c r="G50" s="2"/>
      <c r="H50" s="7">
        <v>42.5</v>
      </c>
      <c r="I50" s="2"/>
      <c r="J50" s="6">
        <f t="shared" si="47"/>
        <v>2.840149692595563E-2</v>
      </c>
      <c r="K50" s="2"/>
      <c r="L50" s="7">
        <f t="shared" si="48"/>
        <v>-42.5</v>
      </c>
      <c r="M50" s="2"/>
      <c r="N50" s="6">
        <f t="shared" si="49"/>
        <v>-1</v>
      </c>
      <c r="O50" s="11"/>
      <c r="P50" s="7"/>
      <c r="Q50" s="2"/>
      <c r="R50" s="6">
        <f t="shared" si="50"/>
        <v>0</v>
      </c>
      <c r="S50" s="2"/>
      <c r="T50" s="7">
        <v>146.30000000000001</v>
      </c>
      <c r="U50" s="2"/>
      <c r="V50" s="6">
        <f t="shared" si="51"/>
        <v>4.0074286716045057E-2</v>
      </c>
      <c r="W50" s="2"/>
      <c r="X50" s="7">
        <f t="shared" si="52"/>
        <v>-146.30000000000001</v>
      </c>
      <c r="Y50" s="2"/>
      <c r="Z50" s="6">
        <f t="shared" si="53"/>
        <v>-1</v>
      </c>
    </row>
    <row r="51" spans="1:26" s="52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25">
      <c r="A52" s="10"/>
      <c r="B52" s="25" t="s">
        <v>0</v>
      </c>
      <c r="C52" s="10"/>
      <c r="D52" s="4">
        <f>SUM(OSRRefD25x_0)</f>
        <v>0</v>
      </c>
      <c r="E52" s="4"/>
      <c r="F52" s="12">
        <f t="shared" ref="F52:F56" si="54">IF(D$12=0,0,D52/D$12)</f>
        <v>0</v>
      </c>
      <c r="G52" s="4"/>
      <c r="H52" s="4">
        <f>SUM(OSRRefH25x_0)</f>
        <v>22962.15</v>
      </c>
      <c r="I52" s="4"/>
      <c r="J52" s="12">
        <f t="shared" ref="J52:J56" si="55">IF(H$12=0,0,H52/H$12)</f>
        <v>15.344927826784284</v>
      </c>
      <c r="K52" s="4"/>
      <c r="L52" s="4">
        <f t="shared" ref="L52:L56" si="56">+D52-H52</f>
        <v>-22962.15</v>
      </c>
      <c r="M52" s="4"/>
      <c r="N52" s="12">
        <f t="shared" ref="N52:N56" si="57">IF(H52=0,0,L52/H52)</f>
        <v>-1</v>
      </c>
      <c r="O52" s="10"/>
      <c r="P52" s="4">
        <f>SUM(OSRRefP25x_0)</f>
        <v>0</v>
      </c>
      <c r="Q52" s="4"/>
      <c r="R52" s="12">
        <f t="shared" ref="R52:R56" si="58">IF(P$12=0,0,P52/P$12)</f>
        <v>0</v>
      </c>
      <c r="S52" s="4"/>
      <c r="T52" s="4">
        <f>SUM(OSRRefT25x_0)</f>
        <v>23291.85</v>
      </c>
      <c r="U52" s="4"/>
      <c r="V52" s="12">
        <f t="shared" ref="V52:V56" si="59">IF(T$12=0,0,T52/T$12)</f>
        <v>6.3800702327212164</v>
      </c>
      <c r="W52" s="4"/>
      <c r="X52" s="4">
        <f t="shared" ref="X52:X56" si="60">+P52-T52</f>
        <v>-23291.85</v>
      </c>
      <c r="Y52" s="4"/>
      <c r="Z52" s="12">
        <f t="shared" ref="Z52:Z56" si="61">IF(T52=0,0,X52/T52)</f>
        <v>-1</v>
      </c>
    </row>
    <row r="53" spans="1:26" s="24" customFormat="1" hidden="1" outlineLevel="1" x14ac:dyDescent="0.25">
      <c r="A53" s="44"/>
      <c r="B53" s="11" t="str">
        <f>CONCATENATE("          ", "4098", " - ", "TAXABLE SALES-GRAD RENTALS")</f>
        <v xml:space="preserve">          4098 - TAXABLE SALES-GRAD RENTALS</v>
      </c>
      <c r="C53" s="11"/>
      <c r="D53" s="2">
        <f t="shared" ref="D53:D56" si="62">0</f>
        <v>0</v>
      </c>
      <c r="E53" s="2"/>
      <c r="F53" s="19">
        <f t="shared" si="54"/>
        <v>0</v>
      </c>
      <c r="G53" s="2"/>
      <c r="H53" s="2">
        <f>--1552.15</f>
        <v>1552.15</v>
      </c>
      <c r="I53" s="2"/>
      <c r="J53" s="19">
        <f t="shared" si="55"/>
        <v>1.0372560812616949</v>
      </c>
      <c r="K53" s="2"/>
      <c r="L53" s="2">
        <f t="shared" si="56"/>
        <v>-1552.15</v>
      </c>
      <c r="M53" s="2"/>
      <c r="N53" s="19">
        <f t="shared" si="57"/>
        <v>-1</v>
      </c>
      <c r="O53" s="11"/>
      <c r="P53" s="2">
        <f t="shared" ref="P53:P56" si="63">0</f>
        <v>0</v>
      </c>
      <c r="Q53" s="2"/>
      <c r="R53" s="19">
        <f t="shared" si="58"/>
        <v>0</v>
      </c>
      <c r="S53" s="2"/>
      <c r="T53" s="2">
        <f>--1626.85</f>
        <v>1626.85</v>
      </c>
      <c r="U53" s="2"/>
      <c r="V53" s="19">
        <f t="shared" si="59"/>
        <v>0.44562442477100406</v>
      </c>
      <c r="W53" s="2"/>
      <c r="X53" s="2">
        <f t="shared" si="60"/>
        <v>-1626.85</v>
      </c>
      <c r="Y53" s="2"/>
      <c r="Z53" s="19">
        <f t="shared" si="61"/>
        <v>-1</v>
      </c>
    </row>
    <row r="54" spans="1:26" s="24" customFormat="1" hidden="1" outlineLevel="1" x14ac:dyDescent="0.25">
      <c r="A54" s="44"/>
      <c r="B54" s="11" t="str">
        <f>CONCATENATE("          ", "4197", " - ", "NON-TAXABLE SALES-RETURNED CHE")</f>
        <v xml:space="preserve">          4197 - NON-TAXABLE SALES-RETURNED CHE</v>
      </c>
      <c r="C54" s="11"/>
      <c r="D54" s="2">
        <f t="shared" si="62"/>
        <v>0</v>
      </c>
      <c r="E54" s="2"/>
      <c r="F54" s="19">
        <f t="shared" si="54"/>
        <v>0</v>
      </c>
      <c r="G54" s="2"/>
      <c r="H54" s="2">
        <f>--30</f>
        <v>30</v>
      </c>
      <c r="I54" s="2"/>
      <c r="J54" s="19">
        <f t="shared" si="55"/>
        <v>2.0048115477145152E-2</v>
      </c>
      <c r="K54" s="2"/>
      <c r="L54" s="2">
        <f t="shared" si="56"/>
        <v>-30</v>
      </c>
      <c r="M54" s="2"/>
      <c r="N54" s="19">
        <f t="shared" si="57"/>
        <v>-1</v>
      </c>
      <c r="O54" s="11"/>
      <c r="P54" s="2">
        <f t="shared" si="63"/>
        <v>0</v>
      </c>
      <c r="Q54" s="2"/>
      <c r="R54" s="19">
        <f t="shared" si="58"/>
        <v>0</v>
      </c>
      <c r="S54" s="2"/>
      <c r="T54" s="2">
        <f>--30</f>
        <v>30</v>
      </c>
      <c r="U54" s="2"/>
      <c r="V54" s="19">
        <f t="shared" si="59"/>
        <v>8.2175570846298816E-3</v>
      </c>
      <c r="W54" s="2"/>
      <c r="X54" s="2">
        <f t="shared" si="60"/>
        <v>-30</v>
      </c>
      <c r="Y54" s="2"/>
      <c r="Z54" s="19">
        <f t="shared" si="61"/>
        <v>-1</v>
      </c>
    </row>
    <row r="55" spans="1:26" s="24" customFormat="1" hidden="1" outlineLevel="1" x14ac:dyDescent="0.25">
      <c r="A55" s="44"/>
      <c r="B55" s="11" t="str">
        <f>CONCATENATE("          ", "4198", " - ", "NON-TAXABLE SALES-GRAD RENTALS")</f>
        <v xml:space="preserve">          4198 - NON-TAXABLE SALES-GRAD RENTALS</v>
      </c>
      <c r="C55" s="11"/>
      <c r="D55" s="2">
        <f t="shared" si="62"/>
        <v>0</v>
      </c>
      <c r="E55" s="2"/>
      <c r="F55" s="19">
        <f t="shared" si="54"/>
        <v>0</v>
      </c>
      <c r="G55" s="2"/>
      <c r="H55" s="2">
        <f>--210</f>
        <v>210</v>
      </c>
      <c r="I55" s="2"/>
      <c r="J55" s="19">
        <f t="shared" si="55"/>
        <v>0.14033680834001605</v>
      </c>
      <c r="K55" s="2"/>
      <c r="L55" s="2">
        <f t="shared" si="56"/>
        <v>-210</v>
      </c>
      <c r="M55" s="2"/>
      <c r="N55" s="19">
        <f t="shared" si="57"/>
        <v>-1</v>
      </c>
      <c r="O55" s="11"/>
      <c r="P55" s="2">
        <f t="shared" si="63"/>
        <v>0</v>
      </c>
      <c r="Q55" s="2"/>
      <c r="R55" s="19">
        <f t="shared" si="58"/>
        <v>0</v>
      </c>
      <c r="S55" s="2"/>
      <c r="T55" s="2">
        <f>--465</f>
        <v>465</v>
      </c>
      <c r="U55" s="2"/>
      <c r="V55" s="19">
        <f t="shared" si="59"/>
        <v>0.12737213481176315</v>
      </c>
      <c r="W55" s="2"/>
      <c r="X55" s="2">
        <f t="shared" si="60"/>
        <v>-465</v>
      </c>
      <c r="Y55" s="2"/>
      <c r="Z55" s="19">
        <f t="shared" si="61"/>
        <v>-1</v>
      </c>
    </row>
    <row r="56" spans="1:26" s="24" customFormat="1" hidden="1" outlineLevel="1" x14ac:dyDescent="0.25">
      <c r="A56" s="44"/>
      <c r="B56" s="11" t="str">
        <f>CONCATENATE("          ", "9160", " - ", "MISC. INCOME")</f>
        <v xml:space="preserve">          9160 - MISC. INCOME</v>
      </c>
      <c r="C56" s="11"/>
      <c r="D56" s="2">
        <f t="shared" si="62"/>
        <v>0</v>
      </c>
      <c r="E56" s="2"/>
      <c r="F56" s="19">
        <f t="shared" si="54"/>
        <v>0</v>
      </c>
      <c r="G56" s="2"/>
      <c r="H56" s="2">
        <f>--21170</f>
        <v>21170</v>
      </c>
      <c r="I56" s="2"/>
      <c r="J56" s="19">
        <f t="shared" si="55"/>
        <v>14.147286821705428</v>
      </c>
      <c r="K56" s="2"/>
      <c r="L56" s="2">
        <f t="shared" si="56"/>
        <v>-21170</v>
      </c>
      <c r="M56" s="2"/>
      <c r="N56" s="19">
        <f t="shared" si="57"/>
        <v>-1</v>
      </c>
      <c r="O56" s="11"/>
      <c r="P56" s="2">
        <f t="shared" si="63"/>
        <v>0</v>
      </c>
      <c r="Q56" s="2"/>
      <c r="R56" s="19">
        <f t="shared" si="58"/>
        <v>0</v>
      </c>
      <c r="S56" s="2"/>
      <c r="T56" s="2">
        <f>--21170</f>
        <v>21170</v>
      </c>
      <c r="U56" s="2"/>
      <c r="V56" s="19">
        <f t="shared" si="59"/>
        <v>5.7988561160538197</v>
      </c>
      <c r="W56" s="2"/>
      <c r="X56" s="2">
        <f t="shared" si="60"/>
        <v>-21170</v>
      </c>
      <c r="Y56" s="2"/>
      <c r="Z56" s="19">
        <f t="shared" si="61"/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x14ac:dyDescent="0.25">
      <c r="A58" s="10"/>
      <c r="B58" s="26" t="s">
        <v>3</v>
      </c>
      <c r="C58" s="26"/>
      <c r="D58" s="22">
        <f>+D24-D26+D52</f>
        <v>0</v>
      </c>
      <c r="E58" s="13"/>
      <c r="F58" s="21">
        <f>IF(D$12=0,0,D58/D$12)</f>
        <v>0</v>
      </c>
      <c r="G58" s="13"/>
      <c r="H58" s="22">
        <f>+H24-H26+H52</f>
        <v>34966.910000000003</v>
      </c>
      <c r="I58" s="13"/>
      <c r="J58" s="21">
        <f>IF(H$12=0,0,H58/H$12)</f>
        <v>23.367354985298054</v>
      </c>
      <c r="K58" s="16"/>
      <c r="L58" s="22">
        <f>+D58-H58</f>
        <v>-34966.910000000003</v>
      </c>
      <c r="M58" s="16"/>
      <c r="N58" s="21">
        <f>IF(H58=0,0,L58/H58)</f>
        <v>-1</v>
      </c>
      <c r="O58" s="25"/>
      <c r="P58" s="22">
        <f>+P24-P26+P52</f>
        <v>0</v>
      </c>
      <c r="Q58" s="13"/>
      <c r="R58" s="21">
        <f>IF(P$12=0,0,P58/P$12)</f>
        <v>0</v>
      </c>
      <c r="S58" s="13"/>
      <c r="T58" s="22">
        <f>+T24-T26+T52</f>
        <v>35580.06</v>
      </c>
      <c r="U58" s="13"/>
      <c r="V58" s="21">
        <f>IF(T$12=0,0,T58/T$12)</f>
        <v>9.7460391374852087</v>
      </c>
      <c r="W58" s="16"/>
      <c r="X58" s="22">
        <f>+P58-T58</f>
        <v>-35580.06</v>
      </c>
      <c r="Y58" s="16"/>
      <c r="Z58" s="21">
        <f>IF(T58=0,0,X58/T58)</f>
        <v>-1</v>
      </c>
    </row>
    <row r="59" spans="1:26" x14ac:dyDescent="0.25">
      <c r="A59" s="9"/>
      <c r="B59" s="10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s="23" customFormat="1" x14ac:dyDescent="0.25">
      <c r="A60" s="51"/>
      <c r="B60" s="10" t="s">
        <v>13</v>
      </c>
      <c r="C60" s="10"/>
      <c r="D60" s="4"/>
      <c r="E60" s="4"/>
      <c r="F60" s="12">
        <f>IF(D$12=0,0,D60/D$12)</f>
        <v>0</v>
      </c>
      <c r="G60" s="4"/>
      <c r="H60" s="4">
        <v>7.23</v>
      </c>
      <c r="I60" s="4"/>
      <c r="J60" s="12">
        <f>IF(H$12=0,0,H60/H$12)</f>
        <v>4.8315958299919816E-3</v>
      </c>
      <c r="K60" s="4"/>
      <c r="L60" s="4">
        <f>+D60-H60</f>
        <v>-7.23</v>
      </c>
      <c r="M60" s="4"/>
      <c r="N60" s="12">
        <f>IF(H60=0,0,L60/H60)</f>
        <v>-1</v>
      </c>
      <c r="O60" s="10"/>
      <c r="P60" s="4"/>
      <c r="Q60" s="4"/>
      <c r="R60" s="12">
        <f>IF(P$12=0,0,P60/P$12)</f>
        <v>0</v>
      </c>
      <c r="S60" s="4"/>
      <c r="T60" s="4">
        <v>455.18</v>
      </c>
      <c r="U60" s="4"/>
      <c r="V60" s="12">
        <f>IF(T$12=0,0,T60/T$12)</f>
        <v>0.12468225445939432</v>
      </c>
      <c r="W60" s="4"/>
      <c r="X60" s="4">
        <f>+P60-T60</f>
        <v>-455.18</v>
      </c>
      <c r="Y60" s="4"/>
      <c r="Z60" s="12">
        <f>IF(T60=0,0,X60/T60)</f>
        <v>-1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6" t="s">
        <v>4</v>
      </c>
      <c r="C62" s="26"/>
      <c r="D62" s="36">
        <f>+D58-D60</f>
        <v>0</v>
      </c>
      <c r="E62" s="13"/>
      <c r="F62" s="34">
        <f>IF(D$12=0,0,D62/D$12)</f>
        <v>0</v>
      </c>
      <c r="G62" s="13"/>
      <c r="H62" s="36">
        <f>+H58-H60</f>
        <v>34959.68</v>
      </c>
      <c r="I62" s="13"/>
      <c r="J62" s="34">
        <f>IF(H$12=0,0,H62/H$12)</f>
        <v>23.362523389468059</v>
      </c>
      <c r="K62" s="16"/>
      <c r="L62" s="36">
        <f>D62-H62</f>
        <v>-34959.68</v>
      </c>
      <c r="M62" s="16"/>
      <c r="N62" s="34">
        <f>IF(H62=0,0,L62/H62)</f>
        <v>-1</v>
      </c>
      <c r="O62" s="25"/>
      <c r="P62" s="36">
        <f>+P58-P60</f>
        <v>0</v>
      </c>
      <c r="Q62" s="13"/>
      <c r="R62" s="34">
        <f>IF(P$12=0,0,P62/P$12)</f>
        <v>0</v>
      </c>
      <c r="S62" s="13"/>
      <c r="T62" s="36">
        <f>+T58-T60</f>
        <v>35124.879999999997</v>
      </c>
      <c r="U62" s="13"/>
      <c r="V62" s="34">
        <f>IF(T$12=0,0,T62/T$12)</f>
        <v>9.6213568830258147</v>
      </c>
      <c r="W62" s="16"/>
      <c r="X62" s="36">
        <f>P62-T62</f>
        <v>-35124.879999999997</v>
      </c>
      <c r="Y62" s="16"/>
      <c r="Z62" s="34">
        <f>IF(T62=0,0,X62/T62)</f>
        <v>-1</v>
      </c>
    </row>
    <row r="63" spans="1:26" ht="15.75" thickTop="1" x14ac:dyDescent="0.25">
      <c r="A63" s="9"/>
      <c r="B63" s="9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x14ac:dyDescent="0.25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ht="15.75" thickBot="1" x14ac:dyDescent="0.3">
      <c r="A65" s="10"/>
      <c r="B65" s="26" t="s">
        <v>5</v>
      </c>
      <c r="C65" s="26"/>
      <c r="D65" s="30">
        <f>SUM(D62:D64)</f>
        <v>0</v>
      </c>
      <c r="E65" s="13"/>
      <c r="F65" s="31">
        <f>IF(D$12=0,0,D65/D$12)</f>
        <v>0</v>
      </c>
      <c r="G65" s="13"/>
      <c r="H65" s="30">
        <f>SUM(H62:H64)</f>
        <v>34959.68</v>
      </c>
      <c r="I65" s="13"/>
      <c r="J65" s="31">
        <f>IF(H$12=0,0,H65/H$12)</f>
        <v>23.362523389468059</v>
      </c>
      <c r="K65" s="16"/>
      <c r="L65" s="30">
        <f>+D65-H65</f>
        <v>-34959.68</v>
      </c>
      <c r="M65" s="16"/>
      <c r="N65" s="31">
        <f>IF(H65=0,0,L65/H65)</f>
        <v>-1</v>
      </c>
      <c r="O65" s="25"/>
      <c r="P65" s="30">
        <f>SUM(P62:P64)</f>
        <v>0</v>
      </c>
      <c r="Q65" s="13"/>
      <c r="R65" s="31">
        <f>IF(P$12=0,0,P65/P$12)</f>
        <v>0</v>
      </c>
      <c r="S65" s="13"/>
      <c r="T65" s="30">
        <f>SUM(T62:T64)</f>
        <v>35124.879999999997</v>
      </c>
      <c r="U65" s="13"/>
      <c r="V65" s="31">
        <f>IF(T$12=0,0,T65/T$12)</f>
        <v>9.6213568830258147</v>
      </c>
      <c r="W65" s="16"/>
      <c r="X65" s="30">
        <f>+P65-T65</f>
        <v>-35124.879999999997</v>
      </c>
      <c r="Y65" s="16"/>
      <c r="Z65" s="31">
        <f>IF(T65=0,0,X65/T65)</f>
        <v>-1</v>
      </c>
    </row>
    <row r="66" spans="1:26" ht="15.75" thickTop="1" x14ac:dyDescent="0.25">
      <c r="A66" s="9"/>
      <c r="C66" s="9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6" x14ac:dyDescent="0.25">
      <c r="A67" s="9"/>
      <c r="B67" s="61">
        <v>44113.696359918984</v>
      </c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  <row r="68" spans="1:26" x14ac:dyDescent="0.25">
      <c r="A68" s="9"/>
      <c r="B68" s="56" t="s">
        <v>313</v>
      </c>
      <c r="D68" s="18"/>
      <c r="E68" s="18"/>
      <c r="G68" s="18"/>
      <c r="H68" s="18"/>
      <c r="I68" s="18"/>
      <c r="J68" s="43"/>
      <c r="K68" s="18"/>
      <c r="L68" s="18"/>
      <c r="M68" s="18"/>
      <c r="P68" s="18"/>
      <c r="Q68" s="18"/>
      <c r="R68" s="43"/>
      <c r="S68" s="18"/>
      <c r="T68" s="18"/>
      <c r="U68" s="18"/>
      <c r="V68" s="43"/>
      <c r="W68" s="18"/>
      <c r="X68" s="18"/>
    </row>
    <row r="69" spans="1:26" x14ac:dyDescent="0.25">
      <c r="A69" s="9"/>
      <c r="B69" s="58"/>
      <c r="D69" s="18"/>
      <c r="E69" s="18"/>
      <c r="G69" s="18"/>
      <c r="H69" s="18"/>
      <c r="I69" s="18"/>
      <c r="J69" s="43"/>
      <c r="K69" s="18"/>
      <c r="L69" s="18"/>
      <c r="M69" s="18"/>
      <c r="P69" s="18"/>
      <c r="Q69" s="18"/>
      <c r="R69" s="43"/>
      <c r="S69" s="18"/>
      <c r="T69" s="18"/>
      <c r="U69" s="18"/>
      <c r="V69" s="43"/>
      <c r="W69" s="18"/>
      <c r="X69" s="18"/>
    </row>
    <row r="70" spans="1:26" x14ac:dyDescent="0.25"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310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491671.12000000005</v>
      </c>
      <c r="E12" s="4"/>
      <c r="F12" s="12"/>
      <c r="G12" s="4"/>
      <c r="H12" s="4">
        <f>SUM(OSRRefH13x_0)</f>
        <v>501515.09999999992</v>
      </c>
      <c r="I12" s="4"/>
      <c r="J12" s="12"/>
      <c r="K12" s="4"/>
      <c r="L12" s="4">
        <f t="shared" ref="L12:L36" si="0">+D12-H12</f>
        <v>-9843.979999999865</v>
      </c>
      <c r="M12" s="4"/>
      <c r="N12" s="12">
        <f t="shared" ref="N12:N36" si="1">IF(H12=0,0,L12/H12)</f>
        <v>-1.9628481774526564E-2</v>
      </c>
      <c r="O12" s="10"/>
      <c r="P12" s="4">
        <f>SUM(OSRRefP13x_0)</f>
        <v>699638.19000000018</v>
      </c>
      <c r="Q12" s="4"/>
      <c r="R12" s="12"/>
      <c r="S12" s="4"/>
      <c r="T12" s="4">
        <f>SUM(OSRRefT13x_0)</f>
        <v>871852.47000000009</v>
      </c>
      <c r="U12" s="4"/>
      <c r="V12" s="12"/>
      <c r="W12" s="4"/>
      <c r="X12" s="4">
        <f t="shared" ref="X12:X36" si="2">+P12-T12</f>
        <v>-172214.27999999991</v>
      </c>
      <c r="Y12" s="4"/>
      <c r="Z12" s="12">
        <f t="shared" ref="Z12:Z36" si="3">IF(T12=0,0,X12/T12)</f>
        <v>-0.19752685910266435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-803.28</f>
        <v>-803.28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-803.28</v>
      </c>
      <c r="M13" s="2"/>
      <c r="N13" s="19">
        <f t="shared" si="1"/>
        <v>0</v>
      </c>
      <c r="O13" s="11"/>
      <c r="P13" s="2">
        <f>-1174.19</f>
        <v>-1174.19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-1174.19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--16305.86</f>
        <v>16305.86</v>
      </c>
      <c r="E14" s="2"/>
      <c r="F14" s="19"/>
      <c r="G14" s="2"/>
      <c r="H14" s="2">
        <f>--88475.34</f>
        <v>88475.34</v>
      </c>
      <c r="I14" s="2"/>
      <c r="J14" s="19"/>
      <c r="K14" s="2"/>
      <c r="L14" s="2">
        <f t="shared" si="0"/>
        <v>-72169.48</v>
      </c>
      <c r="M14" s="2"/>
      <c r="N14" s="19">
        <f t="shared" si="1"/>
        <v>-0.81570164070576046</v>
      </c>
      <c r="O14" s="11"/>
      <c r="P14" s="2">
        <f>--37863.02</f>
        <v>37863.019999999997</v>
      </c>
      <c r="Q14" s="2"/>
      <c r="R14" s="19"/>
      <c r="S14" s="2"/>
      <c r="T14" s="2">
        <f>--109419.93</f>
        <v>109419.93</v>
      </c>
      <c r="U14" s="2"/>
      <c r="V14" s="19"/>
      <c r="W14" s="2"/>
      <c r="X14" s="2">
        <f t="shared" si="2"/>
        <v>-71556.91</v>
      </c>
      <c r="Y14" s="2"/>
      <c r="Z14" s="19">
        <f t="shared" si="3"/>
        <v>-0.65396596397018358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--403983.14</f>
        <v>403983.14</v>
      </c>
      <c r="E15" s="2"/>
      <c r="F15" s="19"/>
      <c r="G15" s="2"/>
      <c r="H15" s="2">
        <f>--414765.04</f>
        <v>414765.04</v>
      </c>
      <c r="I15" s="2"/>
      <c r="J15" s="19"/>
      <c r="K15" s="2"/>
      <c r="L15" s="2">
        <f t="shared" si="0"/>
        <v>-10781.899999999965</v>
      </c>
      <c r="M15" s="2"/>
      <c r="N15" s="19">
        <f t="shared" si="1"/>
        <v>-2.5995199595414228E-2</v>
      </c>
      <c r="O15" s="11"/>
      <c r="P15" s="2">
        <f>--541212.01</f>
        <v>541212.01</v>
      </c>
      <c r="Q15" s="2"/>
      <c r="R15" s="19"/>
      <c r="S15" s="2"/>
      <c r="T15" s="2">
        <f>--813534.78</f>
        <v>813534.78</v>
      </c>
      <c r="U15" s="2"/>
      <c r="V15" s="19"/>
      <c r="W15" s="2"/>
      <c r="X15" s="2">
        <f t="shared" si="2"/>
        <v>-272322.77</v>
      </c>
      <c r="Y15" s="2"/>
      <c r="Z15" s="19">
        <f t="shared" si="3"/>
        <v>-0.33474016931396589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--42925.21</f>
        <v>42925.21</v>
      </c>
      <c r="E16" s="2"/>
      <c r="F16" s="19"/>
      <c r="G16" s="2"/>
      <c r="H16" s="2">
        <f>--15671.69</f>
        <v>15671.69</v>
      </c>
      <c r="I16" s="2"/>
      <c r="J16" s="19"/>
      <c r="K16" s="2"/>
      <c r="L16" s="2">
        <f t="shared" si="0"/>
        <v>27253.519999999997</v>
      </c>
      <c r="M16" s="2"/>
      <c r="N16" s="19">
        <f t="shared" si="1"/>
        <v>1.7390287837495506</v>
      </c>
      <c r="O16" s="11"/>
      <c r="P16" s="2">
        <f>--49715.36</f>
        <v>49715.360000000001</v>
      </c>
      <c r="Q16" s="2"/>
      <c r="R16" s="19"/>
      <c r="S16" s="2"/>
      <c r="T16" s="2">
        <f>--23577.79</f>
        <v>23577.79</v>
      </c>
      <c r="U16" s="2"/>
      <c r="V16" s="19"/>
      <c r="W16" s="2"/>
      <c r="X16" s="2">
        <f t="shared" si="2"/>
        <v>26137.57</v>
      </c>
      <c r="Y16" s="2"/>
      <c r="Z16" s="19">
        <f t="shared" si="3"/>
        <v>1.108567427227064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--129</f>
        <v>129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129</v>
      </c>
      <c r="M18" s="2"/>
      <c r="N18" s="19">
        <f t="shared" si="1"/>
        <v>0</v>
      </c>
      <c r="O18" s="11"/>
      <c r="P18" s="2">
        <f>--129</f>
        <v>129</v>
      </c>
      <c r="Q18" s="2"/>
      <c r="R18" s="19"/>
      <c r="S18" s="2"/>
      <c r="T18" s="2">
        <f>--493.95</f>
        <v>493.95</v>
      </c>
      <c r="U18" s="2"/>
      <c r="V18" s="19"/>
      <c r="W18" s="2"/>
      <c r="X18" s="2">
        <f t="shared" si="2"/>
        <v>-364.95</v>
      </c>
      <c r="Y18" s="2"/>
      <c r="Z18" s="19">
        <f t="shared" si="3"/>
        <v>-0.73883996355906467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--1308.27</f>
        <v>1308.27</v>
      </c>
      <c r="E19" s="2"/>
      <c r="F19" s="19"/>
      <c r="G19" s="2"/>
      <c r="H19" s="2">
        <f>--7578.27</f>
        <v>7578.27</v>
      </c>
      <c r="I19" s="2"/>
      <c r="J19" s="19"/>
      <c r="K19" s="2"/>
      <c r="L19" s="2">
        <f t="shared" si="0"/>
        <v>-6270</v>
      </c>
      <c r="M19" s="2"/>
      <c r="N19" s="19">
        <f t="shared" si="1"/>
        <v>-0.827365612468281</v>
      </c>
      <c r="O19" s="11"/>
      <c r="P19" s="2">
        <f>--27267.48</f>
        <v>27267.48</v>
      </c>
      <c r="Q19" s="2"/>
      <c r="R19" s="19"/>
      <c r="S19" s="2"/>
      <c r="T19" s="2">
        <f>--9558.6</f>
        <v>9558.6</v>
      </c>
      <c r="U19" s="2"/>
      <c r="V19" s="19"/>
      <c r="W19" s="2"/>
      <c r="X19" s="2">
        <f t="shared" si="2"/>
        <v>17708.879999999997</v>
      </c>
      <c r="Y19" s="2"/>
      <c r="Z19" s="19">
        <f t="shared" si="3"/>
        <v>1.8526646161571776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--259.98</f>
        <v>259.98</v>
      </c>
      <c r="I20" s="2"/>
      <c r="J20" s="19"/>
      <c r="K20" s="2"/>
      <c r="L20" s="2">
        <f t="shared" si="0"/>
        <v>-259.98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--518.97</f>
        <v>518.97</v>
      </c>
      <c r="U20" s="2"/>
      <c r="V20" s="19"/>
      <c r="W20" s="2"/>
      <c r="X20" s="2">
        <f t="shared" si="2"/>
        <v>-518.97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--2349.29</f>
        <v>2349.29</v>
      </c>
      <c r="E21" s="2"/>
      <c r="F21" s="19"/>
      <c r="G21" s="2"/>
      <c r="H21" s="2">
        <f>--87.95</f>
        <v>87.95</v>
      </c>
      <c r="I21" s="2"/>
      <c r="J21" s="19"/>
      <c r="K21" s="2"/>
      <c r="L21" s="2">
        <f t="shared" si="0"/>
        <v>2261.34</v>
      </c>
      <c r="M21" s="2"/>
      <c r="N21" s="19">
        <f t="shared" si="1"/>
        <v>25.711654349061966</v>
      </c>
      <c r="O21" s="11"/>
      <c r="P21" s="2">
        <f>--2639.27</f>
        <v>2639.27</v>
      </c>
      <c r="Q21" s="2"/>
      <c r="R21" s="19"/>
      <c r="S21" s="2"/>
      <c r="T21" s="2">
        <f>--1390.56</f>
        <v>1390.56</v>
      </c>
      <c r="U21" s="2"/>
      <c r="V21" s="19"/>
      <c r="W21" s="2"/>
      <c r="X21" s="2">
        <f t="shared" si="2"/>
        <v>1248.71</v>
      </c>
      <c r="Y21" s="2"/>
      <c r="Z21" s="19">
        <f t="shared" si="3"/>
        <v>0.89799073754458647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--46190.39</f>
        <v>46190.39</v>
      </c>
      <c r="E22" s="2"/>
      <c r="F22" s="19"/>
      <c r="G22" s="2"/>
      <c r="H22" s="2">
        <f>--19953</f>
        <v>19953</v>
      </c>
      <c r="I22" s="2"/>
      <c r="J22" s="19"/>
      <c r="K22" s="2"/>
      <c r="L22" s="2">
        <f t="shared" si="0"/>
        <v>26237.39</v>
      </c>
      <c r="M22" s="2"/>
      <c r="N22" s="19">
        <f t="shared" si="1"/>
        <v>1.3149596551896958</v>
      </c>
      <c r="O22" s="11"/>
      <c r="P22" s="2">
        <f>--82067.38</f>
        <v>82067.38</v>
      </c>
      <c r="Q22" s="2"/>
      <c r="R22" s="19"/>
      <c r="S22" s="2"/>
      <c r="T22" s="2">
        <f>--30571</f>
        <v>30571</v>
      </c>
      <c r="U22" s="2"/>
      <c r="V22" s="19"/>
      <c r="W22" s="2"/>
      <c r="X22" s="2">
        <f t="shared" si="2"/>
        <v>51496.380000000005</v>
      </c>
      <c r="Y22" s="2"/>
      <c r="Z22" s="19">
        <f t="shared" si="3"/>
        <v>1.6844846423080699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--1759.83</f>
        <v>1759.83</v>
      </c>
      <c r="E23" s="2"/>
      <c r="F23" s="19"/>
      <c r="G23" s="2"/>
      <c r="H23" s="2">
        <f>--974.39</f>
        <v>974.39</v>
      </c>
      <c r="I23" s="2"/>
      <c r="J23" s="19"/>
      <c r="K23" s="2"/>
      <c r="L23" s="2">
        <f t="shared" si="0"/>
        <v>785.43999999999994</v>
      </c>
      <c r="M23" s="2"/>
      <c r="N23" s="19">
        <f t="shared" si="1"/>
        <v>0.80608380627880005</v>
      </c>
      <c r="O23" s="11"/>
      <c r="P23" s="2">
        <f>--3119.68</f>
        <v>3119.68</v>
      </c>
      <c r="Q23" s="2"/>
      <c r="R23" s="19"/>
      <c r="S23" s="2"/>
      <c r="T23" s="2">
        <f>--1156.29</f>
        <v>1156.29</v>
      </c>
      <c r="U23" s="2"/>
      <c r="V23" s="19"/>
      <c r="W23" s="2"/>
      <c r="X23" s="2">
        <f t="shared" si="2"/>
        <v>1963.3899999999999</v>
      </c>
      <c r="Y23" s="2"/>
      <c r="Z23" s="19">
        <f t="shared" si="3"/>
        <v>1.698008285118785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--1522</f>
        <v>1522</v>
      </c>
      <c r="I24" s="2"/>
      <c r="J24" s="19"/>
      <c r="K24" s="2"/>
      <c r="L24" s="2">
        <f t="shared" si="0"/>
        <v>-1522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--1522</f>
        <v>1522</v>
      </c>
      <c r="U24" s="2"/>
      <c r="V24" s="19"/>
      <c r="W24" s="2"/>
      <c r="X24" s="2">
        <f t="shared" si="2"/>
        <v>-1522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--4610.75</f>
        <v>4610.75</v>
      </c>
      <c r="E25" s="2"/>
      <c r="F25" s="19"/>
      <c r="G25" s="2"/>
      <c r="H25" s="2">
        <f>--3770</f>
        <v>3770</v>
      </c>
      <c r="I25" s="2"/>
      <c r="J25" s="19"/>
      <c r="K25" s="2"/>
      <c r="L25" s="2">
        <f t="shared" si="0"/>
        <v>840.75</v>
      </c>
      <c r="M25" s="2"/>
      <c r="N25" s="19">
        <f t="shared" si="1"/>
        <v>0.22301061007957559</v>
      </c>
      <c r="O25" s="11"/>
      <c r="P25" s="2">
        <f>--10798.49</f>
        <v>10798.49</v>
      </c>
      <c r="Q25" s="2"/>
      <c r="R25" s="19"/>
      <c r="S25" s="2"/>
      <c r="T25" s="2">
        <f>--4522</f>
        <v>4522</v>
      </c>
      <c r="U25" s="2"/>
      <c r="V25" s="19"/>
      <c r="W25" s="2"/>
      <c r="X25" s="2">
        <f t="shared" si="2"/>
        <v>6276.49</v>
      </c>
      <c r="Y25" s="2"/>
      <c r="Z25" s="19">
        <f t="shared" si="3"/>
        <v>1.3879898275099514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--257.95</f>
        <v>257.95</v>
      </c>
      <c r="E26" s="2"/>
      <c r="F26" s="19"/>
      <c r="G26" s="2"/>
      <c r="H26" s="2">
        <f>--194.93</f>
        <v>194.93</v>
      </c>
      <c r="I26" s="2"/>
      <c r="J26" s="19"/>
      <c r="K26" s="2"/>
      <c r="L26" s="2">
        <f t="shared" si="0"/>
        <v>63.019999999999982</v>
      </c>
      <c r="M26" s="2"/>
      <c r="N26" s="19">
        <f t="shared" si="1"/>
        <v>0.323295541989432</v>
      </c>
      <c r="O26" s="11"/>
      <c r="P26" s="2">
        <f>--412.9</f>
        <v>412.9</v>
      </c>
      <c r="Q26" s="2"/>
      <c r="R26" s="19"/>
      <c r="S26" s="2"/>
      <c r="T26" s="2">
        <f>--274.9</f>
        <v>274.89999999999998</v>
      </c>
      <c r="U26" s="2"/>
      <c r="V26" s="19"/>
      <c r="W26" s="2"/>
      <c r="X26" s="2">
        <f t="shared" si="2"/>
        <v>138</v>
      </c>
      <c r="Y26" s="2"/>
      <c r="Z26" s="19">
        <f t="shared" si="3"/>
        <v>0.50200072753728631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--99.98</f>
        <v>99.98</v>
      </c>
      <c r="U27" s="2"/>
      <c r="V27" s="19"/>
      <c r="W27" s="2"/>
      <c r="X27" s="2">
        <f t="shared" si="2"/>
        <v>-99.98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-7424.23</f>
        <v>-7424.23</v>
      </c>
      <c r="E28" s="2"/>
      <c r="F28" s="19"/>
      <c r="G28" s="2"/>
      <c r="H28" s="2">
        <f>-575.76</f>
        <v>-575.76</v>
      </c>
      <c r="I28" s="2"/>
      <c r="J28" s="19"/>
      <c r="K28" s="2"/>
      <c r="L28" s="2">
        <f t="shared" si="0"/>
        <v>-6848.4699999999993</v>
      </c>
      <c r="M28" s="2"/>
      <c r="N28" s="19">
        <f t="shared" si="1"/>
        <v>11.894660969848546</v>
      </c>
      <c r="O28" s="11"/>
      <c r="P28" s="2">
        <f>-13716.22</f>
        <v>-13716.22</v>
      </c>
      <c r="Q28" s="2"/>
      <c r="R28" s="19"/>
      <c r="S28" s="2"/>
      <c r="T28" s="2">
        <f>-2234.75</f>
        <v>-2234.75</v>
      </c>
      <c r="U28" s="2"/>
      <c r="V28" s="19"/>
      <c r="W28" s="2"/>
      <c r="X28" s="2">
        <f t="shared" si="2"/>
        <v>-11481.47</v>
      </c>
      <c r="Y28" s="2"/>
      <c r="Z28" s="19">
        <f t="shared" si="3"/>
        <v>5.1376977290524666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-15442</f>
        <v>-15442</v>
      </c>
      <c r="E29" s="2"/>
      <c r="F29" s="19"/>
      <c r="G29" s="2"/>
      <c r="H29" s="2">
        <f>-49848.66</f>
        <v>-49848.66</v>
      </c>
      <c r="I29" s="2"/>
      <c r="J29" s="19"/>
      <c r="K29" s="2"/>
      <c r="L29" s="2">
        <f t="shared" si="0"/>
        <v>34406.660000000003</v>
      </c>
      <c r="M29" s="2"/>
      <c r="N29" s="19">
        <f t="shared" si="1"/>
        <v>-0.69022236505454715</v>
      </c>
      <c r="O29" s="11"/>
      <c r="P29" s="2">
        <f>-33649</f>
        <v>-33649</v>
      </c>
      <c r="Q29" s="2"/>
      <c r="R29" s="19"/>
      <c r="S29" s="2"/>
      <c r="T29" s="2">
        <f>-120189.72</f>
        <v>-120189.72</v>
      </c>
      <c r="U29" s="2"/>
      <c r="V29" s="19"/>
      <c r="W29" s="2"/>
      <c r="X29" s="2">
        <f t="shared" si="2"/>
        <v>86540.72</v>
      </c>
      <c r="Y29" s="2"/>
      <c r="Z29" s="19">
        <f t="shared" si="3"/>
        <v>-0.7200342924503027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-699.9</f>
        <v>-699.9</v>
      </c>
      <c r="E30" s="2"/>
      <c r="F30" s="19"/>
      <c r="G30" s="2"/>
      <c r="H30" s="2">
        <f>-503.89</f>
        <v>-503.89</v>
      </c>
      <c r="I30" s="2"/>
      <c r="J30" s="19"/>
      <c r="K30" s="2"/>
      <c r="L30" s="2">
        <f t="shared" si="0"/>
        <v>-196.01</v>
      </c>
      <c r="M30" s="2"/>
      <c r="N30" s="19">
        <f t="shared" si="1"/>
        <v>0.38899362956200756</v>
      </c>
      <c r="O30" s="11"/>
      <c r="P30" s="2">
        <f>-1518.83</f>
        <v>-1518.83</v>
      </c>
      <c r="Q30" s="2"/>
      <c r="R30" s="19"/>
      <c r="S30" s="2"/>
      <c r="T30" s="2">
        <f>-730.69</f>
        <v>-730.69</v>
      </c>
      <c r="U30" s="2"/>
      <c r="V30" s="19"/>
      <c r="W30" s="2"/>
      <c r="X30" s="2">
        <f t="shared" si="2"/>
        <v>-788.13999999999987</v>
      </c>
      <c r="Y30" s="2"/>
      <c r="Z30" s="19">
        <f t="shared" si="3"/>
        <v>1.0786243140045708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 t="shared" ref="D31:D32" si="5">0</f>
        <v>0</v>
      </c>
      <c r="E31" s="2"/>
      <c r="F31" s="19"/>
      <c r="G31" s="2"/>
      <c r="H31" s="2">
        <f>-129</f>
        <v>-129</v>
      </c>
      <c r="I31" s="2"/>
      <c r="J31" s="19"/>
      <c r="K31" s="2"/>
      <c r="L31" s="2">
        <f t="shared" si="0"/>
        <v>129</v>
      </c>
      <c r="M31" s="2"/>
      <c r="N31" s="19">
        <f t="shared" si="1"/>
        <v>-1</v>
      </c>
      <c r="O31" s="11"/>
      <c r="P31" s="2">
        <f t="shared" ref="P31:P32" si="6"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 t="shared" si="5"/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6"/>
        <v>0</v>
      </c>
      <c r="Q32" s="2"/>
      <c r="R32" s="19"/>
      <c r="S32" s="2"/>
      <c r="T32" s="2">
        <f>-406.99</f>
        <v>-406.99</v>
      </c>
      <c r="U32" s="2"/>
      <c r="V32" s="19"/>
      <c r="W32" s="2"/>
      <c r="X32" s="2">
        <f t="shared" si="2"/>
        <v>406.99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-153.96</f>
        <v>-153.96</v>
      </c>
      <c r="E33" s="2"/>
      <c r="F33" s="19"/>
      <c r="G33" s="2"/>
      <c r="H33" s="2">
        <f>-635.2</f>
        <v>-635.20000000000005</v>
      </c>
      <c r="I33" s="2"/>
      <c r="J33" s="19"/>
      <c r="K33" s="2"/>
      <c r="L33" s="2">
        <f t="shared" si="0"/>
        <v>481.24</v>
      </c>
      <c r="M33" s="2"/>
      <c r="N33" s="19">
        <f t="shared" si="1"/>
        <v>-0.75761964735516374</v>
      </c>
      <c r="O33" s="11"/>
      <c r="P33" s="2">
        <f>-153.96</f>
        <v>-153.96</v>
      </c>
      <c r="Q33" s="2"/>
      <c r="R33" s="19"/>
      <c r="S33" s="2"/>
      <c r="T33" s="2">
        <f>-1181.15</f>
        <v>-1181.1500000000001</v>
      </c>
      <c r="U33" s="2"/>
      <c r="V33" s="19"/>
      <c r="W33" s="2"/>
      <c r="X33" s="2">
        <f t="shared" si="2"/>
        <v>1027.19</v>
      </c>
      <c r="Y33" s="2"/>
      <c r="Z33" s="19">
        <f t="shared" si="3"/>
        <v>-0.86965245735088681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>-3625.2</f>
        <v>-3625.2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-3625.2</v>
      </c>
      <c r="M34" s="2"/>
      <c r="N34" s="19">
        <f t="shared" si="1"/>
        <v>0</v>
      </c>
      <c r="O34" s="11"/>
      <c r="P34" s="2">
        <f>-5374.2</f>
        <v>-5374.2</v>
      </c>
      <c r="Q34" s="2"/>
      <c r="R34" s="19"/>
      <c r="S34" s="2"/>
      <c r="T34" s="2">
        <f>0</f>
        <v>0</v>
      </c>
      <c r="U34" s="2"/>
      <c r="V34" s="19"/>
      <c r="W34" s="2"/>
      <c r="X34" s="2">
        <f t="shared" si="2"/>
        <v>-5374.2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ref="D35:D36" si="7">0</f>
        <v>0</v>
      </c>
      <c r="E35" s="2"/>
      <c r="F35" s="19"/>
      <c r="G35" s="2"/>
      <c r="H35" s="2">
        <f>-24.99</f>
        <v>-24.99</v>
      </c>
      <c r="I35" s="2"/>
      <c r="J35" s="19"/>
      <c r="K35" s="2"/>
      <c r="L35" s="2">
        <f t="shared" si="0"/>
        <v>24.99</v>
      </c>
      <c r="M35" s="2"/>
      <c r="N35" s="19">
        <f t="shared" si="1"/>
        <v>-1</v>
      </c>
      <c r="O35" s="11"/>
      <c r="P35" s="2">
        <f t="shared" ref="P35:P36" si="8">0</f>
        <v>0</v>
      </c>
      <c r="Q35" s="2"/>
      <c r="R35" s="19"/>
      <c r="S35" s="2"/>
      <c r="T35" s="2">
        <f>-24.99</f>
        <v>-24.99</v>
      </c>
      <c r="U35" s="2"/>
      <c r="V35" s="19"/>
      <c r="W35" s="2"/>
      <c r="X35" s="2">
        <f t="shared" si="2"/>
        <v>24.99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7"/>
        <v>0</v>
      </c>
      <c r="E36" s="2"/>
      <c r="F36" s="19"/>
      <c r="G36" s="2"/>
      <c r="H36" s="2">
        <f>-19.99</f>
        <v>-19.989999999999998</v>
      </c>
      <c r="I36" s="2"/>
      <c r="J36" s="19"/>
      <c r="K36" s="2"/>
      <c r="L36" s="2">
        <f t="shared" si="0"/>
        <v>19.989999999999998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-19.99</f>
        <v>-19.989999999999998</v>
      </c>
      <c r="U36" s="2"/>
      <c r="V36" s="19"/>
      <c r="W36" s="2"/>
      <c r="X36" s="2">
        <f t="shared" si="2"/>
        <v>19.989999999999998</v>
      </c>
      <c r="Y36" s="2"/>
      <c r="Z36" s="19">
        <f t="shared" si="3"/>
        <v>-1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5" t="s">
        <v>8</v>
      </c>
      <c r="C38" s="10"/>
      <c r="D38" s="4">
        <f>SUM(OSRRefD16x_0)</f>
        <v>478464</v>
      </c>
      <c r="E38" s="4"/>
      <c r="F38" s="12">
        <f t="shared" ref="F38:F49" si="9">IF(D$12=0,0,D38/D$12)</f>
        <v>0.97313830432017234</v>
      </c>
      <c r="G38" s="4"/>
      <c r="H38" s="4">
        <f>SUM(OSRRefH16x_0)</f>
        <v>455074.88</v>
      </c>
      <c r="I38" s="4"/>
      <c r="J38" s="12">
        <f t="shared" ref="J38:J49" si="10">IF(H$12=0,0,H38/H$12)</f>
        <v>0.90740015604714608</v>
      </c>
      <c r="K38" s="4"/>
      <c r="L38" s="4">
        <f t="shared" ref="L38:L49" si="11">+D38-H38</f>
        <v>23389.119999999995</v>
      </c>
      <c r="M38" s="4"/>
      <c r="N38" s="12">
        <f t="shared" ref="N38:N49" si="12">IF(H38=0,0,L38/H38)</f>
        <v>5.1396200994438528E-2</v>
      </c>
      <c r="O38" s="10"/>
      <c r="P38" s="4">
        <f>SUM(OSRRefP16x_0)</f>
        <v>662420</v>
      </c>
      <c r="Q38" s="4"/>
      <c r="R38" s="12">
        <f t="shared" ref="R38:R49" si="13">IF(P$12=0,0,P38/P$12)</f>
        <v>0.94680366147536887</v>
      </c>
      <c r="S38" s="4"/>
      <c r="T38" s="4">
        <f>SUM(OSRRefT16x_0)</f>
        <v>797395.07000000007</v>
      </c>
      <c r="U38" s="4"/>
      <c r="V38" s="12">
        <f t="shared" ref="V38:V49" si="14">IF(T$12=0,0,T38/T$12)</f>
        <v>0.91459862469621722</v>
      </c>
      <c r="W38" s="4"/>
      <c r="X38" s="4">
        <f t="shared" ref="X38:X49" si="15">+P38-T38</f>
        <v>-134975.07000000007</v>
      </c>
      <c r="Y38" s="4"/>
      <c r="Z38" s="12">
        <f t="shared" ref="Z38:Z49" si="16">IF(T38=0,0,X38/T38)</f>
        <v>-0.16927000815292231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745.55</v>
      </c>
      <c r="E39" s="2"/>
      <c r="F39" s="19">
        <f t="shared" si="9"/>
        <v>1.5163591467402028E-3</v>
      </c>
      <c r="G39" s="2"/>
      <c r="H39" s="2">
        <v>17400.329999999998</v>
      </c>
      <c r="I39" s="2"/>
      <c r="J39" s="19">
        <f t="shared" si="10"/>
        <v>3.4695525618271515E-2</v>
      </c>
      <c r="K39" s="2"/>
      <c r="L39" s="2">
        <f t="shared" si="11"/>
        <v>-16654.78</v>
      </c>
      <c r="M39" s="2"/>
      <c r="N39" s="19">
        <f t="shared" si="12"/>
        <v>-0.95715311146397797</v>
      </c>
      <c r="O39" s="11"/>
      <c r="P39" s="2">
        <v>7422.47</v>
      </c>
      <c r="Q39" s="2"/>
      <c r="R39" s="19">
        <f t="shared" si="13"/>
        <v>1.0609012066651191E-2</v>
      </c>
      <c r="S39" s="2"/>
      <c r="T39" s="2">
        <v>83458.680000000008</v>
      </c>
      <c r="U39" s="2"/>
      <c r="V39" s="19">
        <f t="shared" si="14"/>
        <v>9.5725690838497024E-2</v>
      </c>
      <c r="W39" s="2"/>
      <c r="X39" s="2">
        <f t="shared" si="15"/>
        <v>-76036.210000000006</v>
      </c>
      <c r="Y39" s="2"/>
      <c r="Z39" s="19">
        <f t="shared" si="16"/>
        <v>-0.91106413377254469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56751.23</v>
      </c>
      <c r="E40" s="2"/>
      <c r="F40" s="19">
        <f t="shared" si="9"/>
        <v>0.11542518503018846</v>
      </c>
      <c r="G40" s="2"/>
      <c r="H40" s="2">
        <v>317062.93</v>
      </c>
      <c r="I40" s="2"/>
      <c r="J40" s="19">
        <f t="shared" si="10"/>
        <v>0.63221013684333738</v>
      </c>
      <c r="K40" s="2"/>
      <c r="L40" s="2">
        <f t="shared" si="11"/>
        <v>-260311.69999999998</v>
      </c>
      <c r="M40" s="2"/>
      <c r="N40" s="19">
        <f t="shared" si="12"/>
        <v>-0.8210095705606455</v>
      </c>
      <c r="O40" s="11"/>
      <c r="P40" s="2">
        <v>243223.8</v>
      </c>
      <c r="Q40" s="2"/>
      <c r="R40" s="19">
        <f t="shared" si="13"/>
        <v>0.34764225777898133</v>
      </c>
      <c r="S40" s="2"/>
      <c r="T40" s="2">
        <v>673622.9</v>
      </c>
      <c r="U40" s="2"/>
      <c r="V40" s="19">
        <f t="shared" si="14"/>
        <v>0.77263404438138483</v>
      </c>
      <c r="W40" s="2"/>
      <c r="X40" s="2">
        <f t="shared" si="15"/>
        <v>-430399.10000000003</v>
      </c>
      <c r="Y40" s="2"/>
      <c r="Z40" s="19">
        <f t="shared" si="16"/>
        <v>-0.63893181184903303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7340.55</v>
      </c>
      <c r="E41" s="2"/>
      <c r="F41" s="19">
        <f t="shared" si="9"/>
        <v>1.4929796974855873E-2</v>
      </c>
      <c r="G41" s="2"/>
      <c r="H41" s="2">
        <v>9916.2999999999993</v>
      </c>
      <c r="I41" s="2"/>
      <c r="J41" s="19">
        <f t="shared" si="10"/>
        <v>1.9772684810487263E-2</v>
      </c>
      <c r="K41" s="2"/>
      <c r="L41" s="2">
        <f t="shared" si="11"/>
        <v>-2575.7499999999991</v>
      </c>
      <c r="M41" s="2"/>
      <c r="N41" s="19">
        <f t="shared" si="12"/>
        <v>-0.25974909996672141</v>
      </c>
      <c r="O41" s="11"/>
      <c r="P41" s="2">
        <v>37278.85</v>
      </c>
      <c r="Q41" s="2"/>
      <c r="R41" s="19">
        <f t="shared" si="13"/>
        <v>5.328304048125216E-2</v>
      </c>
      <c r="S41" s="2"/>
      <c r="T41" s="2">
        <v>17192.439999999999</v>
      </c>
      <c r="U41" s="2"/>
      <c r="V41" s="19">
        <f t="shared" si="14"/>
        <v>1.9719437165785624E-2</v>
      </c>
      <c r="W41" s="2"/>
      <c r="X41" s="2">
        <f t="shared" si="15"/>
        <v>20086.41</v>
      </c>
      <c r="Y41" s="2"/>
      <c r="Z41" s="19">
        <f t="shared" si="16"/>
        <v>1.1683280558198836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>
        <v>1522</v>
      </c>
      <c r="I42" s="2"/>
      <c r="J42" s="19">
        <f t="shared" si="10"/>
        <v>3.0348039371097704E-3</v>
      </c>
      <c r="K42" s="2"/>
      <c r="L42" s="2">
        <f t="shared" si="11"/>
        <v>-1522</v>
      </c>
      <c r="M42" s="2"/>
      <c r="N42" s="19">
        <f t="shared" si="12"/>
        <v>-1</v>
      </c>
      <c r="O42" s="11"/>
      <c r="P42" s="2"/>
      <c r="Q42" s="2"/>
      <c r="R42" s="19">
        <f t="shared" si="13"/>
        <v>0</v>
      </c>
      <c r="S42" s="2"/>
      <c r="T42" s="2">
        <v>1522</v>
      </c>
      <c r="U42" s="2"/>
      <c r="V42" s="19">
        <f t="shared" si="14"/>
        <v>1.7457081930386685E-3</v>
      </c>
      <c r="W42" s="2"/>
      <c r="X42" s="2">
        <f t="shared" si="15"/>
        <v>-1522</v>
      </c>
      <c r="Y42" s="2"/>
      <c r="Z42" s="19">
        <f t="shared" si="16"/>
        <v>-1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2364.2199999999998</v>
      </c>
      <c r="E43" s="2"/>
      <c r="F43" s="19">
        <f t="shared" si="9"/>
        <v>4.8085394968897088E-3</v>
      </c>
      <c r="G43" s="2"/>
      <c r="H43" s="2">
        <v>3368</v>
      </c>
      <c r="I43" s="2"/>
      <c r="J43" s="19">
        <f t="shared" si="10"/>
        <v>6.7156502366528953E-3</v>
      </c>
      <c r="K43" s="2"/>
      <c r="L43" s="2">
        <f t="shared" si="11"/>
        <v>-1003.7800000000002</v>
      </c>
      <c r="M43" s="2"/>
      <c r="N43" s="19">
        <f t="shared" si="12"/>
        <v>-0.2980344418052257</v>
      </c>
      <c r="O43" s="11"/>
      <c r="P43" s="2">
        <v>6228.56</v>
      </c>
      <c r="Q43" s="2"/>
      <c r="R43" s="19">
        <f t="shared" si="13"/>
        <v>8.9025443279475616E-3</v>
      </c>
      <c r="S43" s="2"/>
      <c r="T43" s="2">
        <v>3368</v>
      </c>
      <c r="U43" s="2"/>
      <c r="V43" s="19">
        <f t="shared" si="14"/>
        <v>3.8630388923483806E-3</v>
      </c>
      <c r="W43" s="2"/>
      <c r="X43" s="2">
        <f t="shared" si="15"/>
        <v>2860.5600000000004</v>
      </c>
      <c r="Y43" s="2"/>
      <c r="Z43" s="19">
        <f t="shared" si="16"/>
        <v>0.84933491686460816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21649.96</v>
      </c>
      <c r="E44" s="2"/>
      <c r="F44" s="19">
        <f t="shared" si="9"/>
        <v>4.4033418110870526E-2</v>
      </c>
      <c r="G44" s="2"/>
      <c r="H44" s="2">
        <v>2779.81</v>
      </c>
      <c r="I44" s="2"/>
      <c r="J44" s="19">
        <f t="shared" si="10"/>
        <v>5.5428241343082199E-3</v>
      </c>
      <c r="K44" s="2"/>
      <c r="L44" s="2">
        <f t="shared" si="11"/>
        <v>18870.149999999998</v>
      </c>
      <c r="M44" s="2"/>
      <c r="N44" s="19">
        <f t="shared" si="12"/>
        <v>6.7882876887269266</v>
      </c>
      <c r="O44" s="11"/>
      <c r="P44" s="2">
        <v>21737.21</v>
      </c>
      <c r="Q44" s="2"/>
      <c r="R44" s="19">
        <f t="shared" si="13"/>
        <v>3.1069215932880957E-2</v>
      </c>
      <c r="S44" s="2"/>
      <c r="T44" s="2">
        <v>6206.88</v>
      </c>
      <c r="U44" s="2"/>
      <c r="V44" s="19">
        <f t="shared" si="14"/>
        <v>7.1191861164309131E-3</v>
      </c>
      <c r="W44" s="2"/>
      <c r="X44" s="2">
        <f t="shared" si="15"/>
        <v>15530.329999999998</v>
      </c>
      <c r="Y44" s="2"/>
      <c r="Z44" s="19">
        <f t="shared" si="16"/>
        <v>2.5021153945299406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/>
      <c r="I45" s="2"/>
      <c r="J45" s="19">
        <f t="shared" si="10"/>
        <v>0</v>
      </c>
      <c r="K45" s="2"/>
      <c r="L45" s="2">
        <f t="shared" si="11"/>
        <v>0</v>
      </c>
      <c r="M45" s="2"/>
      <c r="N45" s="19">
        <f t="shared" si="12"/>
        <v>0</v>
      </c>
      <c r="O45" s="11"/>
      <c r="P45" s="2"/>
      <c r="Q45" s="2"/>
      <c r="R45" s="19">
        <f t="shared" si="13"/>
        <v>0</v>
      </c>
      <c r="S45" s="2"/>
      <c r="T45" s="2">
        <v>82</v>
      </c>
      <c r="U45" s="2"/>
      <c r="V45" s="19">
        <f t="shared" si="14"/>
        <v>9.4052609611807364E-5</v>
      </c>
      <c r="W45" s="2"/>
      <c r="X45" s="2">
        <f t="shared" si="15"/>
        <v>-82</v>
      </c>
      <c r="Y45" s="2"/>
      <c r="Z45" s="19">
        <f t="shared" si="16"/>
        <v>-1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-88875.62999999999</v>
      </c>
      <c r="E46" s="2"/>
      <c r="F46" s="19">
        <f t="shared" si="9"/>
        <v>-0.18076235594232173</v>
      </c>
      <c r="G46" s="2"/>
      <c r="H46" s="2">
        <v>-352082</v>
      </c>
      <c r="I46" s="2"/>
      <c r="J46" s="19">
        <f t="shared" si="10"/>
        <v>-0.70203668842672939</v>
      </c>
      <c r="K46" s="2"/>
      <c r="L46" s="2">
        <f t="shared" si="11"/>
        <v>263206.37</v>
      </c>
      <c r="M46" s="2"/>
      <c r="N46" s="19">
        <f t="shared" si="12"/>
        <v>-0.74757121920461711</v>
      </c>
      <c r="O46" s="11"/>
      <c r="P46" s="2">
        <v>-315932.40000000002</v>
      </c>
      <c r="Q46" s="2"/>
      <c r="R46" s="19">
        <f t="shared" si="13"/>
        <v>-0.45156540125403954</v>
      </c>
      <c r="S46" s="2"/>
      <c r="T46" s="2">
        <v>-785522</v>
      </c>
      <c r="U46" s="2"/>
      <c r="V46" s="19">
        <f t="shared" si="14"/>
        <v>-0.90098041472544077</v>
      </c>
      <c r="W46" s="2"/>
      <c r="X46" s="2">
        <f t="shared" si="15"/>
        <v>469589.6</v>
      </c>
      <c r="Y46" s="2"/>
      <c r="Z46" s="19">
        <f t="shared" si="16"/>
        <v>-0.5978057902897691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478464</v>
      </c>
      <c r="E47" s="2"/>
      <c r="F47" s="19">
        <f t="shared" si="9"/>
        <v>0.97313830432017234</v>
      </c>
      <c r="G47" s="2"/>
      <c r="H47" s="2">
        <v>455074</v>
      </c>
      <c r="I47" s="2"/>
      <c r="J47" s="19">
        <f t="shared" si="10"/>
        <v>0.90739840136418637</v>
      </c>
      <c r="K47" s="2"/>
      <c r="L47" s="2">
        <f t="shared" si="11"/>
        <v>23390</v>
      </c>
      <c r="M47" s="2"/>
      <c r="N47" s="19">
        <f t="shared" si="12"/>
        <v>5.1398234133349742E-2</v>
      </c>
      <c r="O47" s="11"/>
      <c r="P47" s="2">
        <v>662420</v>
      </c>
      <c r="Q47" s="2"/>
      <c r="R47" s="19">
        <f t="shared" si="13"/>
        <v>0.94680366147536887</v>
      </c>
      <c r="S47" s="2"/>
      <c r="T47" s="2">
        <v>797394</v>
      </c>
      <c r="U47" s="2"/>
      <c r="V47" s="19">
        <f t="shared" si="14"/>
        <v>0.91459739742435997</v>
      </c>
      <c r="W47" s="2"/>
      <c r="X47" s="2">
        <f t="shared" si="15"/>
        <v>-134974</v>
      </c>
      <c r="Y47" s="2"/>
      <c r="Z47" s="19">
        <f t="shared" si="16"/>
        <v>-0.16926889342031667</v>
      </c>
    </row>
    <row r="48" spans="1:26" s="24" customFormat="1" hidden="1" outlineLevel="1" x14ac:dyDescent="0.25">
      <c r="A48" s="44"/>
      <c r="B48" s="11" t="str">
        <f>CONCATENATE("          ", "5583", " - ", "FREIGHT-IN-COMPUTER EQUIPMENT")</f>
        <v xml:space="preserve">          5583 - FREIGHT-IN-COMPUTER EQUIPMENT</v>
      </c>
      <c r="C48" s="11"/>
      <c r="D48" s="2"/>
      <c r="E48" s="2"/>
      <c r="F48" s="19">
        <f t="shared" si="9"/>
        <v>0</v>
      </c>
      <c r="G48" s="2"/>
      <c r="H48" s="2">
        <v>26.15</v>
      </c>
      <c r="I48" s="2"/>
      <c r="J48" s="19">
        <f t="shared" si="10"/>
        <v>5.2141999313679692E-5</v>
      </c>
      <c r="K48" s="2"/>
      <c r="L48" s="2">
        <f t="shared" si="11"/>
        <v>-26.15</v>
      </c>
      <c r="M48" s="2"/>
      <c r="N48" s="19">
        <f t="shared" si="12"/>
        <v>-1</v>
      </c>
      <c r="O48" s="11"/>
      <c r="P48" s="2">
        <v>17.39</v>
      </c>
      <c r="Q48" s="2"/>
      <c r="R48" s="19">
        <f t="shared" si="13"/>
        <v>2.4855704346270742E-5</v>
      </c>
      <c r="S48" s="2"/>
      <c r="T48" s="2">
        <v>33.14</v>
      </c>
      <c r="U48" s="2"/>
      <c r="V48" s="19">
        <f t="shared" si="14"/>
        <v>3.8011018079698734E-5</v>
      </c>
      <c r="W48" s="2"/>
      <c r="X48" s="2">
        <f t="shared" si="15"/>
        <v>-15.75</v>
      </c>
      <c r="Y48" s="2"/>
      <c r="Z48" s="19">
        <f t="shared" si="16"/>
        <v>-0.4752564876282438</v>
      </c>
    </row>
    <row r="49" spans="1:26" s="24" customFormat="1" hidden="1" outlineLevel="1" x14ac:dyDescent="0.25">
      <c r="A49" s="44"/>
      <c r="B49" s="11" t="str">
        <f>CONCATENATE("          ", "5586", " - ", "FREIGHT-IN-COMPUTER SUPPLIES")</f>
        <v xml:space="preserve">          5586 - FREIGHT-IN-COMPUTER SUPPLIES</v>
      </c>
      <c r="C49" s="11"/>
      <c r="D49" s="2">
        <v>24.12</v>
      </c>
      <c r="E49" s="2"/>
      <c r="F49" s="19">
        <f t="shared" si="9"/>
        <v>4.905718277697498E-5</v>
      </c>
      <c r="G49" s="2"/>
      <c r="H49" s="2">
        <v>7.36</v>
      </c>
      <c r="I49" s="2"/>
      <c r="J49" s="19">
        <f t="shared" si="10"/>
        <v>1.4675530208362623E-5</v>
      </c>
      <c r="K49" s="2"/>
      <c r="L49" s="2">
        <f t="shared" si="11"/>
        <v>16.760000000000002</v>
      </c>
      <c r="M49" s="2"/>
      <c r="N49" s="19">
        <f t="shared" si="12"/>
        <v>2.2771739130434785</v>
      </c>
      <c r="O49" s="11"/>
      <c r="P49" s="2">
        <v>24.12</v>
      </c>
      <c r="Q49" s="2"/>
      <c r="R49" s="19">
        <f t="shared" si="13"/>
        <v>3.4474961979991395E-5</v>
      </c>
      <c r="S49" s="2"/>
      <c r="T49" s="2">
        <v>37.03</v>
      </c>
      <c r="U49" s="2"/>
      <c r="V49" s="19">
        <f t="shared" si="14"/>
        <v>4.247278212103935E-5</v>
      </c>
      <c r="W49" s="2"/>
      <c r="X49" s="2">
        <f t="shared" si="15"/>
        <v>-12.91</v>
      </c>
      <c r="Y49" s="2"/>
      <c r="Z49" s="19">
        <f t="shared" si="16"/>
        <v>-0.34863624088576828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6" t="s">
        <v>6</v>
      </c>
      <c r="C51" s="26"/>
      <c r="D51" s="22">
        <f>D12-D38</f>
        <v>13207.120000000054</v>
      </c>
      <c r="E51" s="13"/>
      <c r="F51" s="21">
        <f>IF(D$12=0,0,D51/D$12)</f>
        <v>2.6861695679827709E-2</v>
      </c>
      <c r="G51" s="13"/>
      <c r="H51" s="22">
        <f>H12-H38</f>
        <v>46440.219999999914</v>
      </c>
      <c r="I51" s="13"/>
      <c r="J51" s="21">
        <f>IF(H$12=0,0,H51/H$12)</f>
        <v>9.2599843952853908E-2</v>
      </c>
      <c r="K51" s="16"/>
      <c r="L51" s="22">
        <f>+D51-H51</f>
        <v>-33233.09999999986</v>
      </c>
      <c r="M51" s="16"/>
      <c r="N51" s="21">
        <f>IF(H51=0,0,L51/H51)</f>
        <v>-0.71561030503300638</v>
      </c>
      <c r="O51" s="25"/>
      <c r="P51" s="22">
        <f>P12-P38</f>
        <v>37218.190000000177</v>
      </c>
      <c r="Q51" s="13"/>
      <c r="R51" s="21">
        <f>IF(P$12=0,0,P51/P$12)</f>
        <v>5.3196338524631091E-2</v>
      </c>
      <c r="S51" s="13"/>
      <c r="T51" s="22">
        <f>T12-T38</f>
        <v>74457.400000000023</v>
      </c>
      <c r="U51" s="13"/>
      <c r="V51" s="21">
        <f>IF(T$12=0,0,T51/T$12)</f>
        <v>8.5401375303782778E-2</v>
      </c>
      <c r="W51" s="16"/>
      <c r="X51" s="22">
        <f>+P51-T51</f>
        <v>-37239.209999999846</v>
      </c>
      <c r="Y51" s="16"/>
      <c r="Z51" s="21">
        <f>IF(T51=0,0,X51/T51)</f>
        <v>-0.50014115453937202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5" t="s">
        <v>9</v>
      </c>
      <c r="C53" s="10"/>
      <c r="D53" s="20">
        <f>SUM(OSRRefD22x_0)</f>
        <v>15135.81</v>
      </c>
      <c r="E53" s="20"/>
      <c r="F53" s="35">
        <f t="shared" ref="F53:F63" si="17">IF(D$12=0,0,D53/D$12)</f>
        <v>3.0784419471292106E-2</v>
      </c>
      <c r="G53" s="20"/>
      <c r="H53" s="20">
        <f>SUM(OSRRefH22x_0)</f>
        <v>64865.639999999992</v>
      </c>
      <c r="I53" s="20"/>
      <c r="J53" s="35">
        <f t="shared" ref="J53:J63" si="18">IF(H$12=0,0,H53/H$12)</f>
        <v>0.12933935588380091</v>
      </c>
      <c r="K53" s="4"/>
      <c r="L53" s="20">
        <f t="shared" ref="L53:L63" si="19">+D53-H53</f>
        <v>-49729.829999999994</v>
      </c>
      <c r="M53" s="4"/>
      <c r="N53" s="35">
        <f t="shared" ref="N53:N63" si="20">IF(H53=0,0,L53/H53)</f>
        <v>-0.7666590509243415</v>
      </c>
      <c r="O53" s="10"/>
      <c r="P53" s="20">
        <f>SUM(OSRRefP22x_0)</f>
        <v>26915.47</v>
      </c>
      <c r="Q53" s="20"/>
      <c r="R53" s="35">
        <f t="shared" ref="R53:R63" si="21">IF(P$12=0,0,P53/P$12)</f>
        <v>3.8470555759684867E-2</v>
      </c>
      <c r="S53" s="20"/>
      <c r="T53" s="20">
        <f>SUM(OSRRefT22x_0)</f>
        <v>89894.57</v>
      </c>
      <c r="U53" s="20"/>
      <c r="V53" s="35">
        <f t="shared" ref="V53:V63" si="22">IF(T$12=0,0,T53/T$12)</f>
        <v>0.10310754754184501</v>
      </c>
      <c r="W53" s="4"/>
      <c r="X53" s="20">
        <f t="shared" ref="X53:X63" si="23">+P53-T53</f>
        <v>-62979.100000000006</v>
      </c>
      <c r="Y53" s="4"/>
      <c r="Z53" s="35">
        <f t="shared" ref="Z53:Z63" si="24">IF(T53=0,0,X53/T53)</f>
        <v>-0.70058847825847548</v>
      </c>
    </row>
    <row r="54" spans="1:26" s="28" customFormat="1" outlineLevel="1" collapsed="1" x14ac:dyDescent="0.25">
      <c r="A54" s="27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2843.1500000000005</v>
      </c>
      <c r="E54" s="1"/>
      <c r="F54" s="5">
        <f t="shared" si="17"/>
        <v>5.7826255892353415E-3</v>
      </c>
      <c r="G54" s="1"/>
      <c r="H54" s="1">
        <f>SUM(OSRRefH22_0x_0)</f>
        <v>2410.7799999999997</v>
      </c>
      <c r="I54" s="1"/>
      <c r="J54" s="5">
        <f t="shared" si="18"/>
        <v>4.8069938472440812E-3</v>
      </c>
      <c r="K54" s="1"/>
      <c r="L54" s="1">
        <f t="shared" si="19"/>
        <v>432.3700000000008</v>
      </c>
      <c r="M54" s="1"/>
      <c r="N54" s="5">
        <f t="shared" si="20"/>
        <v>0.17934859257169913</v>
      </c>
      <c r="O54" s="14"/>
      <c r="P54" s="1">
        <f>SUM(OSRRefP22_0x_0)</f>
        <v>5571.5200000000013</v>
      </c>
      <c r="Q54" s="1"/>
      <c r="R54" s="5">
        <f t="shared" si="21"/>
        <v>7.963430355338379E-3</v>
      </c>
      <c r="S54" s="1"/>
      <c r="T54" s="1">
        <f>SUM(OSRRefT22_0x_0)</f>
        <v>5129.54</v>
      </c>
      <c r="U54" s="1"/>
      <c r="V54" s="5">
        <f t="shared" si="22"/>
        <v>5.8834954037579306E-3</v>
      </c>
      <c r="W54" s="1"/>
      <c r="X54" s="1">
        <f t="shared" si="23"/>
        <v>441.98000000000138</v>
      </c>
      <c r="Y54" s="1"/>
      <c r="Z54" s="5">
        <f t="shared" si="24"/>
        <v>8.6163671596283756E-2</v>
      </c>
    </row>
    <row r="55" spans="1:26" s="24" customFormat="1" hidden="1" outlineLevel="2" x14ac:dyDescent="0.25">
      <c r="A55" s="29"/>
      <c r="B55" s="11" t="str">
        <f>CONCATENATE("          ", "6111", " - ", "F.I.C.A.")</f>
        <v xml:space="preserve">          6111 - F.I.C.A.</v>
      </c>
      <c r="C55" s="11"/>
      <c r="D55" s="7">
        <v>618.58000000000004</v>
      </c>
      <c r="E55" s="2"/>
      <c r="F55" s="6">
        <f t="shared" si="17"/>
        <v>1.2581174180008783E-3</v>
      </c>
      <c r="G55" s="2"/>
      <c r="H55" s="7">
        <v>577.69000000000005</v>
      </c>
      <c r="I55" s="2"/>
      <c r="J55" s="6">
        <f t="shared" si="18"/>
        <v>1.1518895443028538E-3</v>
      </c>
      <c r="K55" s="2"/>
      <c r="L55" s="7">
        <f t="shared" si="19"/>
        <v>40.889999999999986</v>
      </c>
      <c r="M55" s="2"/>
      <c r="N55" s="6">
        <f t="shared" si="20"/>
        <v>7.0781907251293921E-2</v>
      </c>
      <c r="O55" s="11"/>
      <c r="P55" s="7">
        <v>1038.3800000000001</v>
      </c>
      <c r="Q55" s="2"/>
      <c r="R55" s="6">
        <f t="shared" si="21"/>
        <v>1.484167123581404E-3</v>
      </c>
      <c r="S55" s="2"/>
      <c r="T55" s="7">
        <v>1075.54</v>
      </c>
      <c r="U55" s="2"/>
      <c r="V55" s="6">
        <f t="shared" si="22"/>
        <v>1.2336261431936987E-3</v>
      </c>
      <c r="W55" s="2"/>
      <c r="X55" s="7">
        <f t="shared" si="23"/>
        <v>-37.159999999999854</v>
      </c>
      <c r="Y55" s="2"/>
      <c r="Z55" s="6">
        <f t="shared" si="24"/>
        <v>-3.455008646819259E-2</v>
      </c>
    </row>
    <row r="56" spans="1:26" s="24" customFormat="1" hidden="1" outlineLevel="2" x14ac:dyDescent="0.25">
      <c r="A56" s="29"/>
      <c r="B56" s="11" t="str">
        <f>CONCATENATE("          ", "6112", " - ", "COMPENSATION INSURANCE")</f>
        <v xml:space="preserve">          6112 - COMPENSATION INSURANCE</v>
      </c>
      <c r="C56" s="11"/>
      <c r="D56" s="7">
        <v>90.86</v>
      </c>
      <c r="E56" s="2"/>
      <c r="F56" s="6">
        <f t="shared" si="17"/>
        <v>1.8479832616566941E-4</v>
      </c>
      <c r="G56" s="2"/>
      <c r="H56" s="7">
        <v>133.99</v>
      </c>
      <c r="I56" s="2"/>
      <c r="J56" s="6">
        <f t="shared" si="18"/>
        <v>2.6717042019273207E-4</v>
      </c>
      <c r="K56" s="2"/>
      <c r="L56" s="7">
        <f t="shared" si="19"/>
        <v>-43.13000000000001</v>
      </c>
      <c r="M56" s="2"/>
      <c r="N56" s="6">
        <f t="shared" si="20"/>
        <v>-0.32188969326069117</v>
      </c>
      <c r="O56" s="11"/>
      <c r="P56" s="7">
        <v>143.91</v>
      </c>
      <c r="Q56" s="2"/>
      <c r="R56" s="6">
        <f t="shared" si="21"/>
        <v>2.0569203061942626E-4</v>
      </c>
      <c r="S56" s="2"/>
      <c r="T56" s="7">
        <v>257.64</v>
      </c>
      <c r="U56" s="2"/>
      <c r="V56" s="6">
        <f t="shared" si="22"/>
        <v>2.9550871146812252E-4</v>
      </c>
      <c r="W56" s="2"/>
      <c r="X56" s="7">
        <f t="shared" si="23"/>
        <v>-113.72999999999999</v>
      </c>
      <c r="Y56" s="2"/>
      <c r="Z56" s="6">
        <f t="shared" si="24"/>
        <v>-0.44142990218910105</v>
      </c>
    </row>
    <row r="57" spans="1:26" s="24" customFormat="1" hidden="1" outlineLevel="2" x14ac:dyDescent="0.25">
      <c r="A57" s="29"/>
      <c r="B57" s="11" t="str">
        <f>CONCATENATE("          ", "6113", " - ", "GROUP INSURANCE")</f>
        <v xml:space="preserve">          6113 - GROUP INSURANCE</v>
      </c>
      <c r="C57" s="11"/>
      <c r="D57" s="7">
        <v>1035.69</v>
      </c>
      <c r="E57" s="2"/>
      <c r="F57" s="6">
        <f t="shared" si="17"/>
        <v>2.106469055981974E-3</v>
      </c>
      <c r="G57" s="2"/>
      <c r="H57" s="7">
        <v>964.88</v>
      </c>
      <c r="I57" s="2"/>
      <c r="J57" s="6">
        <f t="shared" si="18"/>
        <v>1.9239301069897997E-3</v>
      </c>
      <c r="K57" s="2"/>
      <c r="L57" s="7">
        <f t="shared" si="19"/>
        <v>70.810000000000059</v>
      </c>
      <c r="M57" s="2"/>
      <c r="N57" s="6">
        <f t="shared" si="20"/>
        <v>7.3387364231821642E-2</v>
      </c>
      <c r="O57" s="11"/>
      <c r="P57" s="7">
        <v>2071.38</v>
      </c>
      <c r="Q57" s="2"/>
      <c r="R57" s="6">
        <f t="shared" si="21"/>
        <v>2.9606445582966243E-3</v>
      </c>
      <c r="S57" s="2"/>
      <c r="T57" s="7">
        <v>1929.76</v>
      </c>
      <c r="U57" s="2"/>
      <c r="V57" s="6">
        <f t="shared" si="22"/>
        <v>2.2134019990790411E-3</v>
      </c>
      <c r="W57" s="2"/>
      <c r="X57" s="7">
        <f t="shared" si="23"/>
        <v>141.62000000000012</v>
      </c>
      <c r="Y57" s="2"/>
      <c r="Z57" s="6">
        <f t="shared" si="24"/>
        <v>7.3387364231821642E-2</v>
      </c>
    </row>
    <row r="58" spans="1:26" s="24" customFormat="1" hidden="1" outlineLevel="2" x14ac:dyDescent="0.25">
      <c r="A58" s="29"/>
      <c r="B58" s="11" t="str">
        <f>CONCATENATE("          ", "6114", " - ", "STATE UNEMPLOYMENT INSURANCE")</f>
        <v xml:space="preserve">          6114 - STATE UNEMPLOYMENT INSURANCE</v>
      </c>
      <c r="C58" s="11"/>
      <c r="D58" s="7">
        <v>20.47</v>
      </c>
      <c r="E58" s="2"/>
      <c r="F58" s="6">
        <f t="shared" si="17"/>
        <v>4.1633521204174037E-5</v>
      </c>
      <c r="G58" s="2"/>
      <c r="H58" s="7">
        <v>18.34</v>
      </c>
      <c r="I58" s="2"/>
      <c r="J58" s="6">
        <f t="shared" si="18"/>
        <v>3.656918804638186E-5</v>
      </c>
      <c r="K58" s="2"/>
      <c r="L58" s="7">
        <f t="shared" si="19"/>
        <v>2.129999999999999</v>
      </c>
      <c r="M58" s="2"/>
      <c r="N58" s="6">
        <f t="shared" si="20"/>
        <v>0.11613958560523441</v>
      </c>
      <c r="O58" s="11"/>
      <c r="P58" s="7">
        <v>34.93</v>
      </c>
      <c r="Q58" s="2"/>
      <c r="R58" s="6">
        <f t="shared" si="21"/>
        <v>4.9925805222267797E-5</v>
      </c>
      <c r="S58" s="2"/>
      <c r="T58" s="7">
        <v>35.26</v>
      </c>
      <c r="U58" s="2"/>
      <c r="V58" s="6">
        <f t="shared" si="22"/>
        <v>4.0442622133077162E-5</v>
      </c>
      <c r="W58" s="2"/>
      <c r="X58" s="7">
        <f t="shared" si="23"/>
        <v>-0.32999999999999829</v>
      </c>
      <c r="Y58" s="2"/>
      <c r="Z58" s="6">
        <f t="shared" si="24"/>
        <v>-9.3590470788428338E-3</v>
      </c>
    </row>
    <row r="59" spans="1:26" s="24" customFormat="1" hidden="1" outlineLevel="2" x14ac:dyDescent="0.25">
      <c r="A59" s="29"/>
      <c r="B59" s="11" t="str">
        <f>CONCATENATE("          ", "6115", " - ", "P.E.R.S.")</f>
        <v xml:space="preserve">          6115 - P.E.R.S.</v>
      </c>
      <c r="C59" s="11"/>
      <c r="D59" s="7">
        <v>176.42</v>
      </c>
      <c r="E59" s="2"/>
      <c r="F59" s="6">
        <f t="shared" si="17"/>
        <v>3.5881708895165528E-4</v>
      </c>
      <c r="G59" s="2"/>
      <c r="H59" s="7">
        <v>183.4</v>
      </c>
      <c r="I59" s="2"/>
      <c r="J59" s="6">
        <f t="shared" si="18"/>
        <v>3.6569188046381863E-4</v>
      </c>
      <c r="K59" s="2"/>
      <c r="L59" s="7">
        <f t="shared" si="19"/>
        <v>-6.9800000000000182</v>
      </c>
      <c r="M59" s="2"/>
      <c r="N59" s="6">
        <f t="shared" si="20"/>
        <v>-3.8058887677208386E-2</v>
      </c>
      <c r="O59" s="11"/>
      <c r="P59" s="7">
        <v>441.05</v>
      </c>
      <c r="Q59" s="2"/>
      <c r="R59" s="6">
        <f t="shared" si="21"/>
        <v>6.3039726290527382E-4</v>
      </c>
      <c r="S59" s="2"/>
      <c r="T59" s="7">
        <v>366.8</v>
      </c>
      <c r="U59" s="2"/>
      <c r="V59" s="6">
        <f t="shared" si="22"/>
        <v>4.2071338055623103E-4</v>
      </c>
      <c r="W59" s="2"/>
      <c r="X59" s="7">
        <f t="shared" si="23"/>
        <v>74.25</v>
      </c>
      <c r="Y59" s="2"/>
      <c r="Z59" s="6">
        <f t="shared" si="24"/>
        <v>0.20242639040348964</v>
      </c>
    </row>
    <row r="60" spans="1:26" s="24" customFormat="1" hidden="1" outlineLevel="2" x14ac:dyDescent="0.25">
      <c r="A60" s="29"/>
      <c r="B60" s="11" t="str">
        <f>CONCATENATE("          ", "6117", " - ", "RETIREMENT STAFF HOURLY")</f>
        <v xml:space="preserve">          6117 - RETIREMENT STAFF HOURLY</v>
      </c>
      <c r="C60" s="11"/>
      <c r="D60" s="7">
        <v>190.54</v>
      </c>
      <c r="E60" s="2"/>
      <c r="F60" s="6">
        <f t="shared" si="17"/>
        <v>3.8753547289903861E-4</v>
      </c>
      <c r="G60" s="2"/>
      <c r="H60" s="7">
        <v>110.86</v>
      </c>
      <c r="I60" s="2"/>
      <c r="J60" s="6">
        <f t="shared" si="18"/>
        <v>2.2105017376346199E-4</v>
      </c>
      <c r="K60" s="2"/>
      <c r="L60" s="7">
        <f t="shared" si="19"/>
        <v>79.679999999999993</v>
      </c>
      <c r="M60" s="2"/>
      <c r="N60" s="6">
        <f t="shared" si="20"/>
        <v>0.71874436225870464</v>
      </c>
      <c r="O60" s="11"/>
      <c r="P60" s="7">
        <v>438.08</v>
      </c>
      <c r="Q60" s="2"/>
      <c r="R60" s="6">
        <f t="shared" si="21"/>
        <v>6.2615221161669275E-4</v>
      </c>
      <c r="S60" s="2"/>
      <c r="T60" s="7">
        <v>250.98</v>
      </c>
      <c r="U60" s="2"/>
      <c r="V60" s="6">
        <f t="shared" si="22"/>
        <v>2.8786980439477329E-4</v>
      </c>
      <c r="W60" s="2"/>
      <c r="X60" s="7">
        <f t="shared" si="23"/>
        <v>187.1</v>
      </c>
      <c r="Y60" s="2"/>
      <c r="Z60" s="6">
        <f t="shared" si="24"/>
        <v>0.7454777273089489</v>
      </c>
    </row>
    <row r="61" spans="1:26" s="24" customFormat="1" hidden="1" outlineLevel="2" x14ac:dyDescent="0.25">
      <c r="A61" s="29"/>
      <c r="B61" s="11" t="str">
        <f>CONCATENATE("          ", "6118", " - ", "VACATION")</f>
        <v xml:space="preserve">          6118 - VACATION</v>
      </c>
      <c r="C61" s="11"/>
      <c r="D61" s="7">
        <v>257.8</v>
      </c>
      <c r="E61" s="2"/>
      <c r="F61" s="6">
        <f t="shared" si="17"/>
        <v>5.2433423382687193E-4</v>
      </c>
      <c r="G61" s="2"/>
      <c r="H61" s="7">
        <v>151.31</v>
      </c>
      <c r="I61" s="2"/>
      <c r="J61" s="6">
        <f t="shared" si="18"/>
        <v>3.0170577117219407E-4</v>
      </c>
      <c r="K61" s="2"/>
      <c r="L61" s="7">
        <f t="shared" si="19"/>
        <v>106.49000000000001</v>
      </c>
      <c r="M61" s="2"/>
      <c r="N61" s="6">
        <f t="shared" si="20"/>
        <v>0.70378692749983485</v>
      </c>
      <c r="O61" s="11"/>
      <c r="P61" s="7">
        <v>515.6</v>
      </c>
      <c r="Q61" s="2"/>
      <c r="R61" s="6">
        <f t="shared" si="21"/>
        <v>7.3695233817925221E-4</v>
      </c>
      <c r="S61" s="2"/>
      <c r="T61" s="7">
        <v>464.63</v>
      </c>
      <c r="U61" s="2"/>
      <c r="V61" s="6">
        <f t="shared" si="22"/>
        <v>5.3292273175529331E-4</v>
      </c>
      <c r="W61" s="2"/>
      <c r="X61" s="7">
        <f t="shared" si="23"/>
        <v>50.970000000000027</v>
      </c>
      <c r="Y61" s="2"/>
      <c r="Z61" s="6">
        <f t="shared" si="24"/>
        <v>0.10970019155026586</v>
      </c>
    </row>
    <row r="62" spans="1:26" s="24" customFormat="1" hidden="1" outlineLevel="2" x14ac:dyDescent="0.25">
      <c r="A62" s="29"/>
      <c r="B62" s="11" t="str">
        <f>CONCATENATE("          ", "6119", " - ", "SICK LEAVE")</f>
        <v xml:space="preserve">          6119 - SICK LEAVE</v>
      </c>
      <c r="C62" s="11"/>
      <c r="D62" s="7">
        <v>256.57</v>
      </c>
      <c r="E62" s="2"/>
      <c r="F62" s="6">
        <f t="shared" si="17"/>
        <v>5.2183256157083211E-4</v>
      </c>
      <c r="G62" s="2"/>
      <c r="H62" s="7">
        <v>121.11</v>
      </c>
      <c r="I62" s="2"/>
      <c r="J62" s="6">
        <f t="shared" si="18"/>
        <v>2.4148824232809744E-4</v>
      </c>
      <c r="K62" s="2"/>
      <c r="L62" s="7">
        <f t="shared" si="19"/>
        <v>135.45999999999998</v>
      </c>
      <c r="M62" s="2"/>
      <c r="N62" s="6">
        <f t="shared" si="20"/>
        <v>1.118487325571794</v>
      </c>
      <c r="O62" s="11"/>
      <c r="P62" s="7">
        <v>513.14</v>
      </c>
      <c r="Q62" s="2"/>
      <c r="R62" s="6">
        <f t="shared" si="21"/>
        <v>7.3343623509174052E-4</v>
      </c>
      <c r="S62" s="2"/>
      <c r="T62" s="7">
        <v>449.73</v>
      </c>
      <c r="U62" s="2"/>
      <c r="V62" s="6">
        <f t="shared" si="22"/>
        <v>5.1583268439900159E-4</v>
      </c>
      <c r="W62" s="2"/>
      <c r="X62" s="7">
        <f t="shared" si="23"/>
        <v>63.409999999999968</v>
      </c>
      <c r="Y62" s="2"/>
      <c r="Z62" s="6">
        <f t="shared" si="24"/>
        <v>0.14099570853623278</v>
      </c>
    </row>
    <row r="63" spans="1:26" s="24" customFormat="1" hidden="1" outlineLevel="2" x14ac:dyDescent="0.25">
      <c r="A63" s="29"/>
      <c r="B63" s="11" t="str">
        <f>CONCATENATE("          ", "6156", " - ", "EMPLOYEE MEALS")</f>
        <v xml:space="preserve">          6156 - EMPLOYEE MEALS</v>
      </c>
      <c r="C63" s="11"/>
      <c r="D63" s="7">
        <v>196.22</v>
      </c>
      <c r="E63" s="2"/>
      <c r="F63" s="6">
        <f t="shared" si="17"/>
        <v>3.9908791063424668E-4</v>
      </c>
      <c r="G63" s="2"/>
      <c r="H63" s="7">
        <v>149.19999999999999</v>
      </c>
      <c r="I63" s="2"/>
      <c r="J63" s="6">
        <f t="shared" si="18"/>
        <v>2.9749851998474227E-4</v>
      </c>
      <c r="K63" s="2"/>
      <c r="L63" s="7">
        <f t="shared" si="19"/>
        <v>47.02000000000001</v>
      </c>
      <c r="M63" s="2"/>
      <c r="N63" s="6">
        <f t="shared" si="20"/>
        <v>0.31514745308310999</v>
      </c>
      <c r="O63" s="11"/>
      <c r="P63" s="7">
        <v>375.05</v>
      </c>
      <c r="Q63" s="2"/>
      <c r="R63" s="6">
        <f t="shared" si="21"/>
        <v>5.3606278982569532E-4</v>
      </c>
      <c r="S63" s="2"/>
      <c r="T63" s="7">
        <v>299.2</v>
      </c>
      <c r="U63" s="2"/>
      <c r="V63" s="6">
        <f t="shared" si="22"/>
        <v>3.4317732677869222E-4</v>
      </c>
      <c r="W63" s="2"/>
      <c r="X63" s="7">
        <f t="shared" si="23"/>
        <v>75.850000000000023</v>
      </c>
      <c r="Y63" s="2"/>
      <c r="Z63" s="6">
        <f t="shared" si="24"/>
        <v>0.25350935828877014</v>
      </c>
    </row>
    <row r="64" spans="1:26" s="28" customFormat="1" outlineLevel="1" collapsed="1" x14ac:dyDescent="0.25">
      <c r="A64" s="27"/>
      <c r="B64" s="14" t="str">
        <f>CONCATENATE("     ","*Payroll                                          ")</f>
        <v xml:space="preserve">     *Payroll                                          </v>
      </c>
      <c r="C64" s="14"/>
      <c r="D64" s="1">
        <f>SUM(OSRRefD22_1x_0)</f>
        <v>9389.67</v>
      </c>
      <c r="E64" s="1"/>
      <c r="F64" s="5">
        <f t="shared" ref="F64:F69" si="25">IF(D$12=0,0,D64/D$12)</f>
        <v>1.9097460920625153E-2</v>
      </c>
      <c r="G64" s="1"/>
      <c r="H64" s="1">
        <f>SUM(OSRRefH22_1x_0)</f>
        <v>9374.5400000000009</v>
      </c>
      <c r="I64" s="1"/>
      <c r="J64" s="5">
        <f t="shared" ref="J64:J69" si="26">IF(H$12=0,0,H64/H$12)</f>
        <v>1.8692438173845617E-2</v>
      </c>
      <c r="K64" s="1"/>
      <c r="L64" s="1">
        <f t="shared" ref="L64:L69" si="27">+D64-H64</f>
        <v>15.1299999999992</v>
      </c>
      <c r="M64" s="1"/>
      <c r="N64" s="5">
        <f t="shared" ref="N64:N69" si="28">IF(H64=0,0,L64/H64)</f>
        <v>1.6139458576099946E-3</v>
      </c>
      <c r="O64" s="14"/>
      <c r="P64" s="1">
        <f>SUM(OSRRefP22_1x_0)</f>
        <v>15807.490000000002</v>
      </c>
      <c r="Q64" s="1"/>
      <c r="R64" s="5">
        <f t="shared" ref="R64:R69" si="29">IF(P$12=0,0,P64/P$12)</f>
        <v>2.2593806664556144E-2</v>
      </c>
      <c r="S64" s="1"/>
      <c r="T64" s="1">
        <f>SUM(OSRRefT22_1x_0)</f>
        <v>17288.080000000002</v>
      </c>
      <c r="U64" s="1"/>
      <c r="V64" s="5">
        <f t="shared" ref="V64:V69" si="30">IF(T$12=0,0,T64/T$12)</f>
        <v>1.9829134624118231E-2</v>
      </c>
      <c r="W64" s="1"/>
      <c r="X64" s="1">
        <f t="shared" ref="X64:X69" si="31">+P64-T64</f>
        <v>-1480.5900000000001</v>
      </c>
      <c r="Y64" s="1"/>
      <c r="Z64" s="5">
        <f t="shared" ref="Z64:Z69" si="32">IF(T64=0,0,X64/T64)</f>
        <v>-8.5642245986830234E-2</v>
      </c>
    </row>
    <row r="65" spans="1:26" s="24" customFormat="1" hidden="1" outlineLevel="2" x14ac:dyDescent="0.25">
      <c r="A65" s="29"/>
      <c r="B65" s="11" t="str">
        <f>CONCATENATE("          ", "6002", " - ", "STAFF SALARIES")</f>
        <v xml:space="preserve">          6002 - STAFF SALARIES</v>
      </c>
      <c r="C65" s="11"/>
      <c r="D65" s="7">
        <v>2054.0700000000002</v>
      </c>
      <c r="E65" s="2"/>
      <c r="F65" s="6">
        <f t="shared" si="25"/>
        <v>4.1777316511899254E-3</v>
      </c>
      <c r="G65" s="2"/>
      <c r="H65" s="7">
        <v>2624.68</v>
      </c>
      <c r="I65" s="2"/>
      <c r="J65" s="6">
        <f t="shared" si="26"/>
        <v>5.2335014439246199E-3</v>
      </c>
      <c r="K65" s="2"/>
      <c r="L65" s="7">
        <f t="shared" si="27"/>
        <v>-570.60999999999967</v>
      </c>
      <c r="M65" s="2"/>
      <c r="N65" s="6">
        <f t="shared" si="28"/>
        <v>-0.21740174040263946</v>
      </c>
      <c r="O65" s="11"/>
      <c r="P65" s="7">
        <v>4679.1400000000003</v>
      </c>
      <c r="Q65" s="2"/>
      <c r="R65" s="6">
        <f t="shared" si="29"/>
        <v>6.6879425206905858E-3</v>
      </c>
      <c r="S65" s="2"/>
      <c r="T65" s="7">
        <v>5776.08</v>
      </c>
      <c r="U65" s="2"/>
      <c r="V65" s="6">
        <f t="shared" si="30"/>
        <v>6.6250658210557107E-3</v>
      </c>
      <c r="W65" s="2"/>
      <c r="X65" s="7">
        <f t="shared" si="31"/>
        <v>-1096.9399999999996</v>
      </c>
      <c r="Y65" s="2"/>
      <c r="Z65" s="6">
        <f t="shared" si="32"/>
        <v>-0.18991080455949358</v>
      </c>
    </row>
    <row r="66" spans="1:26" s="24" customFormat="1" hidden="1" outlineLevel="2" x14ac:dyDescent="0.25">
      <c r="A66" s="29"/>
      <c r="B66" s="11" t="str">
        <f>CONCATENATE("          ", "6004", " - ", "STAFF HOURLY")</f>
        <v xml:space="preserve">          6004 - STAFF HOURLY</v>
      </c>
      <c r="C66" s="11"/>
      <c r="D66" s="7">
        <v>3810.96</v>
      </c>
      <c r="E66" s="2"/>
      <c r="F66" s="6">
        <f t="shared" si="25"/>
        <v>7.7510348787620462E-3</v>
      </c>
      <c r="G66" s="2"/>
      <c r="H66" s="7"/>
      <c r="I66" s="2"/>
      <c r="J66" s="6">
        <f t="shared" si="26"/>
        <v>0</v>
      </c>
      <c r="K66" s="2"/>
      <c r="L66" s="7">
        <f t="shared" si="27"/>
        <v>3810.96</v>
      </c>
      <c r="M66" s="2"/>
      <c r="N66" s="6">
        <f t="shared" si="28"/>
        <v>0</v>
      </c>
      <c r="O66" s="11"/>
      <c r="P66" s="7">
        <v>6834.71</v>
      </c>
      <c r="Q66" s="2"/>
      <c r="R66" s="6">
        <f t="shared" si="29"/>
        <v>9.7689207045715994E-3</v>
      </c>
      <c r="S66" s="2"/>
      <c r="T66" s="7"/>
      <c r="U66" s="2"/>
      <c r="V66" s="6">
        <f t="shared" si="30"/>
        <v>0</v>
      </c>
      <c r="W66" s="2"/>
      <c r="X66" s="7">
        <f t="shared" si="31"/>
        <v>6834.71</v>
      </c>
      <c r="Y66" s="2"/>
      <c r="Z66" s="6">
        <f t="shared" si="32"/>
        <v>0</v>
      </c>
    </row>
    <row r="67" spans="1:26" s="24" customFormat="1" hidden="1" outlineLevel="2" x14ac:dyDescent="0.25">
      <c r="A67" s="29"/>
      <c r="B67" s="11" t="str">
        <f>CONCATENATE("          ", "6005", " - ", "TEMPORARY WAGES-HOURLY")</f>
        <v xml:space="preserve">          6005 - TEMPORARY WAGES-HOURLY</v>
      </c>
      <c r="C67" s="11"/>
      <c r="D67" s="7"/>
      <c r="E67" s="2"/>
      <c r="F67" s="6">
        <f t="shared" si="25"/>
        <v>0</v>
      </c>
      <c r="G67" s="2"/>
      <c r="H67" s="7">
        <v>2707.17</v>
      </c>
      <c r="I67" s="2"/>
      <c r="J67" s="6">
        <f t="shared" si="26"/>
        <v>5.3979830318169894E-3</v>
      </c>
      <c r="K67" s="2"/>
      <c r="L67" s="7">
        <f t="shared" si="27"/>
        <v>-2707.17</v>
      </c>
      <c r="M67" s="2"/>
      <c r="N67" s="6">
        <f t="shared" si="28"/>
        <v>-1</v>
      </c>
      <c r="O67" s="11"/>
      <c r="P67" s="7"/>
      <c r="Q67" s="2"/>
      <c r="R67" s="6">
        <f t="shared" si="29"/>
        <v>0</v>
      </c>
      <c r="S67" s="2"/>
      <c r="T67" s="7">
        <v>5140.87</v>
      </c>
      <c r="U67" s="2"/>
      <c r="V67" s="6">
        <f t="shared" si="30"/>
        <v>5.8964907216469773E-3</v>
      </c>
      <c r="W67" s="2"/>
      <c r="X67" s="7">
        <f t="shared" si="31"/>
        <v>-5140.87</v>
      </c>
      <c r="Y67" s="2"/>
      <c r="Z67" s="6">
        <f t="shared" si="32"/>
        <v>-1</v>
      </c>
    </row>
    <row r="68" spans="1:26" s="24" customFormat="1" hidden="1" outlineLevel="2" x14ac:dyDescent="0.25">
      <c r="A68" s="29"/>
      <c r="B68" s="11" t="str">
        <f>CONCATENATE("          ", "6006", " - ", "TEMPORARY PART TIME")</f>
        <v xml:space="preserve">          6006 - TEMPORARY PART TIME</v>
      </c>
      <c r="C68" s="11"/>
      <c r="D68" s="7"/>
      <c r="E68" s="2"/>
      <c r="F68" s="6">
        <f t="shared" si="25"/>
        <v>0</v>
      </c>
      <c r="G68" s="2"/>
      <c r="H68" s="7">
        <v>1503.38</v>
      </c>
      <c r="I68" s="2"/>
      <c r="J68" s="6">
        <f t="shared" si="26"/>
        <v>2.9976764408489402E-3</v>
      </c>
      <c r="K68" s="2"/>
      <c r="L68" s="7">
        <f t="shared" si="27"/>
        <v>-1503.38</v>
      </c>
      <c r="M68" s="2"/>
      <c r="N68" s="6">
        <f t="shared" si="28"/>
        <v>-1</v>
      </c>
      <c r="O68" s="11"/>
      <c r="P68" s="7"/>
      <c r="Q68" s="2"/>
      <c r="R68" s="6">
        <f t="shared" si="29"/>
        <v>0</v>
      </c>
      <c r="S68" s="2"/>
      <c r="T68" s="7">
        <v>2951.82</v>
      </c>
      <c r="U68" s="2"/>
      <c r="V68" s="6">
        <f t="shared" si="30"/>
        <v>3.3856874890771369E-3</v>
      </c>
      <c r="W68" s="2"/>
      <c r="X68" s="7">
        <f t="shared" si="31"/>
        <v>-2951.82</v>
      </c>
      <c r="Y68" s="2"/>
      <c r="Z68" s="6">
        <f t="shared" si="32"/>
        <v>-1</v>
      </c>
    </row>
    <row r="69" spans="1:26" s="24" customFormat="1" hidden="1" outlineLevel="2" x14ac:dyDescent="0.25">
      <c r="A69" s="29"/>
      <c r="B69" s="11" t="str">
        <f>CONCATENATE("          ", "6007", " - ", "STUDENT HOURLY")</f>
        <v xml:space="preserve">          6007 - STUDENT HOURLY</v>
      </c>
      <c r="C69" s="11"/>
      <c r="D69" s="7">
        <v>3524.64</v>
      </c>
      <c r="E69" s="2"/>
      <c r="F69" s="6">
        <f t="shared" si="25"/>
        <v>7.1686943906731793E-3</v>
      </c>
      <c r="G69" s="2"/>
      <c r="H69" s="7">
        <v>2539.31</v>
      </c>
      <c r="I69" s="2"/>
      <c r="J69" s="6">
        <f t="shared" si="26"/>
        <v>5.0632772572550668E-3</v>
      </c>
      <c r="K69" s="2"/>
      <c r="L69" s="7">
        <f t="shared" si="27"/>
        <v>985.32999999999993</v>
      </c>
      <c r="M69" s="2"/>
      <c r="N69" s="6">
        <f t="shared" si="28"/>
        <v>0.38803060673962608</v>
      </c>
      <c r="O69" s="11"/>
      <c r="P69" s="7">
        <v>4293.6400000000003</v>
      </c>
      <c r="Q69" s="2"/>
      <c r="R69" s="6">
        <f t="shared" si="29"/>
        <v>6.1369434392939577E-3</v>
      </c>
      <c r="S69" s="2"/>
      <c r="T69" s="7">
        <v>3419.31</v>
      </c>
      <c r="U69" s="2"/>
      <c r="V69" s="6">
        <f t="shared" si="30"/>
        <v>3.9218905923384031E-3</v>
      </c>
      <c r="W69" s="2"/>
      <c r="X69" s="7">
        <f t="shared" si="31"/>
        <v>874.33000000000038</v>
      </c>
      <c r="Y69" s="2"/>
      <c r="Z69" s="6">
        <f t="shared" si="32"/>
        <v>0.25570363611371899</v>
      </c>
    </row>
    <row r="70" spans="1:26" s="28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99.23</v>
      </c>
      <c r="E70" s="1"/>
      <c r="F70" s="5">
        <f t="shared" ref="F70:F78" si="33">IF(D$12=0,0,D70/D$12)</f>
        <v>2.0182190078603762E-4</v>
      </c>
      <c r="G70" s="1"/>
      <c r="H70" s="1">
        <f>SUM(OSRRefH22_2x_0)</f>
        <v>343.09</v>
      </c>
      <c r="I70" s="1"/>
      <c r="J70" s="5">
        <f t="shared" ref="J70:J78" si="34">IF(H$12=0,0,H70/H$12)</f>
        <v>6.8410701891129504E-4</v>
      </c>
      <c r="K70" s="1"/>
      <c r="L70" s="1">
        <f t="shared" ref="L70:L78" si="35">+D70-H70</f>
        <v>-243.85999999999996</v>
      </c>
      <c r="M70" s="1"/>
      <c r="N70" s="5">
        <f t="shared" ref="N70:N78" si="36">IF(H70=0,0,L70/H70)</f>
        <v>-0.71077559823952896</v>
      </c>
      <c r="O70" s="14"/>
      <c r="P70" s="1">
        <f>SUM(OSRRefP22_2x_0)</f>
        <v>248.88</v>
      </c>
      <c r="Q70" s="1"/>
      <c r="R70" s="5">
        <f t="shared" ref="R70:R78" si="37">IF(P$12=0,0,P70/P$12)</f>
        <v>3.5572672212190123E-4</v>
      </c>
      <c r="S70" s="1"/>
      <c r="T70" s="1">
        <f>SUM(OSRRefT22_2x_0)</f>
        <v>702.16</v>
      </c>
      <c r="U70" s="1"/>
      <c r="V70" s="5">
        <f t="shared" ref="V70:V78" si="38">IF(T$12=0,0,T70/T$12)</f>
        <v>8.0536561420764216E-4</v>
      </c>
      <c r="W70" s="1"/>
      <c r="X70" s="1">
        <f t="shared" ref="X70:X78" si="39">+P70-T70</f>
        <v>-453.28</v>
      </c>
      <c r="Y70" s="1"/>
      <c r="Z70" s="5">
        <f t="shared" ref="Z70:Z78" si="40">IF(T70=0,0,X70/T70)</f>
        <v>-0.64555087159621738</v>
      </c>
    </row>
    <row r="71" spans="1:26" s="24" customFormat="1" hidden="1" outlineLevel="2" x14ac:dyDescent="0.25">
      <c r="A71" s="29"/>
      <c r="B71" s="11" t="str">
        <f>CONCATENATE("          ", "6362", " - ", "ADVERTISING EXPENSE")</f>
        <v xml:space="preserve">          6362 - ADVERTISING EXPENSE</v>
      </c>
      <c r="C71" s="11"/>
      <c r="D71" s="7">
        <v>99.23</v>
      </c>
      <c r="E71" s="2"/>
      <c r="F71" s="6">
        <f t="shared" si="33"/>
        <v>2.0182190078603762E-4</v>
      </c>
      <c r="G71" s="2"/>
      <c r="H71" s="7">
        <v>343.09</v>
      </c>
      <c r="I71" s="2"/>
      <c r="J71" s="6">
        <f t="shared" si="34"/>
        <v>6.8410701891129504E-4</v>
      </c>
      <c r="K71" s="2"/>
      <c r="L71" s="7">
        <f t="shared" si="35"/>
        <v>-243.85999999999996</v>
      </c>
      <c r="M71" s="2"/>
      <c r="N71" s="6">
        <f t="shared" si="36"/>
        <v>-0.71077559823952896</v>
      </c>
      <c r="O71" s="11"/>
      <c r="P71" s="7">
        <v>248.88</v>
      </c>
      <c r="Q71" s="2"/>
      <c r="R71" s="6">
        <f t="shared" si="37"/>
        <v>3.5572672212190123E-4</v>
      </c>
      <c r="S71" s="2"/>
      <c r="T71" s="7">
        <v>702.16</v>
      </c>
      <c r="U71" s="2"/>
      <c r="V71" s="6">
        <f t="shared" si="38"/>
        <v>8.0536561420764216E-4</v>
      </c>
      <c r="W71" s="2"/>
      <c r="X71" s="7">
        <f t="shared" si="39"/>
        <v>-453.28</v>
      </c>
      <c r="Y71" s="2"/>
      <c r="Z71" s="6">
        <f t="shared" si="40"/>
        <v>-0.64555087159621738</v>
      </c>
    </row>
    <row r="72" spans="1:26" s="28" customFormat="1" outlineLevel="1" collapsed="1" x14ac:dyDescent="0.25">
      <c r="A72" s="27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33"/>
        <v>5.703812743770673E-4</v>
      </c>
      <c r="G72" s="1"/>
      <c r="H72" s="1">
        <f>SUM(OSRRefH22_3x_0)</f>
        <v>280.44</v>
      </c>
      <c r="I72" s="1"/>
      <c r="J72" s="5">
        <f t="shared" si="34"/>
        <v>5.5918555592842582E-4</v>
      </c>
      <c r="K72" s="1"/>
      <c r="L72" s="1">
        <f t="shared" si="35"/>
        <v>0</v>
      </c>
      <c r="M72" s="1"/>
      <c r="N72" s="5">
        <f t="shared" si="36"/>
        <v>0</v>
      </c>
      <c r="O72" s="14"/>
      <c r="P72" s="1">
        <f>SUM(OSRRefP22_3x_0)</f>
        <v>560.88</v>
      </c>
      <c r="Q72" s="1"/>
      <c r="R72" s="5">
        <f t="shared" si="37"/>
        <v>8.016715039526357E-4</v>
      </c>
      <c r="S72" s="1"/>
      <c r="T72" s="1">
        <f>SUM(OSRRefT22_3x_0)</f>
        <v>560.88</v>
      </c>
      <c r="U72" s="1"/>
      <c r="V72" s="5">
        <f t="shared" si="38"/>
        <v>6.4331984974476235E-4</v>
      </c>
      <c r="W72" s="1"/>
      <c r="X72" s="1">
        <f t="shared" si="39"/>
        <v>0</v>
      </c>
      <c r="Y72" s="1"/>
      <c r="Z72" s="5">
        <f t="shared" si="40"/>
        <v>0</v>
      </c>
    </row>
    <row r="73" spans="1:26" s="24" customFormat="1" hidden="1" outlineLevel="2" x14ac:dyDescent="0.25">
      <c r="A73" s="29"/>
      <c r="B73" s="11" t="str">
        <f>CONCATENATE("          ", "6322", " - ", "EQUIPMENT DEPRECIATION EXPENSE")</f>
        <v xml:space="preserve">          6322 - EQUIPMENT DEPRECIATION EXPENSE</v>
      </c>
      <c r="C73" s="11"/>
      <c r="D73" s="7">
        <v>280.44</v>
      </c>
      <c r="E73" s="2"/>
      <c r="F73" s="6">
        <f t="shared" si="33"/>
        <v>5.703812743770673E-4</v>
      </c>
      <c r="G73" s="2"/>
      <c r="H73" s="7">
        <v>280.44</v>
      </c>
      <c r="I73" s="2"/>
      <c r="J73" s="6">
        <f t="shared" si="34"/>
        <v>5.5918555592842582E-4</v>
      </c>
      <c r="K73" s="2"/>
      <c r="L73" s="7">
        <f t="shared" si="35"/>
        <v>0</v>
      </c>
      <c r="M73" s="2"/>
      <c r="N73" s="6">
        <f t="shared" si="36"/>
        <v>0</v>
      </c>
      <c r="O73" s="11"/>
      <c r="P73" s="7">
        <v>560.88</v>
      </c>
      <c r="Q73" s="2"/>
      <c r="R73" s="6">
        <f t="shared" si="37"/>
        <v>8.016715039526357E-4</v>
      </c>
      <c r="S73" s="2"/>
      <c r="T73" s="7">
        <v>560.88</v>
      </c>
      <c r="U73" s="2"/>
      <c r="V73" s="6">
        <f t="shared" si="38"/>
        <v>6.4331984974476235E-4</v>
      </c>
      <c r="W73" s="2"/>
      <c r="X73" s="7">
        <f t="shared" si="39"/>
        <v>0</v>
      </c>
      <c r="Y73" s="2"/>
      <c r="Z73" s="6">
        <f t="shared" si="40"/>
        <v>0</v>
      </c>
    </row>
    <row r="74" spans="1:26" s="28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0</v>
      </c>
      <c r="E74" s="1"/>
      <c r="F74" s="5">
        <f t="shared" si="33"/>
        <v>0</v>
      </c>
      <c r="G74" s="1"/>
      <c r="H74" s="1">
        <f>SUM(OSRRefH22_4x_0)</f>
        <v>57114.36</v>
      </c>
      <c r="I74" s="1"/>
      <c r="J74" s="5">
        <f t="shared" si="34"/>
        <v>0.11388362982490459</v>
      </c>
      <c r="K74" s="1"/>
      <c r="L74" s="1">
        <f t="shared" si="35"/>
        <v>-57114.36</v>
      </c>
      <c r="M74" s="1"/>
      <c r="N74" s="5">
        <f t="shared" si="36"/>
        <v>-1</v>
      </c>
      <c r="O74" s="14"/>
      <c r="P74" s="1">
        <f>SUM(OSRRefP22_4x_0)</f>
        <v>0</v>
      </c>
      <c r="Q74" s="1"/>
      <c r="R74" s="5">
        <f t="shared" si="37"/>
        <v>0</v>
      </c>
      <c r="S74" s="1"/>
      <c r="T74" s="1">
        <f>SUM(OSRRefT22_4x_0)</f>
        <v>70019.17</v>
      </c>
      <c r="U74" s="1"/>
      <c r="V74" s="5">
        <f t="shared" si="38"/>
        <v>8.0310800748204555E-2</v>
      </c>
      <c r="W74" s="1"/>
      <c r="X74" s="1">
        <f t="shared" si="39"/>
        <v>-70019.17</v>
      </c>
      <c r="Y74" s="1"/>
      <c r="Z74" s="5">
        <f t="shared" si="40"/>
        <v>-1</v>
      </c>
    </row>
    <row r="75" spans="1:26" s="24" customFormat="1" hidden="1" outlineLevel="2" x14ac:dyDescent="0.25">
      <c r="A75" s="29"/>
      <c r="B75" s="11" t="str">
        <f>CONCATENATE("          ", "6382", " - ", "DISCOUNTS/MARK DOWNS")</f>
        <v xml:space="preserve">          6382 - DISCOUNTS/MARK DOWNS</v>
      </c>
      <c r="C75" s="11"/>
      <c r="D75" s="7"/>
      <c r="E75" s="2"/>
      <c r="F75" s="6">
        <f t="shared" si="33"/>
        <v>0</v>
      </c>
      <c r="G75" s="2"/>
      <c r="H75" s="7">
        <v>57114.36</v>
      </c>
      <c r="I75" s="2"/>
      <c r="J75" s="6">
        <f t="shared" si="34"/>
        <v>0.11388362982490459</v>
      </c>
      <c r="K75" s="2"/>
      <c r="L75" s="7">
        <f t="shared" si="35"/>
        <v>-57114.36</v>
      </c>
      <c r="M75" s="2"/>
      <c r="N75" s="6">
        <f t="shared" si="36"/>
        <v>-1</v>
      </c>
      <c r="O75" s="11"/>
      <c r="P75" s="7"/>
      <c r="Q75" s="2"/>
      <c r="R75" s="6">
        <f t="shared" si="37"/>
        <v>0</v>
      </c>
      <c r="S75" s="2"/>
      <c r="T75" s="7">
        <v>70019.17</v>
      </c>
      <c r="U75" s="2"/>
      <c r="V75" s="6">
        <f t="shared" si="38"/>
        <v>8.0310800748204555E-2</v>
      </c>
      <c r="W75" s="2"/>
      <c r="X75" s="7">
        <f t="shared" si="39"/>
        <v>-70019.17</v>
      </c>
      <c r="Y75" s="2"/>
      <c r="Z75" s="6">
        <f t="shared" si="40"/>
        <v>-1</v>
      </c>
    </row>
    <row r="76" spans="1:26" s="28" customFormat="1" outlineLevel="1" collapsed="1" x14ac:dyDescent="0.25">
      <c r="A76" s="27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SUM(OSRRefD22_5x_0)</f>
        <v>179.14000000000001</v>
      </c>
      <c r="E76" s="1"/>
      <c r="F76" s="5">
        <f t="shared" si="33"/>
        <v>3.6434924223330425E-4</v>
      </c>
      <c r="G76" s="1"/>
      <c r="H76" s="1">
        <f>SUM(OSRRefH22_5x_0)</f>
        <v>0</v>
      </c>
      <c r="I76" s="1"/>
      <c r="J76" s="5">
        <f t="shared" si="34"/>
        <v>0</v>
      </c>
      <c r="K76" s="1"/>
      <c r="L76" s="1">
        <f t="shared" si="35"/>
        <v>179.14000000000001</v>
      </c>
      <c r="M76" s="1"/>
      <c r="N76" s="5">
        <f t="shared" si="36"/>
        <v>0</v>
      </c>
      <c r="O76" s="14"/>
      <c r="P76" s="1">
        <f>SUM(OSRRefP22_5x_0)</f>
        <v>189.75</v>
      </c>
      <c r="Q76" s="1"/>
      <c r="R76" s="5">
        <f t="shared" si="37"/>
        <v>2.7121161010378801E-4</v>
      </c>
      <c r="S76" s="1"/>
      <c r="T76" s="1">
        <f>SUM(OSRRefT22_5x_0)</f>
        <v>0</v>
      </c>
      <c r="U76" s="1"/>
      <c r="V76" s="5">
        <f t="shared" si="38"/>
        <v>0</v>
      </c>
      <c r="W76" s="1"/>
      <c r="X76" s="1">
        <f t="shared" si="39"/>
        <v>189.75</v>
      </c>
      <c r="Y76" s="1"/>
      <c r="Z76" s="5">
        <f t="shared" si="40"/>
        <v>0</v>
      </c>
    </row>
    <row r="77" spans="1:26" s="24" customFormat="1" hidden="1" outlineLevel="2" x14ac:dyDescent="0.25">
      <c r="A77" s="29"/>
      <c r="B77" s="11" t="str">
        <f>CONCATENATE("          ", "6305", " - ", "FREIGHT OUT")</f>
        <v xml:space="preserve">          6305 - FREIGHT OUT</v>
      </c>
      <c r="C77" s="11"/>
      <c r="D77" s="7">
        <v>175.34</v>
      </c>
      <c r="E77" s="2"/>
      <c r="F77" s="6">
        <f t="shared" si="33"/>
        <v>3.5662049867805939E-4</v>
      </c>
      <c r="G77" s="2"/>
      <c r="H77" s="7"/>
      <c r="I77" s="2"/>
      <c r="J77" s="6">
        <f t="shared" si="34"/>
        <v>0</v>
      </c>
      <c r="K77" s="2"/>
      <c r="L77" s="7">
        <f t="shared" si="35"/>
        <v>175.34</v>
      </c>
      <c r="M77" s="2"/>
      <c r="N77" s="6">
        <f t="shared" si="36"/>
        <v>0</v>
      </c>
      <c r="O77" s="11"/>
      <c r="P77" s="7">
        <v>180.95</v>
      </c>
      <c r="Q77" s="2"/>
      <c r="R77" s="6">
        <f t="shared" si="37"/>
        <v>2.5863368035984418E-4</v>
      </c>
      <c r="S77" s="2"/>
      <c r="T77" s="7"/>
      <c r="U77" s="2"/>
      <c r="V77" s="6">
        <f t="shared" si="38"/>
        <v>0</v>
      </c>
      <c r="W77" s="2"/>
      <c r="X77" s="7">
        <f t="shared" si="39"/>
        <v>180.95</v>
      </c>
      <c r="Y77" s="2"/>
      <c r="Z77" s="6">
        <f t="shared" si="40"/>
        <v>0</v>
      </c>
    </row>
    <row r="78" spans="1:26" s="24" customFormat="1" hidden="1" outlineLevel="2" x14ac:dyDescent="0.25">
      <c r="A78" s="29"/>
      <c r="B78" s="11" t="str">
        <f>CONCATENATE("          ", "6307", " - ", "POSTAGE")</f>
        <v xml:space="preserve">          6307 - POSTAGE</v>
      </c>
      <c r="C78" s="11"/>
      <c r="D78" s="7">
        <v>3.8</v>
      </c>
      <c r="E78" s="2"/>
      <c r="F78" s="6">
        <f t="shared" si="33"/>
        <v>7.7287435552448136E-6</v>
      </c>
      <c r="G78" s="2"/>
      <c r="H78" s="7"/>
      <c r="I78" s="2"/>
      <c r="J78" s="6">
        <f t="shared" si="34"/>
        <v>0</v>
      </c>
      <c r="K78" s="2"/>
      <c r="L78" s="7">
        <f t="shared" si="35"/>
        <v>3.8</v>
      </c>
      <c r="M78" s="2"/>
      <c r="N78" s="6">
        <f t="shared" si="36"/>
        <v>0</v>
      </c>
      <c r="O78" s="11"/>
      <c r="P78" s="7">
        <v>8.8000000000000007</v>
      </c>
      <c r="Q78" s="2"/>
      <c r="R78" s="6">
        <f t="shared" si="37"/>
        <v>1.2577929743943792E-5</v>
      </c>
      <c r="S78" s="2"/>
      <c r="T78" s="7"/>
      <c r="U78" s="2"/>
      <c r="V78" s="6">
        <f t="shared" si="38"/>
        <v>0</v>
      </c>
      <c r="W78" s="2"/>
      <c r="X78" s="7">
        <f t="shared" si="39"/>
        <v>8.8000000000000007</v>
      </c>
      <c r="Y78" s="2"/>
      <c r="Z78" s="6">
        <f t="shared" si="40"/>
        <v>0</v>
      </c>
    </row>
    <row r="79" spans="1:26" s="28" customFormat="1" outlineLevel="1" collapsed="1" x14ac:dyDescent="0.25">
      <c r="A79" s="27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SUM(OSRRefD22_6x_0)</f>
        <v>0</v>
      </c>
      <c r="E79" s="1"/>
      <c r="F79" s="5">
        <f t="shared" ref="F79:F88" si="41">IF(D$12=0,0,D79/D$12)</f>
        <v>0</v>
      </c>
      <c r="G79" s="1"/>
      <c r="H79" s="1">
        <f>SUM(OSRRefH22_6x_0)</f>
        <v>0</v>
      </c>
      <c r="I79" s="1"/>
      <c r="J79" s="5">
        <f t="shared" ref="J79:J88" si="42">IF(H$12=0,0,H79/H$12)</f>
        <v>0</v>
      </c>
      <c r="K79" s="1"/>
      <c r="L79" s="1">
        <f t="shared" ref="L79:L88" si="43">+D79-H79</f>
        <v>0</v>
      </c>
      <c r="M79" s="1"/>
      <c r="N79" s="5">
        <f t="shared" ref="N79:N88" si="44">IF(H79=0,0,L79/H79)</f>
        <v>0</v>
      </c>
      <c r="O79" s="14"/>
      <c r="P79" s="1">
        <f>SUM(OSRRefP22_6x_0)</f>
        <v>-30.15</v>
      </c>
      <c r="Q79" s="1"/>
      <c r="R79" s="5">
        <f t="shared" ref="R79:R88" si="45">IF(P$12=0,0,P79/P$12)</f>
        <v>-4.3093702474989239E-5</v>
      </c>
      <c r="S79" s="1"/>
      <c r="T79" s="1">
        <f>SUM(OSRRefT22_6x_0)</f>
        <v>0</v>
      </c>
      <c r="U79" s="1"/>
      <c r="V79" s="5">
        <f t="shared" ref="V79:V88" si="46">IF(T$12=0,0,T79/T$12)</f>
        <v>0</v>
      </c>
      <c r="W79" s="1"/>
      <c r="X79" s="1">
        <f t="shared" ref="X79:X88" si="47">+P79-T79</f>
        <v>-30.15</v>
      </c>
      <c r="Y79" s="1"/>
      <c r="Z79" s="5">
        <f t="shared" ref="Z79:Z88" si="48">IF(T79=0,0,X79/T79)</f>
        <v>0</v>
      </c>
    </row>
    <row r="80" spans="1:26" s="24" customFormat="1" hidden="1" outlineLevel="2" x14ac:dyDescent="0.25">
      <c r="A80" s="29"/>
      <c r="B80" s="11" t="str">
        <f>CONCATENATE("          ", "6279", " - ", "GENERAL EXPENSE")</f>
        <v xml:space="preserve">          6279 - GENERAL EXPENSE</v>
      </c>
      <c r="C80" s="11"/>
      <c r="D80" s="7"/>
      <c r="E80" s="2"/>
      <c r="F80" s="6">
        <f t="shared" si="41"/>
        <v>0</v>
      </c>
      <c r="G80" s="2"/>
      <c r="H80" s="7"/>
      <c r="I80" s="2"/>
      <c r="J80" s="6">
        <f t="shared" si="42"/>
        <v>0</v>
      </c>
      <c r="K80" s="2"/>
      <c r="L80" s="7">
        <f t="shared" si="43"/>
        <v>0</v>
      </c>
      <c r="M80" s="2"/>
      <c r="N80" s="6">
        <f t="shared" si="44"/>
        <v>0</v>
      </c>
      <c r="O80" s="11"/>
      <c r="P80" s="7">
        <v>-30.15</v>
      </c>
      <c r="Q80" s="2"/>
      <c r="R80" s="6">
        <f t="shared" si="45"/>
        <v>-4.3093702474989239E-5</v>
      </c>
      <c r="S80" s="2"/>
      <c r="T80" s="7"/>
      <c r="U80" s="2"/>
      <c r="V80" s="6">
        <f t="shared" si="46"/>
        <v>0</v>
      </c>
      <c r="W80" s="2"/>
      <c r="X80" s="7">
        <f t="shared" si="47"/>
        <v>-30.15</v>
      </c>
      <c r="Y80" s="2"/>
      <c r="Z80" s="6">
        <f t="shared" si="48"/>
        <v>0</v>
      </c>
    </row>
    <row r="81" spans="1:26" s="28" customFormat="1" outlineLevel="1" collapsed="1" x14ac:dyDescent="0.25">
      <c r="A81" s="27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SUM(OSRRefD22_7x_0)</f>
        <v>1250</v>
      </c>
      <c r="E81" s="1"/>
      <c r="F81" s="5">
        <f t="shared" si="41"/>
        <v>2.542349853698952E-3</v>
      </c>
      <c r="G81" s="1"/>
      <c r="H81" s="1">
        <f>SUM(OSRRefH22_7x_0)</f>
        <v>0</v>
      </c>
      <c r="I81" s="1"/>
      <c r="J81" s="5">
        <f t="shared" si="42"/>
        <v>0</v>
      </c>
      <c r="K81" s="1"/>
      <c r="L81" s="1">
        <f t="shared" si="43"/>
        <v>1250</v>
      </c>
      <c r="M81" s="1"/>
      <c r="N81" s="5">
        <f t="shared" si="44"/>
        <v>0</v>
      </c>
      <c r="O81" s="14"/>
      <c r="P81" s="1">
        <f>SUM(OSRRefP22_7x_0)</f>
        <v>2500</v>
      </c>
      <c r="Q81" s="1"/>
      <c r="R81" s="5">
        <f t="shared" si="45"/>
        <v>3.5732754954385772E-3</v>
      </c>
      <c r="S81" s="1"/>
      <c r="T81" s="1">
        <f>SUM(OSRRefT22_7x_0)</f>
        <v>0</v>
      </c>
      <c r="U81" s="1"/>
      <c r="V81" s="5">
        <f t="shared" si="46"/>
        <v>0</v>
      </c>
      <c r="W81" s="1"/>
      <c r="X81" s="1">
        <f t="shared" si="47"/>
        <v>2500</v>
      </c>
      <c r="Y81" s="1"/>
      <c r="Z81" s="5">
        <f t="shared" si="48"/>
        <v>0</v>
      </c>
    </row>
    <row r="82" spans="1:26" s="24" customFormat="1" hidden="1" outlineLevel="2" x14ac:dyDescent="0.25">
      <c r="A82" s="29"/>
      <c r="B82" s="11" t="str">
        <f>CONCATENATE("          ", "6408", " - ", "INVENTORY ADJUSTMENT")</f>
        <v xml:space="preserve">          6408 - INVENTORY ADJUSTMENT</v>
      </c>
      <c r="C82" s="11"/>
      <c r="D82" s="7">
        <v>1250</v>
      </c>
      <c r="E82" s="2"/>
      <c r="F82" s="6">
        <f t="shared" si="41"/>
        <v>2.542349853698952E-3</v>
      </c>
      <c r="G82" s="2"/>
      <c r="H82" s="7"/>
      <c r="I82" s="2"/>
      <c r="J82" s="6">
        <f t="shared" si="42"/>
        <v>0</v>
      </c>
      <c r="K82" s="2"/>
      <c r="L82" s="7">
        <f t="shared" si="43"/>
        <v>1250</v>
      </c>
      <c r="M82" s="2"/>
      <c r="N82" s="6">
        <f t="shared" si="44"/>
        <v>0</v>
      </c>
      <c r="O82" s="11"/>
      <c r="P82" s="7">
        <v>2500</v>
      </c>
      <c r="Q82" s="2"/>
      <c r="R82" s="6">
        <f t="shared" si="45"/>
        <v>3.5732754954385772E-3</v>
      </c>
      <c r="S82" s="2"/>
      <c r="T82" s="7"/>
      <c r="U82" s="2"/>
      <c r="V82" s="6">
        <f t="shared" si="46"/>
        <v>0</v>
      </c>
      <c r="W82" s="2"/>
      <c r="X82" s="7">
        <f t="shared" si="47"/>
        <v>2500</v>
      </c>
      <c r="Y82" s="2"/>
      <c r="Z82" s="6">
        <f t="shared" si="48"/>
        <v>0</v>
      </c>
    </row>
    <row r="83" spans="1:26" s="28" customFormat="1" outlineLevel="1" collapsed="1" x14ac:dyDescent="0.25">
      <c r="A83" s="27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SUM(OSRRefD22_8x_0)</f>
        <v>0</v>
      </c>
      <c r="E83" s="1"/>
      <c r="F83" s="5">
        <f t="shared" si="41"/>
        <v>0</v>
      </c>
      <c r="G83" s="1"/>
      <c r="H83" s="1">
        <f>SUM(OSRRefH22_8x_0)</f>
        <v>-5000</v>
      </c>
      <c r="I83" s="1"/>
      <c r="J83" s="5">
        <f t="shared" si="42"/>
        <v>-9.9697895437246067E-3</v>
      </c>
      <c r="K83" s="1"/>
      <c r="L83" s="1">
        <f t="shared" si="43"/>
        <v>5000</v>
      </c>
      <c r="M83" s="1"/>
      <c r="N83" s="5">
        <f t="shared" si="44"/>
        <v>-1</v>
      </c>
      <c r="O83" s="14"/>
      <c r="P83" s="1">
        <f>SUM(OSRRefP22_8x_0)</f>
        <v>0</v>
      </c>
      <c r="Q83" s="1"/>
      <c r="R83" s="5">
        <f t="shared" si="45"/>
        <v>0</v>
      </c>
      <c r="S83" s="1"/>
      <c r="T83" s="1">
        <f>SUM(OSRRefT22_8x_0)</f>
        <v>-5000</v>
      </c>
      <c r="U83" s="1"/>
      <c r="V83" s="5">
        <f t="shared" si="46"/>
        <v>-5.7349152202321564E-3</v>
      </c>
      <c r="W83" s="1"/>
      <c r="X83" s="1">
        <f t="shared" si="47"/>
        <v>5000</v>
      </c>
      <c r="Y83" s="1"/>
      <c r="Z83" s="5">
        <f t="shared" si="48"/>
        <v>-1</v>
      </c>
    </row>
    <row r="84" spans="1:26" s="24" customFormat="1" hidden="1" outlineLevel="2" x14ac:dyDescent="0.25">
      <c r="A84" s="29"/>
      <c r="B84" s="11" t="str">
        <f>CONCATENATE("          ", "6258", " - ", "MEMBERSHIP DUES")</f>
        <v xml:space="preserve">          6258 - MEMBERSHIP DUES</v>
      </c>
      <c r="C84" s="11"/>
      <c r="D84" s="7"/>
      <c r="E84" s="2"/>
      <c r="F84" s="6">
        <f t="shared" si="41"/>
        <v>0</v>
      </c>
      <c r="G84" s="2"/>
      <c r="H84" s="7">
        <v>-5000</v>
      </c>
      <c r="I84" s="2"/>
      <c r="J84" s="6">
        <f t="shared" si="42"/>
        <v>-9.9697895437246067E-3</v>
      </c>
      <c r="K84" s="2"/>
      <c r="L84" s="7">
        <f t="shared" si="43"/>
        <v>5000</v>
      </c>
      <c r="M84" s="2"/>
      <c r="N84" s="6">
        <f t="shared" si="44"/>
        <v>-1</v>
      </c>
      <c r="O84" s="11"/>
      <c r="P84" s="7"/>
      <c r="Q84" s="2"/>
      <c r="R84" s="6">
        <f t="shared" si="45"/>
        <v>0</v>
      </c>
      <c r="S84" s="2"/>
      <c r="T84" s="7">
        <v>-5000</v>
      </c>
      <c r="U84" s="2"/>
      <c r="V84" s="6">
        <f t="shared" si="46"/>
        <v>-5.7349152202321564E-3</v>
      </c>
      <c r="W84" s="2"/>
      <c r="X84" s="7">
        <f t="shared" si="47"/>
        <v>5000</v>
      </c>
      <c r="Y84" s="2"/>
      <c r="Z84" s="6">
        <f t="shared" si="48"/>
        <v>-1</v>
      </c>
    </row>
    <row r="85" spans="1:26" s="28" customFormat="1" outlineLevel="1" collapsed="1" x14ac:dyDescent="0.25">
      <c r="A85" s="27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SUM(OSRRefD22_9x_0)</f>
        <v>787.43</v>
      </c>
      <c r="E85" s="1"/>
      <c r="F85" s="5">
        <f t="shared" si="41"/>
        <v>1.6015380362385326E-3</v>
      </c>
      <c r="G85" s="1"/>
      <c r="H85" s="1">
        <f>SUM(OSRRefH22_9x_0)</f>
        <v>88.18</v>
      </c>
      <c r="I85" s="1"/>
      <c r="J85" s="5">
        <f t="shared" si="42"/>
        <v>1.758272083931272E-4</v>
      </c>
      <c r="K85" s="1"/>
      <c r="L85" s="1">
        <f t="shared" si="43"/>
        <v>699.25</v>
      </c>
      <c r="M85" s="1"/>
      <c r="N85" s="5">
        <f t="shared" si="44"/>
        <v>7.9298026763438418</v>
      </c>
      <c r="O85" s="14"/>
      <c r="P85" s="1">
        <f>SUM(OSRRefP22_9x_0)</f>
        <v>1455.55</v>
      </c>
      <c r="Q85" s="1"/>
      <c r="R85" s="5">
        <f t="shared" si="45"/>
        <v>2.0804324589542484E-3</v>
      </c>
      <c r="S85" s="1"/>
      <c r="T85" s="1">
        <f>SUM(OSRRefT22_9x_0)</f>
        <v>763.44</v>
      </c>
      <c r="U85" s="1"/>
      <c r="V85" s="5">
        <f t="shared" si="46"/>
        <v>8.7565273514680756E-4</v>
      </c>
      <c r="W85" s="1"/>
      <c r="X85" s="1">
        <f t="shared" si="47"/>
        <v>692.1099999999999</v>
      </c>
      <c r="Y85" s="1"/>
      <c r="Z85" s="5">
        <f t="shared" si="48"/>
        <v>0.90656764120297584</v>
      </c>
    </row>
    <row r="86" spans="1:26" s="24" customFormat="1" hidden="1" outlineLevel="2" x14ac:dyDescent="0.25">
      <c r="A86" s="29"/>
      <c r="B86" s="11" t="str">
        <f>CONCATENATE("          ", "6235", " - ", "COVID-19 EXPENSES")</f>
        <v xml:space="preserve">          6235 - COVID-19 EXPENSES</v>
      </c>
      <c r="C86" s="11"/>
      <c r="D86" s="7"/>
      <c r="E86" s="2"/>
      <c r="F86" s="6">
        <f t="shared" si="41"/>
        <v>0</v>
      </c>
      <c r="G86" s="2"/>
      <c r="H86" s="7"/>
      <c r="I86" s="2"/>
      <c r="J86" s="6">
        <f t="shared" si="42"/>
        <v>0</v>
      </c>
      <c r="K86" s="2"/>
      <c r="L86" s="7">
        <f t="shared" si="43"/>
        <v>0</v>
      </c>
      <c r="M86" s="2"/>
      <c r="N86" s="6">
        <f t="shared" si="44"/>
        <v>0</v>
      </c>
      <c r="O86" s="11"/>
      <c r="P86" s="7">
        <v>668.12</v>
      </c>
      <c r="Q86" s="2"/>
      <c r="R86" s="6">
        <f t="shared" si="45"/>
        <v>9.5495072960496887E-4</v>
      </c>
      <c r="S86" s="2"/>
      <c r="T86" s="7"/>
      <c r="U86" s="2"/>
      <c r="V86" s="6">
        <f t="shared" si="46"/>
        <v>0</v>
      </c>
      <c r="W86" s="2"/>
      <c r="X86" s="7">
        <f t="shared" si="47"/>
        <v>668.12</v>
      </c>
      <c r="Y86" s="2"/>
      <c r="Z86" s="6">
        <f t="shared" si="48"/>
        <v>0</v>
      </c>
    </row>
    <row r="87" spans="1:26" s="24" customFormat="1" hidden="1" outlineLevel="2" x14ac:dyDescent="0.25">
      <c r="A87" s="29"/>
      <c r="B87" s="11" t="str">
        <f>CONCATENATE("          ", "6241", " - ", "OFFICE EXPENSE")</f>
        <v xml:space="preserve">          6241 - OFFICE EXPENSE</v>
      </c>
      <c r="C87" s="11"/>
      <c r="D87" s="7">
        <v>787.43</v>
      </c>
      <c r="E87" s="2"/>
      <c r="F87" s="6">
        <f t="shared" si="41"/>
        <v>1.6015380362385326E-3</v>
      </c>
      <c r="G87" s="2"/>
      <c r="H87" s="7">
        <v>88.18</v>
      </c>
      <c r="I87" s="2"/>
      <c r="J87" s="6">
        <f t="shared" si="42"/>
        <v>1.758272083931272E-4</v>
      </c>
      <c r="K87" s="2"/>
      <c r="L87" s="7">
        <f t="shared" si="43"/>
        <v>699.25</v>
      </c>
      <c r="M87" s="2"/>
      <c r="N87" s="6">
        <f t="shared" si="44"/>
        <v>7.9298026763438418</v>
      </c>
      <c r="O87" s="11"/>
      <c r="P87" s="7">
        <v>787.43</v>
      </c>
      <c r="Q87" s="2"/>
      <c r="R87" s="6">
        <f t="shared" si="45"/>
        <v>1.1254817293492795E-3</v>
      </c>
      <c r="S87" s="2"/>
      <c r="T87" s="7">
        <v>181</v>
      </c>
      <c r="U87" s="2"/>
      <c r="V87" s="6">
        <f t="shared" si="46"/>
        <v>2.0760393097240406E-4</v>
      </c>
      <c r="W87" s="2"/>
      <c r="X87" s="7">
        <f t="shared" si="47"/>
        <v>606.42999999999995</v>
      </c>
      <c r="Y87" s="2"/>
      <c r="Z87" s="6">
        <f t="shared" si="48"/>
        <v>3.3504419889502759</v>
      </c>
    </row>
    <row r="88" spans="1:26" s="24" customFormat="1" hidden="1" outlineLevel="2" x14ac:dyDescent="0.25">
      <c r="A88" s="29"/>
      <c r="B88" s="11" t="str">
        <f>CONCATENATE("          ", "6247", " - ", "STORE SUPPLIES")</f>
        <v xml:space="preserve">          6247 - STORE SUPPLIES</v>
      </c>
      <c r="C88" s="11"/>
      <c r="D88" s="7"/>
      <c r="E88" s="2"/>
      <c r="F88" s="6">
        <f t="shared" si="41"/>
        <v>0</v>
      </c>
      <c r="G88" s="2"/>
      <c r="H88" s="7"/>
      <c r="I88" s="2"/>
      <c r="J88" s="6">
        <f t="shared" si="42"/>
        <v>0</v>
      </c>
      <c r="K88" s="2"/>
      <c r="L88" s="7">
        <f t="shared" si="43"/>
        <v>0</v>
      </c>
      <c r="M88" s="2"/>
      <c r="N88" s="6">
        <f t="shared" si="44"/>
        <v>0</v>
      </c>
      <c r="O88" s="11"/>
      <c r="P88" s="7"/>
      <c r="Q88" s="2"/>
      <c r="R88" s="6">
        <f t="shared" si="45"/>
        <v>0</v>
      </c>
      <c r="S88" s="2"/>
      <c r="T88" s="7">
        <v>582.44000000000005</v>
      </c>
      <c r="U88" s="2"/>
      <c r="V88" s="6">
        <f t="shared" si="46"/>
        <v>6.6804880417440347E-4</v>
      </c>
      <c r="W88" s="2"/>
      <c r="X88" s="7">
        <f t="shared" si="47"/>
        <v>-582.44000000000005</v>
      </c>
      <c r="Y88" s="2"/>
      <c r="Z88" s="6">
        <f t="shared" si="48"/>
        <v>-1</v>
      </c>
    </row>
    <row r="89" spans="1:26" s="28" customFormat="1" outlineLevel="1" collapsed="1" x14ac:dyDescent="0.25">
      <c r="A89" s="27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SUM(OSRRefD22_10x_0)</f>
        <v>306.75</v>
      </c>
      <c r="E89" s="1"/>
      <c r="F89" s="5">
        <f t="shared" ref="F89:F90" si="49">IF(D$12=0,0,D89/D$12)</f>
        <v>6.2389265409772284E-4</v>
      </c>
      <c r="G89" s="1"/>
      <c r="H89" s="1">
        <f>SUM(OSRRefH22_10x_0)</f>
        <v>254.25</v>
      </c>
      <c r="I89" s="1"/>
      <c r="J89" s="5">
        <f t="shared" ref="J89:J90" si="50">IF(H$12=0,0,H89/H$12)</f>
        <v>5.0696379829839628E-4</v>
      </c>
      <c r="K89" s="1"/>
      <c r="L89" s="1">
        <f t="shared" ref="L89:L90" si="51">+D89-H89</f>
        <v>52.5</v>
      </c>
      <c r="M89" s="1"/>
      <c r="N89" s="5">
        <f t="shared" ref="N89:N90" si="52">IF(H89=0,0,L89/H89)</f>
        <v>0.20648967551622419</v>
      </c>
      <c r="O89" s="14"/>
      <c r="P89" s="1">
        <f>SUM(OSRRefP22_10x_0)</f>
        <v>611.54999999999995</v>
      </c>
      <c r="Q89" s="1"/>
      <c r="R89" s="5">
        <f t="shared" ref="R89:R90" si="53">IF(P$12=0,0,P89/P$12)</f>
        <v>8.7409465169418468E-4</v>
      </c>
      <c r="S89" s="1"/>
      <c r="T89" s="1">
        <f>SUM(OSRRefT22_10x_0)</f>
        <v>431.3</v>
      </c>
      <c r="U89" s="1"/>
      <c r="V89" s="5">
        <f t="shared" ref="V89:V90" si="54">IF(T$12=0,0,T89/T$12)</f>
        <v>4.9469378689722581E-4</v>
      </c>
      <c r="W89" s="1"/>
      <c r="X89" s="1">
        <f t="shared" ref="X89:X90" si="55">+P89-T89</f>
        <v>180.24999999999994</v>
      </c>
      <c r="Y89" s="1"/>
      <c r="Z89" s="5">
        <f t="shared" ref="Z89:Z90" si="56">IF(T89=0,0,X89/T89)</f>
        <v>0.41792255970322267</v>
      </c>
    </row>
    <row r="90" spans="1:26" s="24" customFormat="1" hidden="1" outlineLevel="2" x14ac:dyDescent="0.25">
      <c r="A90" s="29"/>
      <c r="B90" s="11" t="str">
        <f>CONCATENATE("          ", "6309", " - ", "TELEPHONE")</f>
        <v xml:space="preserve">          6309 - TELEPHONE</v>
      </c>
      <c r="C90" s="11"/>
      <c r="D90" s="7">
        <v>306.75</v>
      </c>
      <c r="E90" s="2"/>
      <c r="F90" s="6">
        <f t="shared" si="49"/>
        <v>6.2389265409772284E-4</v>
      </c>
      <c r="G90" s="2"/>
      <c r="H90" s="7">
        <v>254.25</v>
      </c>
      <c r="I90" s="2"/>
      <c r="J90" s="6">
        <f t="shared" si="50"/>
        <v>5.0696379829839628E-4</v>
      </c>
      <c r="K90" s="2"/>
      <c r="L90" s="7">
        <f t="shared" si="51"/>
        <v>52.5</v>
      </c>
      <c r="M90" s="2"/>
      <c r="N90" s="6">
        <f t="shared" si="52"/>
        <v>0.20648967551622419</v>
      </c>
      <c r="O90" s="11"/>
      <c r="P90" s="7">
        <v>611.54999999999995</v>
      </c>
      <c r="Q90" s="2"/>
      <c r="R90" s="6">
        <f t="shared" si="53"/>
        <v>8.7409465169418468E-4</v>
      </c>
      <c r="S90" s="2"/>
      <c r="T90" s="7">
        <v>431.3</v>
      </c>
      <c r="U90" s="2"/>
      <c r="V90" s="6">
        <f t="shared" si="54"/>
        <v>4.9469378689722581E-4</v>
      </c>
      <c r="W90" s="2"/>
      <c r="X90" s="7">
        <f t="shared" si="55"/>
        <v>180.24999999999994</v>
      </c>
      <c r="Y90" s="2"/>
      <c r="Z90" s="6">
        <f t="shared" si="56"/>
        <v>0.41792255970322267</v>
      </c>
    </row>
    <row r="91" spans="1:26" s="52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5" t="s">
        <v>0</v>
      </c>
      <c r="C92" s="10"/>
      <c r="D92" s="4">
        <f>SUM(OSRRefD25x_0)</f>
        <v>-138.80000000000001</v>
      </c>
      <c r="E92" s="4"/>
      <c r="F92" s="12">
        <f t="shared" ref="F92:F95" si="57">IF(D$12=0,0,D92/D$12)</f>
        <v>-2.8230252775473163E-4</v>
      </c>
      <c r="G92" s="4"/>
      <c r="H92" s="4">
        <f>SUM(OSRRefH25x_0)</f>
        <v>-3027.34</v>
      </c>
      <c r="I92" s="4"/>
      <c r="J92" s="12">
        <f t="shared" ref="J92:J95" si="58">IF(H$12=0,0,H92/H$12)</f>
        <v>-6.0363885354598511E-3</v>
      </c>
      <c r="K92" s="4"/>
      <c r="L92" s="4">
        <f t="shared" ref="L92:L95" si="59">+D92-H92</f>
        <v>2888.54</v>
      </c>
      <c r="M92" s="4"/>
      <c r="N92" s="12">
        <f t="shared" ref="N92:N95" si="60">IF(H92=0,0,L92/H92)</f>
        <v>-0.95415116901306096</v>
      </c>
      <c r="O92" s="10"/>
      <c r="P92" s="4">
        <f>SUM(OSRRefP25x_0)</f>
        <v>-514.16</v>
      </c>
      <c r="Q92" s="4"/>
      <c r="R92" s="12">
        <f t="shared" ref="R92:R95" si="61">IF(P$12=0,0,P92/P$12)</f>
        <v>-7.3489413149387952E-4</v>
      </c>
      <c r="S92" s="4"/>
      <c r="T92" s="4">
        <f>SUM(OSRRefT25x_0)</f>
        <v>-3009.54</v>
      </c>
      <c r="U92" s="4"/>
      <c r="V92" s="12">
        <f t="shared" ref="V92:V95" si="62">IF(T$12=0,0,T92/T$12)</f>
        <v>-3.4518913503794966E-3</v>
      </c>
      <c r="W92" s="4"/>
      <c r="X92" s="4">
        <f t="shared" ref="X92:X95" si="63">+P92-T92</f>
        <v>2495.38</v>
      </c>
      <c r="Y92" s="4"/>
      <c r="Z92" s="12">
        <f t="shared" ref="Z92:Z95" si="64">IF(T92=0,0,X92/T92)</f>
        <v>-0.82915661529668994</v>
      </c>
    </row>
    <row r="93" spans="1:26" s="24" customFormat="1" hidden="1" outlineLevel="1" x14ac:dyDescent="0.25">
      <c r="A93" s="44"/>
      <c r="B93" s="11" t="str">
        <f>CONCATENATE("          ", "4187", " - ", "NON-TAXABLE SALES-COMPUTER REP")</f>
        <v xml:space="preserve">          4187 - NON-TAXABLE SALES-COMPUTER REP</v>
      </c>
      <c r="C93" s="11"/>
      <c r="D93" s="2">
        <f t="shared" ref="D93:D94" si="65">0</f>
        <v>0</v>
      </c>
      <c r="E93" s="2"/>
      <c r="F93" s="19">
        <f t="shared" si="57"/>
        <v>0</v>
      </c>
      <c r="G93" s="2"/>
      <c r="H93" s="2">
        <f>--1700.37</f>
        <v>1700.37</v>
      </c>
      <c r="I93" s="2"/>
      <c r="J93" s="19">
        <f t="shared" si="58"/>
        <v>3.3904662092926019E-3</v>
      </c>
      <c r="K93" s="2"/>
      <c r="L93" s="2">
        <f t="shared" si="59"/>
        <v>-1700.37</v>
      </c>
      <c r="M93" s="2"/>
      <c r="N93" s="19">
        <f t="shared" si="60"/>
        <v>-1</v>
      </c>
      <c r="O93" s="11"/>
      <c r="P93" s="2">
        <f>--19.99</f>
        <v>19.989999999999998</v>
      </c>
      <c r="Q93" s="2"/>
      <c r="R93" s="19">
        <f t="shared" si="61"/>
        <v>2.8571910861526861E-5</v>
      </c>
      <c r="S93" s="2"/>
      <c r="T93" s="2">
        <f>--2482.26</f>
        <v>2482.2600000000002</v>
      </c>
      <c r="U93" s="2"/>
      <c r="V93" s="19">
        <f t="shared" si="62"/>
        <v>2.8471101309146948E-3</v>
      </c>
      <c r="W93" s="2"/>
      <c r="X93" s="2">
        <f t="shared" si="63"/>
        <v>-2462.2700000000004</v>
      </c>
      <c r="Y93" s="2"/>
      <c r="Z93" s="19">
        <f t="shared" si="64"/>
        <v>-0.99194685488224454</v>
      </c>
    </row>
    <row r="94" spans="1:26" s="24" customFormat="1" hidden="1" outlineLevel="1" x14ac:dyDescent="0.25">
      <c r="A94" s="44"/>
      <c r="B94" s="11" t="str">
        <f>CONCATENATE("          ", "4387", " - ", "SALES RETURN NON TAXABLE-COMPU")</f>
        <v xml:space="preserve">          4387 - SALES RETURN NON TAXABLE-COMPU</v>
      </c>
      <c r="C94" s="11"/>
      <c r="D94" s="2">
        <f t="shared" si="65"/>
        <v>0</v>
      </c>
      <c r="E94" s="2"/>
      <c r="F94" s="19">
        <f t="shared" si="57"/>
        <v>0</v>
      </c>
      <c r="G94" s="2"/>
      <c r="H94" s="2">
        <f>-2820.7</f>
        <v>-2820.7</v>
      </c>
      <c r="I94" s="2"/>
      <c r="J94" s="19">
        <f t="shared" si="58"/>
        <v>-5.6243570731967993E-3</v>
      </c>
      <c r="K94" s="2"/>
      <c r="L94" s="2">
        <f t="shared" si="59"/>
        <v>2820.7</v>
      </c>
      <c r="M94" s="2"/>
      <c r="N94" s="19">
        <f t="shared" si="60"/>
        <v>-1</v>
      </c>
      <c r="O94" s="11"/>
      <c r="P94" s="2">
        <f>0</f>
        <v>0</v>
      </c>
      <c r="Q94" s="2"/>
      <c r="R94" s="19">
        <f t="shared" si="61"/>
        <v>0</v>
      </c>
      <c r="S94" s="2"/>
      <c r="T94" s="2">
        <f>-3451.5</f>
        <v>-3451.5</v>
      </c>
      <c r="U94" s="2"/>
      <c r="V94" s="19">
        <f t="shared" si="62"/>
        <v>-3.9588119765262579E-3</v>
      </c>
      <c r="W94" s="2"/>
      <c r="X94" s="2">
        <f t="shared" si="63"/>
        <v>3451.5</v>
      </c>
      <c r="Y94" s="2"/>
      <c r="Z94" s="19">
        <f t="shared" si="64"/>
        <v>-1</v>
      </c>
    </row>
    <row r="95" spans="1:26" s="24" customFormat="1" hidden="1" outlineLevel="1" x14ac:dyDescent="0.25">
      <c r="A95" s="44"/>
      <c r="B95" s="11" t="str">
        <f>CONCATENATE("          ", "9150", " - ", "MISC. INCOME")</f>
        <v xml:space="preserve">          9150 - MISC. INCOME</v>
      </c>
      <c r="C95" s="11"/>
      <c r="D95" s="2">
        <f>-138.8</f>
        <v>-138.80000000000001</v>
      </c>
      <c r="E95" s="2"/>
      <c r="F95" s="19">
        <f t="shared" si="57"/>
        <v>-2.8230252775473163E-4</v>
      </c>
      <c r="G95" s="2"/>
      <c r="H95" s="2">
        <f>-1907.01</f>
        <v>-1907.01</v>
      </c>
      <c r="I95" s="2"/>
      <c r="J95" s="19">
        <f t="shared" si="58"/>
        <v>-3.8024976715556528E-3</v>
      </c>
      <c r="K95" s="2"/>
      <c r="L95" s="2">
        <f t="shared" si="59"/>
        <v>1768.21</v>
      </c>
      <c r="M95" s="2"/>
      <c r="N95" s="19">
        <f t="shared" si="60"/>
        <v>-0.92721590342997684</v>
      </c>
      <c r="O95" s="11"/>
      <c r="P95" s="2">
        <f>-534.15</f>
        <v>-534.15</v>
      </c>
      <c r="Q95" s="2"/>
      <c r="R95" s="19">
        <f t="shared" si="61"/>
        <v>-7.6346604235540637E-4</v>
      </c>
      <c r="S95" s="2"/>
      <c r="T95" s="2">
        <f>-2040.3</f>
        <v>-2040.3</v>
      </c>
      <c r="U95" s="2"/>
      <c r="V95" s="19">
        <f t="shared" si="62"/>
        <v>-2.3401895047679335E-3</v>
      </c>
      <c r="W95" s="2"/>
      <c r="X95" s="2">
        <f t="shared" si="63"/>
        <v>1506.15</v>
      </c>
      <c r="Y95" s="2"/>
      <c r="Z95" s="19">
        <f t="shared" si="64"/>
        <v>-0.73820026466696076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6" t="s">
        <v>3</v>
      </c>
      <c r="C97" s="26"/>
      <c r="D97" s="22">
        <f>+D51-D53+D92</f>
        <v>-2067.4899999999461</v>
      </c>
      <c r="E97" s="13"/>
      <c r="F97" s="21">
        <f>IF(D$12=0,0,D97/D$12)</f>
        <v>-4.2050263192191274E-3</v>
      </c>
      <c r="G97" s="13"/>
      <c r="H97" s="22">
        <f>+H51-H53+H92</f>
        <v>-21452.760000000078</v>
      </c>
      <c r="I97" s="13"/>
      <c r="J97" s="21">
        <f>IF(H$12=0,0,H97/H$12)</f>
        <v>-4.2775900466406856E-2</v>
      </c>
      <c r="K97" s="16"/>
      <c r="L97" s="22">
        <f>+D97-H97</f>
        <v>19385.270000000131</v>
      </c>
      <c r="M97" s="16"/>
      <c r="N97" s="21">
        <f>IF(H97=0,0,L97/H97)</f>
        <v>-0.90362592039439493</v>
      </c>
      <c r="O97" s="25"/>
      <c r="P97" s="22">
        <f>+P51-P53+P92</f>
        <v>9788.5600000001759</v>
      </c>
      <c r="Q97" s="13"/>
      <c r="R97" s="21">
        <f>IF(P$12=0,0,P97/P$12)</f>
        <v>1.3990888633452346E-2</v>
      </c>
      <c r="S97" s="13"/>
      <c r="T97" s="22">
        <f>+T51-T53+T92</f>
        <v>-18446.709999999985</v>
      </c>
      <c r="U97" s="13"/>
      <c r="V97" s="21">
        <f>IF(T$12=0,0,T97/T$12)</f>
        <v>-2.1158063588441727E-2</v>
      </c>
      <c r="W97" s="16"/>
      <c r="X97" s="22">
        <f>+P97-T97</f>
        <v>28235.270000000161</v>
      </c>
      <c r="Y97" s="16"/>
      <c r="Z97" s="21">
        <f>IF(T97=0,0,X97/T97)</f>
        <v>-1.5306398810411279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1"/>
      <c r="B99" s="10" t="s">
        <v>13</v>
      </c>
      <c r="C99" s="10"/>
      <c r="D99" s="4">
        <v>17925.129999999997</v>
      </c>
      <c r="E99" s="4"/>
      <c r="F99" s="12">
        <f>IF(D$12=0,0,D99/D$12)</f>
        <v>3.6457561306427751E-2</v>
      </c>
      <c r="G99" s="4"/>
      <c r="H99" s="4">
        <v>31700.05</v>
      </c>
      <c r="I99" s="4"/>
      <c r="J99" s="12">
        <f>IF(H$12=0,0,H99/H$12)</f>
        <v>6.320856540510944E-2</v>
      </c>
      <c r="K99" s="4"/>
      <c r="L99" s="4">
        <f>+D99-H99</f>
        <v>-13774.920000000002</v>
      </c>
      <c r="M99" s="4"/>
      <c r="N99" s="12">
        <f>IF(H99=0,0,L99/H99)</f>
        <v>-0.43453937769814249</v>
      </c>
      <c r="O99" s="10"/>
      <c r="P99" s="4">
        <v>118124.60999999999</v>
      </c>
      <c r="Q99" s="4"/>
      <c r="R99" s="12">
        <f>IF(P$12=0,0,P99/P$12)</f>
        <v>0.16883670972849546</v>
      </c>
      <c r="S99" s="4"/>
      <c r="T99" s="4">
        <v>108704.09999999999</v>
      </c>
      <c r="U99" s="4"/>
      <c r="V99" s="12">
        <f>IF(T$12=0,0,T99/T$12)</f>
        <v>0.12468175951832766</v>
      </c>
      <c r="W99" s="4"/>
      <c r="X99" s="4">
        <f>+P99-T99</f>
        <v>9420.5099999999948</v>
      </c>
      <c r="Y99" s="4"/>
      <c r="Z99" s="12">
        <f>IF(T99=0,0,X99/T99)</f>
        <v>8.6661956632730464E-2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6" t="s">
        <v>4</v>
      </c>
      <c r="C101" s="26"/>
      <c r="D101" s="36">
        <f>+D97-D99</f>
        <v>-19992.619999999944</v>
      </c>
      <c r="E101" s="13"/>
      <c r="F101" s="34">
        <f>IF(D$12=0,0,D101/D$12)</f>
        <v>-4.0662587625646882E-2</v>
      </c>
      <c r="G101" s="13"/>
      <c r="H101" s="36">
        <f>+H97-H99</f>
        <v>-53152.810000000078</v>
      </c>
      <c r="I101" s="13"/>
      <c r="J101" s="34">
        <f>IF(H$12=0,0,H101/H$12)</f>
        <v>-0.1059844658715163</v>
      </c>
      <c r="K101" s="16"/>
      <c r="L101" s="36">
        <f>D101-H101</f>
        <v>33160.190000000133</v>
      </c>
      <c r="M101" s="16"/>
      <c r="N101" s="34">
        <f>IF(H101=0,0,L101/H101)</f>
        <v>-0.62386522932654143</v>
      </c>
      <c r="O101" s="25"/>
      <c r="P101" s="36">
        <f>+P97-P99</f>
        <v>-108336.04999999981</v>
      </c>
      <c r="Q101" s="13"/>
      <c r="R101" s="34">
        <f>IF(P$12=0,0,P101/P$12)</f>
        <v>-0.15484582109504311</v>
      </c>
      <c r="S101" s="13"/>
      <c r="T101" s="36">
        <f>+T97-T99</f>
        <v>-127150.80999999997</v>
      </c>
      <c r="U101" s="13"/>
      <c r="V101" s="34">
        <f>IF(T$12=0,0,T101/T$12)</f>
        <v>-0.14583982310676938</v>
      </c>
      <c r="W101" s="16"/>
      <c r="X101" s="36">
        <f>P101-T101</f>
        <v>18814.760000000155</v>
      </c>
      <c r="Y101" s="16"/>
      <c r="Z101" s="34">
        <f>IF(T101=0,0,X101/T101)</f>
        <v>-0.14797200269506863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5</v>
      </c>
      <c r="C104" s="26"/>
      <c r="D104" s="30">
        <f>SUM(D101:D103)</f>
        <v>-19992.619999999944</v>
      </c>
      <c r="E104" s="13"/>
      <c r="F104" s="31">
        <f>IF(D$12=0,0,D104/D$12)</f>
        <v>-4.0662587625646882E-2</v>
      </c>
      <c r="G104" s="13"/>
      <c r="H104" s="30">
        <f>SUM(H101:H103)</f>
        <v>-53152.810000000078</v>
      </c>
      <c r="I104" s="13"/>
      <c r="J104" s="31">
        <f>IF(H$12=0,0,H104/H$12)</f>
        <v>-0.1059844658715163</v>
      </c>
      <c r="K104" s="16"/>
      <c r="L104" s="30">
        <f>+D104-H104</f>
        <v>33160.190000000133</v>
      </c>
      <c r="M104" s="16"/>
      <c r="N104" s="31">
        <f>IF(H104=0,0,L104/H104)</f>
        <v>-0.62386522932654143</v>
      </c>
      <c r="O104" s="25"/>
      <c r="P104" s="30">
        <f>SUM(P101:P103)</f>
        <v>-108336.04999999981</v>
      </c>
      <c r="Q104" s="13"/>
      <c r="R104" s="31">
        <f>IF(P$12=0,0,P104/P$12)</f>
        <v>-0.15484582109504311</v>
      </c>
      <c r="S104" s="13"/>
      <c r="T104" s="30">
        <f>SUM(T101:T103)</f>
        <v>-127150.80999999997</v>
      </c>
      <c r="U104" s="13"/>
      <c r="V104" s="31">
        <f>IF(T$12=0,0,T104/T$12)</f>
        <v>-0.14583982310676938</v>
      </c>
      <c r="W104" s="16"/>
      <c r="X104" s="30">
        <f>+P104-T104</f>
        <v>18814.760000000155</v>
      </c>
      <c r="Y104" s="16"/>
      <c r="Z104" s="31">
        <f>IF(T104=0,0,X104/T104)</f>
        <v>-0.14797200269506863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1">
        <v>44113.69593001157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6" t="s">
        <v>313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8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10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","317", " - ", "Computer Store")</f>
        <v>Department 317 - Computer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491671.12000000005</v>
      </c>
      <c r="E12" s="4"/>
      <c r="F12" s="12"/>
      <c r="G12" s="4"/>
      <c r="H12" s="4">
        <f>SUM(OSRRefH13x_0)</f>
        <v>501515.09999999992</v>
      </c>
      <c r="I12" s="4"/>
      <c r="J12" s="12"/>
      <c r="K12" s="4"/>
      <c r="L12" s="4">
        <f t="shared" ref="L12:L36" si="0">+D12-H12</f>
        <v>-9843.979999999865</v>
      </c>
      <c r="M12" s="4"/>
      <c r="N12" s="12">
        <f t="shared" ref="N12:N36" si="1">IF(H12=0,0,L12/H12)</f>
        <v>-1.9628481774526564E-2</v>
      </c>
      <c r="O12" s="10"/>
      <c r="P12" s="4">
        <f>SUM(OSRRefP13x_0)</f>
        <v>699638.19000000018</v>
      </c>
      <c r="Q12" s="4"/>
      <c r="R12" s="12"/>
      <c r="S12" s="4"/>
      <c r="T12" s="4">
        <f>SUM(OSRRefT13x_0)</f>
        <v>871852.47000000009</v>
      </c>
      <c r="U12" s="4"/>
      <c r="V12" s="12"/>
      <c r="W12" s="4"/>
      <c r="X12" s="4">
        <f t="shared" ref="X12:X36" si="2">+P12-T12</f>
        <v>-172214.27999999991</v>
      </c>
      <c r="Y12" s="4"/>
      <c r="Z12" s="12">
        <f t="shared" ref="Z12:Z36" si="3">IF(T12=0,0,X12/T12)</f>
        <v>-0.19752685910266435</v>
      </c>
    </row>
    <row r="13" spans="1:26" s="24" customFormat="1" hidden="1" outlineLevel="1" x14ac:dyDescent="0.25">
      <c r="A13" s="44"/>
      <c r="B13" s="11" t="str">
        <f>CONCATENATE("          ", "4000", " - ", "TAXABLE SALES")</f>
        <v xml:space="preserve">          4000 - TAXABLE SALES</v>
      </c>
      <c r="C13" s="11"/>
      <c r="D13" s="2">
        <f>-803.28</f>
        <v>-803.28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-803.28</v>
      </c>
      <c r="M13" s="2"/>
      <c r="N13" s="19">
        <f t="shared" si="1"/>
        <v>0</v>
      </c>
      <c r="O13" s="11"/>
      <c r="P13" s="2">
        <f>-1174.19</f>
        <v>-1174.19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-1174.19</v>
      </c>
      <c r="Y13" s="2"/>
      <c r="Z13" s="19">
        <f t="shared" si="3"/>
        <v>0</v>
      </c>
    </row>
    <row r="14" spans="1:26" s="24" customFormat="1" hidden="1" outlineLevel="1" x14ac:dyDescent="0.25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>--16305.86</f>
        <v>16305.86</v>
      </c>
      <c r="E14" s="2"/>
      <c r="F14" s="19"/>
      <c r="G14" s="2"/>
      <c r="H14" s="2">
        <f>--88475.34</f>
        <v>88475.34</v>
      </c>
      <c r="I14" s="2"/>
      <c r="J14" s="19"/>
      <c r="K14" s="2"/>
      <c r="L14" s="2">
        <f t="shared" si="0"/>
        <v>-72169.48</v>
      </c>
      <c r="M14" s="2"/>
      <c r="N14" s="19">
        <f t="shared" si="1"/>
        <v>-0.81570164070576046</v>
      </c>
      <c r="O14" s="11"/>
      <c r="P14" s="2">
        <f>--37863.02</f>
        <v>37863.019999999997</v>
      </c>
      <c r="Q14" s="2"/>
      <c r="R14" s="19"/>
      <c r="S14" s="2"/>
      <c r="T14" s="2">
        <f>--109419.93</f>
        <v>109419.93</v>
      </c>
      <c r="U14" s="2"/>
      <c r="V14" s="19"/>
      <c r="W14" s="2"/>
      <c r="X14" s="2">
        <f t="shared" si="2"/>
        <v>-71556.91</v>
      </c>
      <c r="Y14" s="2"/>
      <c r="Z14" s="19">
        <f t="shared" si="3"/>
        <v>-0.65396596397018358</v>
      </c>
    </row>
    <row r="15" spans="1:26" s="24" customFormat="1" hidden="1" outlineLevel="1" x14ac:dyDescent="0.25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>--403983.14</f>
        <v>403983.14</v>
      </c>
      <c r="E15" s="2"/>
      <c r="F15" s="19"/>
      <c r="G15" s="2"/>
      <c r="H15" s="2">
        <f>--414765.04</f>
        <v>414765.04</v>
      </c>
      <c r="I15" s="2"/>
      <c r="J15" s="19"/>
      <c r="K15" s="2"/>
      <c r="L15" s="2">
        <f t="shared" si="0"/>
        <v>-10781.899999999965</v>
      </c>
      <c r="M15" s="2"/>
      <c r="N15" s="19">
        <f t="shared" si="1"/>
        <v>-2.5995199595414228E-2</v>
      </c>
      <c r="O15" s="11"/>
      <c r="P15" s="2">
        <f>--541212.01</f>
        <v>541212.01</v>
      </c>
      <c r="Q15" s="2"/>
      <c r="R15" s="19"/>
      <c r="S15" s="2"/>
      <c r="T15" s="2">
        <f>--813534.78</f>
        <v>813534.78</v>
      </c>
      <c r="U15" s="2"/>
      <c r="V15" s="19"/>
      <c r="W15" s="2"/>
      <c r="X15" s="2">
        <f t="shared" si="2"/>
        <v>-272322.77</v>
      </c>
      <c r="Y15" s="2"/>
      <c r="Z15" s="19">
        <f t="shared" si="3"/>
        <v>-0.33474016931396589</v>
      </c>
    </row>
    <row r="16" spans="1:26" s="24" customFormat="1" hidden="1" outlineLevel="1" x14ac:dyDescent="0.25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>--42925.21</f>
        <v>42925.21</v>
      </c>
      <c r="E16" s="2"/>
      <c r="F16" s="19"/>
      <c r="G16" s="2"/>
      <c r="H16" s="2">
        <f>--15671.69</f>
        <v>15671.69</v>
      </c>
      <c r="I16" s="2"/>
      <c r="J16" s="19"/>
      <c r="K16" s="2"/>
      <c r="L16" s="2">
        <f t="shared" si="0"/>
        <v>27253.519999999997</v>
      </c>
      <c r="M16" s="2"/>
      <c r="N16" s="19">
        <f t="shared" si="1"/>
        <v>1.7390287837495506</v>
      </c>
      <c r="O16" s="11"/>
      <c r="P16" s="2">
        <f>--49715.36</f>
        <v>49715.360000000001</v>
      </c>
      <c r="Q16" s="2"/>
      <c r="R16" s="19"/>
      <c r="S16" s="2"/>
      <c r="T16" s="2">
        <f>--23577.79</f>
        <v>23577.79</v>
      </c>
      <c r="U16" s="2"/>
      <c r="V16" s="19"/>
      <c r="W16" s="2"/>
      <c r="X16" s="2">
        <f t="shared" si="2"/>
        <v>26137.57</v>
      </c>
      <c r="Y16" s="2"/>
      <c r="Z16" s="19">
        <f t="shared" si="3"/>
        <v>1.108567427227064</v>
      </c>
    </row>
    <row r="17" spans="1:26" s="24" customFormat="1" hidden="1" outlineLevel="1" x14ac:dyDescent="0.25">
      <c r="A17" s="44"/>
      <c r="B17" s="11" t="str">
        <f>CONCATENATE("          ", "4084", " - ", "TAXABLE SALES-SOFTWARE LICENSE")</f>
        <v xml:space="preserve">          4084 - TAXABLE SALES-SOFTWARE LICENSE</v>
      </c>
      <c r="C17" s="11"/>
      <c r="D17" s="2">
        <f>0</f>
        <v>0</v>
      </c>
      <c r="E17" s="2"/>
      <c r="F17" s="19"/>
      <c r="G17" s="2"/>
      <c r="H17" s="2">
        <f t="shared" ref="H17:H18" si="4"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>0</f>
        <v>0</v>
      </c>
      <c r="Q17" s="2"/>
      <c r="R17" s="19"/>
      <c r="S17" s="2"/>
      <c r="T17" s="2">
        <f>--129</f>
        <v>129</v>
      </c>
      <c r="U17" s="2"/>
      <c r="V17" s="19"/>
      <c r="W17" s="2"/>
      <c r="X17" s="2">
        <f t="shared" si="2"/>
        <v>-129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"4085", " - ", "TAXABLE SALES-SOFTWARE")</f>
        <v xml:space="preserve">          4085 - TAXABLE SALES-SOFTWARE</v>
      </c>
      <c r="C18" s="11"/>
      <c r="D18" s="2">
        <f>--129</f>
        <v>129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129</v>
      </c>
      <c r="M18" s="2"/>
      <c r="N18" s="19">
        <f t="shared" si="1"/>
        <v>0</v>
      </c>
      <c r="O18" s="11"/>
      <c r="P18" s="2">
        <f>--129</f>
        <v>129</v>
      </c>
      <c r="Q18" s="2"/>
      <c r="R18" s="19"/>
      <c r="S18" s="2"/>
      <c r="T18" s="2">
        <f>--493.95</f>
        <v>493.95</v>
      </c>
      <c r="U18" s="2"/>
      <c r="V18" s="19"/>
      <c r="W18" s="2"/>
      <c r="X18" s="2">
        <f t="shared" si="2"/>
        <v>-364.95</v>
      </c>
      <c r="Y18" s="2"/>
      <c r="Z18" s="19">
        <f t="shared" si="3"/>
        <v>-0.73883996355906467</v>
      </c>
    </row>
    <row r="19" spans="1:26" s="24" customFormat="1" hidden="1" outlineLevel="1" x14ac:dyDescent="0.25">
      <c r="A19" s="44"/>
      <c r="B19" s="11" t="str">
        <f>CONCATENATE("          ", "4086", " - ", "TAXABLE SALES-COMPUTER SUPPLIE")</f>
        <v xml:space="preserve">          4086 - TAXABLE SALES-COMPUTER SUPPLIE</v>
      </c>
      <c r="C19" s="11"/>
      <c r="D19" s="2">
        <f>--1308.27</f>
        <v>1308.27</v>
      </c>
      <c r="E19" s="2"/>
      <c r="F19" s="19"/>
      <c r="G19" s="2"/>
      <c r="H19" s="2">
        <f>--7578.27</f>
        <v>7578.27</v>
      </c>
      <c r="I19" s="2"/>
      <c r="J19" s="19"/>
      <c r="K19" s="2"/>
      <c r="L19" s="2">
        <f t="shared" si="0"/>
        <v>-6270</v>
      </c>
      <c r="M19" s="2"/>
      <c r="N19" s="19">
        <f t="shared" si="1"/>
        <v>-0.827365612468281</v>
      </c>
      <c r="O19" s="11"/>
      <c r="P19" s="2">
        <f>--27267.48</f>
        <v>27267.48</v>
      </c>
      <c r="Q19" s="2"/>
      <c r="R19" s="19"/>
      <c r="S19" s="2"/>
      <c r="T19" s="2">
        <f>--9558.6</f>
        <v>9558.6</v>
      </c>
      <c r="U19" s="2"/>
      <c r="V19" s="19"/>
      <c r="W19" s="2"/>
      <c r="X19" s="2">
        <f t="shared" si="2"/>
        <v>17708.879999999997</v>
      </c>
      <c r="Y19" s="2"/>
      <c r="Z19" s="19">
        <f t="shared" si="3"/>
        <v>1.8526646161571776</v>
      </c>
    </row>
    <row r="20" spans="1:26" s="24" customFormat="1" hidden="1" outlineLevel="1" x14ac:dyDescent="0.25">
      <c r="A20" s="44"/>
      <c r="B20" s="11" t="str">
        <f>CONCATENATE("          ", "4088", " - ", "TAXABLE SALES-MUSIC")</f>
        <v xml:space="preserve">          4088 - TAXABLE SALES-MUSIC</v>
      </c>
      <c r="C20" s="11"/>
      <c r="D20" s="2">
        <f>0</f>
        <v>0</v>
      </c>
      <c r="E20" s="2"/>
      <c r="F20" s="19"/>
      <c r="G20" s="2"/>
      <c r="H20" s="2">
        <f>--259.98</f>
        <v>259.98</v>
      </c>
      <c r="I20" s="2"/>
      <c r="J20" s="19"/>
      <c r="K20" s="2"/>
      <c r="L20" s="2">
        <f t="shared" si="0"/>
        <v>-259.98</v>
      </c>
      <c r="M20" s="2"/>
      <c r="N20" s="19">
        <f t="shared" si="1"/>
        <v>-1</v>
      </c>
      <c r="O20" s="11"/>
      <c r="P20" s="2">
        <f>0</f>
        <v>0</v>
      </c>
      <c r="Q20" s="2"/>
      <c r="R20" s="19"/>
      <c r="S20" s="2"/>
      <c r="T20" s="2">
        <f>--518.97</f>
        <v>518.97</v>
      </c>
      <c r="U20" s="2"/>
      <c r="V20" s="19"/>
      <c r="W20" s="2"/>
      <c r="X20" s="2">
        <f t="shared" si="2"/>
        <v>-518.97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"4181", " - ", "NON-TAXABLE SALES-ELECTRONICS")</f>
        <v xml:space="preserve">          4181 - NON-TAXABLE SALES-ELECTRONICS</v>
      </c>
      <c r="C21" s="11"/>
      <c r="D21" s="2">
        <f>--2349.29</f>
        <v>2349.29</v>
      </c>
      <c r="E21" s="2"/>
      <c r="F21" s="19"/>
      <c r="G21" s="2"/>
      <c r="H21" s="2">
        <f>--87.95</f>
        <v>87.95</v>
      </c>
      <c r="I21" s="2"/>
      <c r="J21" s="19"/>
      <c r="K21" s="2"/>
      <c r="L21" s="2">
        <f t="shared" si="0"/>
        <v>2261.34</v>
      </c>
      <c r="M21" s="2"/>
      <c r="N21" s="19">
        <f t="shared" si="1"/>
        <v>25.711654349061966</v>
      </c>
      <c r="O21" s="11"/>
      <c r="P21" s="2">
        <f>--2639.27</f>
        <v>2639.27</v>
      </c>
      <c r="Q21" s="2"/>
      <c r="R21" s="19"/>
      <c r="S21" s="2"/>
      <c r="T21" s="2">
        <f>--1390.56</f>
        <v>1390.56</v>
      </c>
      <c r="U21" s="2"/>
      <c r="V21" s="19"/>
      <c r="W21" s="2"/>
      <c r="X21" s="2">
        <f t="shared" si="2"/>
        <v>1248.71</v>
      </c>
      <c r="Y21" s="2"/>
      <c r="Z21" s="19">
        <f t="shared" si="3"/>
        <v>0.89799073754458647</v>
      </c>
    </row>
    <row r="22" spans="1:26" s="24" customFormat="1" hidden="1" outlineLevel="1" x14ac:dyDescent="0.25">
      <c r="A22" s="44"/>
      <c r="B22" s="11" t="str">
        <f>CONCATENATE("          ", "4182", " - ", "NON-TAXABLE SALES-COMPUTER HAR")</f>
        <v xml:space="preserve">          4182 - NON-TAXABLE SALES-COMPUTER HAR</v>
      </c>
      <c r="C22" s="11"/>
      <c r="D22" s="2">
        <f>--46190.39</f>
        <v>46190.39</v>
      </c>
      <c r="E22" s="2"/>
      <c r="F22" s="19"/>
      <c r="G22" s="2"/>
      <c r="H22" s="2">
        <f>--19953</f>
        <v>19953</v>
      </c>
      <c r="I22" s="2"/>
      <c r="J22" s="19"/>
      <c r="K22" s="2"/>
      <c r="L22" s="2">
        <f t="shared" si="0"/>
        <v>26237.39</v>
      </c>
      <c r="M22" s="2"/>
      <c r="N22" s="19">
        <f t="shared" si="1"/>
        <v>1.3149596551896958</v>
      </c>
      <c r="O22" s="11"/>
      <c r="P22" s="2">
        <f>--82067.38</f>
        <v>82067.38</v>
      </c>
      <c r="Q22" s="2"/>
      <c r="R22" s="19"/>
      <c r="S22" s="2"/>
      <c r="T22" s="2">
        <f>--30571</f>
        <v>30571</v>
      </c>
      <c r="U22" s="2"/>
      <c r="V22" s="19"/>
      <c r="W22" s="2"/>
      <c r="X22" s="2">
        <f t="shared" si="2"/>
        <v>51496.380000000005</v>
      </c>
      <c r="Y22" s="2"/>
      <c r="Z22" s="19">
        <f t="shared" si="3"/>
        <v>1.6844846423080699</v>
      </c>
    </row>
    <row r="23" spans="1:26" s="24" customFormat="1" hidden="1" outlineLevel="1" x14ac:dyDescent="0.25">
      <c r="A23" s="44"/>
      <c r="B23" s="11" t="str">
        <f>CONCATENATE("          ", "4183", " - ", "NON-TAXABLE SALES-COMPUTER EQU")</f>
        <v xml:space="preserve">          4183 - NON-TAXABLE SALES-COMPUTER EQU</v>
      </c>
      <c r="C23" s="11"/>
      <c r="D23" s="2">
        <f>--1759.83</f>
        <v>1759.83</v>
      </c>
      <c r="E23" s="2"/>
      <c r="F23" s="19"/>
      <c r="G23" s="2"/>
      <c r="H23" s="2">
        <f>--974.39</f>
        <v>974.39</v>
      </c>
      <c r="I23" s="2"/>
      <c r="J23" s="19"/>
      <c r="K23" s="2"/>
      <c r="L23" s="2">
        <f t="shared" si="0"/>
        <v>785.43999999999994</v>
      </c>
      <c r="M23" s="2"/>
      <c r="N23" s="19">
        <f t="shared" si="1"/>
        <v>0.80608380627880005</v>
      </c>
      <c r="O23" s="11"/>
      <c r="P23" s="2">
        <f>--3119.68</f>
        <v>3119.68</v>
      </c>
      <c r="Q23" s="2"/>
      <c r="R23" s="19"/>
      <c r="S23" s="2"/>
      <c r="T23" s="2">
        <f>--1156.29</f>
        <v>1156.29</v>
      </c>
      <c r="U23" s="2"/>
      <c r="V23" s="19"/>
      <c r="W23" s="2"/>
      <c r="X23" s="2">
        <f t="shared" si="2"/>
        <v>1963.3899999999999</v>
      </c>
      <c r="Y23" s="2"/>
      <c r="Z23" s="19">
        <f t="shared" si="3"/>
        <v>1.698008285118785</v>
      </c>
    </row>
    <row r="24" spans="1:26" s="24" customFormat="1" hidden="1" outlineLevel="1" x14ac:dyDescent="0.25">
      <c r="A24" s="44"/>
      <c r="B24" s="11" t="str">
        <f>CONCATENATE("          ", "4184", " - ", "NON-TAXABLE SALES-SOFTWARE LIC")</f>
        <v xml:space="preserve">          4184 - NON-TAXABLE SALES-SOFTWARE LIC</v>
      </c>
      <c r="C24" s="11"/>
      <c r="D24" s="2">
        <f>0</f>
        <v>0</v>
      </c>
      <c r="E24" s="2"/>
      <c r="F24" s="19"/>
      <c r="G24" s="2"/>
      <c r="H24" s="2">
        <f>--1522</f>
        <v>1522</v>
      </c>
      <c r="I24" s="2"/>
      <c r="J24" s="19"/>
      <c r="K24" s="2"/>
      <c r="L24" s="2">
        <f t="shared" si="0"/>
        <v>-1522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--1522</f>
        <v>1522</v>
      </c>
      <c r="U24" s="2"/>
      <c r="V24" s="19"/>
      <c r="W24" s="2"/>
      <c r="X24" s="2">
        <f t="shared" si="2"/>
        <v>-1522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"4185", " - ", "NON-TAXABLE SALES-SOFTWARE")</f>
        <v xml:space="preserve">          4185 - NON-TAXABLE SALES-SOFTWARE</v>
      </c>
      <c r="C25" s="11"/>
      <c r="D25" s="2">
        <f>--4610.75</f>
        <v>4610.75</v>
      </c>
      <c r="E25" s="2"/>
      <c r="F25" s="19"/>
      <c r="G25" s="2"/>
      <c r="H25" s="2">
        <f>--3770</f>
        <v>3770</v>
      </c>
      <c r="I25" s="2"/>
      <c r="J25" s="19"/>
      <c r="K25" s="2"/>
      <c r="L25" s="2">
        <f t="shared" si="0"/>
        <v>840.75</v>
      </c>
      <c r="M25" s="2"/>
      <c r="N25" s="19">
        <f t="shared" si="1"/>
        <v>0.22301061007957559</v>
      </c>
      <c r="O25" s="11"/>
      <c r="P25" s="2">
        <f>--10798.49</f>
        <v>10798.49</v>
      </c>
      <c r="Q25" s="2"/>
      <c r="R25" s="19"/>
      <c r="S25" s="2"/>
      <c r="T25" s="2">
        <f>--4522</f>
        <v>4522</v>
      </c>
      <c r="U25" s="2"/>
      <c r="V25" s="19"/>
      <c r="W25" s="2"/>
      <c r="X25" s="2">
        <f t="shared" si="2"/>
        <v>6276.49</v>
      </c>
      <c r="Y25" s="2"/>
      <c r="Z25" s="19">
        <f t="shared" si="3"/>
        <v>1.3879898275099514</v>
      </c>
    </row>
    <row r="26" spans="1:26" s="24" customFormat="1" hidden="1" outlineLevel="1" x14ac:dyDescent="0.25">
      <c r="A26" s="44"/>
      <c r="B26" s="11" t="str">
        <f>CONCATENATE("          ", "4186", " - ", "NON-TAXABLE SALES-COMPUTER SUP")</f>
        <v xml:space="preserve">          4186 - NON-TAXABLE SALES-COMPUTER SUP</v>
      </c>
      <c r="C26" s="11"/>
      <c r="D26" s="2">
        <f>--257.95</f>
        <v>257.95</v>
      </c>
      <c r="E26" s="2"/>
      <c r="F26" s="19"/>
      <c r="G26" s="2"/>
      <c r="H26" s="2">
        <f>--194.93</f>
        <v>194.93</v>
      </c>
      <c r="I26" s="2"/>
      <c r="J26" s="19"/>
      <c r="K26" s="2"/>
      <c r="L26" s="2">
        <f t="shared" si="0"/>
        <v>63.019999999999982</v>
      </c>
      <c r="M26" s="2"/>
      <c r="N26" s="19">
        <f t="shared" si="1"/>
        <v>0.323295541989432</v>
      </c>
      <c r="O26" s="11"/>
      <c r="P26" s="2">
        <f>--412.9</f>
        <v>412.9</v>
      </c>
      <c r="Q26" s="2"/>
      <c r="R26" s="19"/>
      <c r="S26" s="2"/>
      <c r="T26" s="2">
        <f>--274.9</f>
        <v>274.89999999999998</v>
      </c>
      <c r="U26" s="2"/>
      <c r="V26" s="19"/>
      <c r="W26" s="2"/>
      <c r="X26" s="2">
        <f t="shared" si="2"/>
        <v>138</v>
      </c>
      <c r="Y26" s="2"/>
      <c r="Z26" s="19">
        <f t="shared" si="3"/>
        <v>0.50200072753728631</v>
      </c>
    </row>
    <row r="27" spans="1:26" s="24" customFormat="1" hidden="1" outlineLevel="1" x14ac:dyDescent="0.25">
      <c r="A27" s="44"/>
      <c r="B27" s="11" t="str">
        <f>CONCATENATE("          ", "4188", " - ", "NON-TAXABLE SALES-MUSIC")</f>
        <v xml:space="preserve">          4188 - NON-TAXABLE SALES-MUSIC</v>
      </c>
      <c r="C27" s="11"/>
      <c r="D27" s="2">
        <f>0</f>
        <v>0</v>
      </c>
      <c r="E27" s="2"/>
      <c r="F27" s="19"/>
      <c r="G27" s="2"/>
      <c r="H27" s="2">
        <f>0</f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>0</f>
        <v>0</v>
      </c>
      <c r="Q27" s="2"/>
      <c r="R27" s="19"/>
      <c r="S27" s="2"/>
      <c r="T27" s="2">
        <f>--99.98</f>
        <v>99.98</v>
      </c>
      <c r="U27" s="2"/>
      <c r="V27" s="19"/>
      <c r="W27" s="2"/>
      <c r="X27" s="2">
        <f t="shared" si="2"/>
        <v>-99.98</v>
      </c>
      <c r="Y27" s="2"/>
      <c r="Z27" s="19">
        <f t="shared" si="3"/>
        <v>-1</v>
      </c>
    </row>
    <row r="28" spans="1:26" s="24" customFormat="1" hidden="1" outlineLevel="1" x14ac:dyDescent="0.25">
      <c r="A28" s="44"/>
      <c r="B28" s="11" t="str">
        <f>CONCATENATE("          ", "4281", " - ", "SALES RETURN TAXABLE-ELECTRONI")</f>
        <v xml:space="preserve">          4281 - SALES RETURN TAXABLE-ELECTRONI</v>
      </c>
      <c r="C28" s="11"/>
      <c r="D28" s="2">
        <f>-7424.23</f>
        <v>-7424.23</v>
      </c>
      <c r="E28" s="2"/>
      <c r="F28" s="19"/>
      <c r="G28" s="2"/>
      <c r="H28" s="2">
        <f>-575.76</f>
        <v>-575.76</v>
      </c>
      <c r="I28" s="2"/>
      <c r="J28" s="19"/>
      <c r="K28" s="2"/>
      <c r="L28" s="2">
        <f t="shared" si="0"/>
        <v>-6848.4699999999993</v>
      </c>
      <c r="M28" s="2"/>
      <c r="N28" s="19">
        <f t="shared" si="1"/>
        <v>11.894660969848546</v>
      </c>
      <c r="O28" s="11"/>
      <c r="P28" s="2">
        <f>-13716.22</f>
        <v>-13716.22</v>
      </c>
      <c r="Q28" s="2"/>
      <c r="R28" s="19"/>
      <c r="S28" s="2"/>
      <c r="T28" s="2">
        <f>-2234.75</f>
        <v>-2234.75</v>
      </c>
      <c r="U28" s="2"/>
      <c r="V28" s="19"/>
      <c r="W28" s="2"/>
      <c r="X28" s="2">
        <f t="shared" si="2"/>
        <v>-11481.47</v>
      </c>
      <c r="Y28" s="2"/>
      <c r="Z28" s="19">
        <f t="shared" si="3"/>
        <v>5.1376977290524666</v>
      </c>
    </row>
    <row r="29" spans="1:26" s="24" customFormat="1" hidden="1" outlineLevel="1" x14ac:dyDescent="0.25">
      <c r="A29" s="44"/>
      <c r="B29" s="11" t="str">
        <f>CONCATENATE("          ", "4282", " - ", "SALES RETURN TAXABLE-COMPUTER")</f>
        <v xml:space="preserve">          4282 - SALES RETURN TAXABLE-COMPUTER</v>
      </c>
      <c r="C29" s="11"/>
      <c r="D29" s="2">
        <f>-15442</f>
        <v>-15442</v>
      </c>
      <c r="E29" s="2"/>
      <c r="F29" s="19"/>
      <c r="G29" s="2"/>
      <c r="H29" s="2">
        <f>-49848.66</f>
        <v>-49848.66</v>
      </c>
      <c r="I29" s="2"/>
      <c r="J29" s="19"/>
      <c r="K29" s="2"/>
      <c r="L29" s="2">
        <f t="shared" si="0"/>
        <v>34406.660000000003</v>
      </c>
      <c r="M29" s="2"/>
      <c r="N29" s="19">
        <f t="shared" si="1"/>
        <v>-0.69022236505454715</v>
      </c>
      <c r="O29" s="11"/>
      <c r="P29" s="2">
        <f>-33649</f>
        <v>-33649</v>
      </c>
      <c r="Q29" s="2"/>
      <c r="R29" s="19"/>
      <c r="S29" s="2"/>
      <c r="T29" s="2">
        <f>-120189.72</f>
        <v>-120189.72</v>
      </c>
      <c r="U29" s="2"/>
      <c r="V29" s="19"/>
      <c r="W29" s="2"/>
      <c r="X29" s="2">
        <f t="shared" si="2"/>
        <v>86540.72</v>
      </c>
      <c r="Y29" s="2"/>
      <c r="Z29" s="19">
        <f t="shared" si="3"/>
        <v>-0.7200342924503027</v>
      </c>
    </row>
    <row r="30" spans="1:26" s="24" customFormat="1" hidden="1" outlineLevel="1" x14ac:dyDescent="0.25">
      <c r="A30" s="44"/>
      <c r="B30" s="11" t="str">
        <f>CONCATENATE("          ", "4283", " - ", "SALES RETURN TAXABLE-COMPUTER")</f>
        <v xml:space="preserve">          4283 - SALES RETURN TAXABLE-COMPUTER</v>
      </c>
      <c r="C30" s="11"/>
      <c r="D30" s="2">
        <f>-699.9</f>
        <v>-699.9</v>
      </c>
      <c r="E30" s="2"/>
      <c r="F30" s="19"/>
      <c r="G30" s="2"/>
      <c r="H30" s="2">
        <f>-503.89</f>
        <v>-503.89</v>
      </c>
      <c r="I30" s="2"/>
      <c r="J30" s="19"/>
      <c r="K30" s="2"/>
      <c r="L30" s="2">
        <f t="shared" si="0"/>
        <v>-196.01</v>
      </c>
      <c r="M30" s="2"/>
      <c r="N30" s="19">
        <f t="shared" si="1"/>
        <v>0.38899362956200756</v>
      </c>
      <c r="O30" s="11"/>
      <c r="P30" s="2">
        <f>-1518.83</f>
        <v>-1518.83</v>
      </c>
      <c r="Q30" s="2"/>
      <c r="R30" s="19"/>
      <c r="S30" s="2"/>
      <c r="T30" s="2">
        <f>-730.69</f>
        <v>-730.69</v>
      </c>
      <c r="U30" s="2"/>
      <c r="V30" s="19"/>
      <c r="W30" s="2"/>
      <c r="X30" s="2">
        <f t="shared" si="2"/>
        <v>-788.13999999999987</v>
      </c>
      <c r="Y30" s="2"/>
      <c r="Z30" s="19">
        <f t="shared" si="3"/>
        <v>1.0786243140045708</v>
      </c>
    </row>
    <row r="31" spans="1:26" s="24" customFormat="1" hidden="1" outlineLevel="1" x14ac:dyDescent="0.25">
      <c r="A31" s="44"/>
      <c r="B31" s="11" t="str">
        <f>CONCATENATE("          ", "4284", " - ", "SALES RETURN TAXABLE-SOFTWARE")</f>
        <v xml:space="preserve">          4284 - SALES RETURN TAXABLE-SOFTWARE</v>
      </c>
      <c r="C31" s="11"/>
      <c r="D31" s="2">
        <f t="shared" ref="D31:D32" si="5">0</f>
        <v>0</v>
      </c>
      <c r="E31" s="2"/>
      <c r="F31" s="19"/>
      <c r="G31" s="2"/>
      <c r="H31" s="2">
        <f>-129</f>
        <v>-129</v>
      </c>
      <c r="I31" s="2"/>
      <c r="J31" s="19"/>
      <c r="K31" s="2"/>
      <c r="L31" s="2">
        <f t="shared" si="0"/>
        <v>129</v>
      </c>
      <c r="M31" s="2"/>
      <c r="N31" s="19">
        <f t="shared" si="1"/>
        <v>-1</v>
      </c>
      <c r="O31" s="11"/>
      <c r="P31" s="2">
        <f t="shared" ref="P31:P32" si="6">0</f>
        <v>0</v>
      </c>
      <c r="Q31" s="2"/>
      <c r="R31" s="19"/>
      <c r="S31" s="2"/>
      <c r="T31" s="2">
        <f>-129</f>
        <v>-129</v>
      </c>
      <c r="U31" s="2"/>
      <c r="V31" s="19"/>
      <c r="W31" s="2"/>
      <c r="X31" s="2">
        <f t="shared" si="2"/>
        <v>129</v>
      </c>
      <c r="Y31" s="2"/>
      <c r="Z31" s="19">
        <f t="shared" si="3"/>
        <v>-1</v>
      </c>
    </row>
    <row r="32" spans="1:26" s="24" customFormat="1" hidden="1" outlineLevel="1" x14ac:dyDescent="0.25">
      <c r="A32" s="44"/>
      <c r="B32" s="11" t="str">
        <f>CONCATENATE("          ", "4285", " - ", "SALES RETURN TAXABLE-SOFTWARE")</f>
        <v xml:space="preserve">          4285 - SALES RETURN TAXABLE-SOFTWARE</v>
      </c>
      <c r="C32" s="11"/>
      <c r="D32" s="2">
        <f t="shared" si="5"/>
        <v>0</v>
      </c>
      <c r="E32" s="2"/>
      <c r="F32" s="19"/>
      <c r="G32" s="2"/>
      <c r="H32" s="2">
        <f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6"/>
        <v>0</v>
      </c>
      <c r="Q32" s="2"/>
      <c r="R32" s="19"/>
      <c r="S32" s="2"/>
      <c r="T32" s="2">
        <f>-406.99</f>
        <v>-406.99</v>
      </c>
      <c r="U32" s="2"/>
      <c r="V32" s="19"/>
      <c r="W32" s="2"/>
      <c r="X32" s="2">
        <f t="shared" si="2"/>
        <v>406.99</v>
      </c>
      <c r="Y32" s="2"/>
      <c r="Z32" s="19">
        <f t="shared" si="3"/>
        <v>-1</v>
      </c>
    </row>
    <row r="33" spans="1:26" s="24" customFormat="1" hidden="1" outlineLevel="1" x14ac:dyDescent="0.25">
      <c r="A33" s="44"/>
      <c r="B33" s="11" t="str">
        <f>CONCATENATE("          ", "4286", " - ", "SALES RETURN TAXABLE-COMPUTER")</f>
        <v xml:space="preserve">          4286 - SALES RETURN TAXABLE-COMPUTER</v>
      </c>
      <c r="C33" s="11"/>
      <c r="D33" s="2">
        <f>-153.96</f>
        <v>-153.96</v>
      </c>
      <c r="E33" s="2"/>
      <c r="F33" s="19"/>
      <c r="G33" s="2"/>
      <c r="H33" s="2">
        <f>-635.2</f>
        <v>-635.20000000000005</v>
      </c>
      <c r="I33" s="2"/>
      <c r="J33" s="19"/>
      <c r="K33" s="2"/>
      <c r="L33" s="2">
        <f t="shared" si="0"/>
        <v>481.24</v>
      </c>
      <c r="M33" s="2"/>
      <c r="N33" s="19">
        <f t="shared" si="1"/>
        <v>-0.75761964735516374</v>
      </c>
      <c r="O33" s="11"/>
      <c r="P33" s="2">
        <f>-153.96</f>
        <v>-153.96</v>
      </c>
      <c r="Q33" s="2"/>
      <c r="R33" s="19"/>
      <c r="S33" s="2"/>
      <c r="T33" s="2">
        <f>-1181.15</f>
        <v>-1181.1500000000001</v>
      </c>
      <c r="U33" s="2"/>
      <c r="V33" s="19"/>
      <c r="W33" s="2"/>
      <c r="X33" s="2">
        <f t="shared" si="2"/>
        <v>1027.19</v>
      </c>
      <c r="Y33" s="2"/>
      <c r="Z33" s="19">
        <f t="shared" si="3"/>
        <v>-0.86965245735088681</v>
      </c>
    </row>
    <row r="34" spans="1:26" s="24" customFormat="1" hidden="1" outlineLevel="1" x14ac:dyDescent="0.25">
      <c r="A34" s="44"/>
      <c r="B34" s="11" t="str">
        <f>CONCATENATE("          ", "4381", " - ", "SALES RETURN NON TAXABLE-ELECT")</f>
        <v xml:space="preserve">          4381 - SALES RETURN NON TAXABLE-ELECT</v>
      </c>
      <c r="C34" s="11"/>
      <c r="D34" s="2">
        <f>-3625.2</f>
        <v>-3625.2</v>
      </c>
      <c r="E34" s="2"/>
      <c r="F34" s="19"/>
      <c r="G34" s="2"/>
      <c r="H34" s="2">
        <f>0</f>
        <v>0</v>
      </c>
      <c r="I34" s="2"/>
      <c r="J34" s="19"/>
      <c r="K34" s="2"/>
      <c r="L34" s="2">
        <f t="shared" si="0"/>
        <v>-3625.2</v>
      </c>
      <c r="M34" s="2"/>
      <c r="N34" s="19">
        <f t="shared" si="1"/>
        <v>0</v>
      </c>
      <c r="O34" s="11"/>
      <c r="P34" s="2">
        <f>-5374.2</f>
        <v>-5374.2</v>
      </c>
      <c r="Q34" s="2"/>
      <c r="R34" s="19"/>
      <c r="S34" s="2"/>
      <c r="T34" s="2">
        <f>0</f>
        <v>0</v>
      </c>
      <c r="U34" s="2"/>
      <c r="V34" s="19"/>
      <c r="W34" s="2"/>
      <c r="X34" s="2">
        <f t="shared" si="2"/>
        <v>-5374.2</v>
      </c>
      <c r="Y34" s="2"/>
      <c r="Z34" s="19">
        <f t="shared" si="3"/>
        <v>0</v>
      </c>
    </row>
    <row r="35" spans="1:26" s="24" customFormat="1" hidden="1" outlineLevel="1" x14ac:dyDescent="0.25">
      <c r="A35" s="44"/>
      <c r="B35" s="11" t="str">
        <f>CONCATENATE("          ", "4383", " - ", "SALES RETURN NON TAXABLE-COMPU")</f>
        <v xml:space="preserve">          4383 - SALES RETURN NON TAXABLE-COMPU</v>
      </c>
      <c r="C35" s="11"/>
      <c r="D35" s="2">
        <f t="shared" ref="D35:D36" si="7">0</f>
        <v>0</v>
      </c>
      <c r="E35" s="2"/>
      <c r="F35" s="19"/>
      <c r="G35" s="2"/>
      <c r="H35" s="2">
        <f>-24.99</f>
        <v>-24.99</v>
      </c>
      <c r="I35" s="2"/>
      <c r="J35" s="19"/>
      <c r="K35" s="2"/>
      <c r="L35" s="2">
        <f t="shared" si="0"/>
        <v>24.99</v>
      </c>
      <c r="M35" s="2"/>
      <c r="N35" s="19">
        <f t="shared" si="1"/>
        <v>-1</v>
      </c>
      <c r="O35" s="11"/>
      <c r="P35" s="2">
        <f t="shared" ref="P35:P36" si="8">0</f>
        <v>0</v>
      </c>
      <c r="Q35" s="2"/>
      <c r="R35" s="19"/>
      <c r="S35" s="2"/>
      <c r="T35" s="2">
        <f>-24.99</f>
        <v>-24.99</v>
      </c>
      <c r="U35" s="2"/>
      <c r="V35" s="19"/>
      <c r="W35" s="2"/>
      <c r="X35" s="2">
        <f t="shared" si="2"/>
        <v>24.99</v>
      </c>
      <c r="Y35" s="2"/>
      <c r="Z35" s="19">
        <f t="shared" si="3"/>
        <v>-1</v>
      </c>
    </row>
    <row r="36" spans="1:26" s="24" customFormat="1" hidden="1" outlineLevel="1" x14ac:dyDescent="0.25">
      <c r="A36" s="44"/>
      <c r="B36" s="11" t="str">
        <f>CONCATENATE("          ", "4386", " - ", "SALES RETURN NON TAXABLE-COMPU")</f>
        <v xml:space="preserve">          4386 - SALES RETURN NON TAXABLE-COMPU</v>
      </c>
      <c r="C36" s="11"/>
      <c r="D36" s="2">
        <f t="shared" si="7"/>
        <v>0</v>
      </c>
      <c r="E36" s="2"/>
      <c r="F36" s="19"/>
      <c r="G36" s="2"/>
      <c r="H36" s="2">
        <f>-19.99</f>
        <v>-19.989999999999998</v>
      </c>
      <c r="I36" s="2"/>
      <c r="J36" s="19"/>
      <c r="K36" s="2"/>
      <c r="L36" s="2">
        <f t="shared" si="0"/>
        <v>19.989999999999998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-19.99</f>
        <v>-19.989999999999998</v>
      </c>
      <c r="U36" s="2"/>
      <c r="V36" s="19"/>
      <c r="W36" s="2"/>
      <c r="X36" s="2">
        <f t="shared" si="2"/>
        <v>19.989999999999998</v>
      </c>
      <c r="Y36" s="2"/>
      <c r="Z36" s="19">
        <f t="shared" si="3"/>
        <v>-1</v>
      </c>
    </row>
    <row r="37" spans="1:26" x14ac:dyDescent="0.25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25">
      <c r="A38" s="10"/>
      <c r="B38" s="25" t="s">
        <v>8</v>
      </c>
      <c r="C38" s="10"/>
      <c r="D38" s="4">
        <f>SUM(OSRRefD16x_0)</f>
        <v>478464</v>
      </c>
      <c r="E38" s="4"/>
      <c r="F38" s="12">
        <f t="shared" ref="F38:F49" si="9">IF(D$12=0,0,D38/D$12)</f>
        <v>0.97313830432017234</v>
      </c>
      <c r="G38" s="4"/>
      <c r="H38" s="4">
        <f>SUM(OSRRefH16x_0)</f>
        <v>455074.88</v>
      </c>
      <c r="I38" s="4"/>
      <c r="J38" s="12">
        <f t="shared" ref="J38:J49" si="10">IF(H$12=0,0,H38/H$12)</f>
        <v>0.90740015604714608</v>
      </c>
      <c r="K38" s="4"/>
      <c r="L38" s="4">
        <f t="shared" ref="L38:L49" si="11">+D38-H38</f>
        <v>23389.119999999995</v>
      </c>
      <c r="M38" s="4"/>
      <c r="N38" s="12">
        <f t="shared" ref="N38:N49" si="12">IF(H38=0,0,L38/H38)</f>
        <v>5.1396200994438528E-2</v>
      </c>
      <c r="O38" s="10"/>
      <c r="P38" s="4">
        <f>SUM(OSRRefP16x_0)</f>
        <v>662420</v>
      </c>
      <c r="Q38" s="4"/>
      <c r="R38" s="12">
        <f t="shared" ref="R38:R49" si="13">IF(P$12=0,0,P38/P$12)</f>
        <v>0.94680366147536887</v>
      </c>
      <c r="S38" s="4"/>
      <c r="T38" s="4">
        <f>SUM(OSRRefT16x_0)</f>
        <v>797395.07000000007</v>
      </c>
      <c r="U38" s="4"/>
      <c r="V38" s="12">
        <f t="shared" ref="V38:V49" si="14">IF(T$12=0,0,T38/T$12)</f>
        <v>0.91459862469621722</v>
      </c>
      <c r="W38" s="4"/>
      <c r="X38" s="4">
        <f t="shared" ref="X38:X49" si="15">+P38-T38</f>
        <v>-134975.07000000007</v>
      </c>
      <c r="Y38" s="4"/>
      <c r="Z38" s="12">
        <f t="shared" ref="Z38:Z49" si="16">IF(T38=0,0,X38/T38)</f>
        <v>-0.16927000815292231</v>
      </c>
    </row>
    <row r="39" spans="1:26" s="24" customFormat="1" hidden="1" outlineLevel="1" x14ac:dyDescent="0.25">
      <c r="A39" s="44"/>
      <c r="B39" s="11" t="str">
        <f>CONCATENATE("          ", "5081", " - ", "PURCHASES @ COST-ELECTRONICS")</f>
        <v xml:space="preserve">          5081 - PURCHASES @ COST-ELECTRONICS</v>
      </c>
      <c r="C39" s="11"/>
      <c r="D39" s="2">
        <v>745.55</v>
      </c>
      <c r="E39" s="2"/>
      <c r="F39" s="19">
        <f t="shared" si="9"/>
        <v>1.5163591467402028E-3</v>
      </c>
      <c r="G39" s="2"/>
      <c r="H39" s="2">
        <v>17400.329999999998</v>
      </c>
      <c r="I39" s="2"/>
      <c r="J39" s="19">
        <f t="shared" si="10"/>
        <v>3.4695525618271515E-2</v>
      </c>
      <c r="K39" s="2"/>
      <c r="L39" s="2">
        <f t="shared" si="11"/>
        <v>-16654.78</v>
      </c>
      <c r="M39" s="2"/>
      <c r="N39" s="19">
        <f t="shared" si="12"/>
        <v>-0.95715311146397797</v>
      </c>
      <c r="O39" s="11"/>
      <c r="P39" s="2">
        <v>7422.47</v>
      </c>
      <c r="Q39" s="2"/>
      <c r="R39" s="19">
        <f t="shared" si="13"/>
        <v>1.0609012066651191E-2</v>
      </c>
      <c r="S39" s="2"/>
      <c r="T39" s="2">
        <v>83458.680000000008</v>
      </c>
      <c r="U39" s="2"/>
      <c r="V39" s="19">
        <f t="shared" si="14"/>
        <v>9.5725690838497024E-2</v>
      </c>
      <c r="W39" s="2"/>
      <c r="X39" s="2">
        <f t="shared" si="15"/>
        <v>-76036.210000000006</v>
      </c>
      <c r="Y39" s="2"/>
      <c r="Z39" s="19">
        <f t="shared" si="16"/>
        <v>-0.91106413377254469</v>
      </c>
    </row>
    <row r="40" spans="1:26" s="24" customFormat="1" hidden="1" outlineLevel="1" x14ac:dyDescent="0.25">
      <c r="A40" s="44"/>
      <c r="B40" s="11" t="str">
        <f>CONCATENATE("          ", "5082", " - ", "PURCHASES @ COST-COMPUTER HARD")</f>
        <v xml:space="preserve">          5082 - PURCHASES @ COST-COMPUTER HARD</v>
      </c>
      <c r="C40" s="11"/>
      <c r="D40" s="2">
        <v>56751.23</v>
      </c>
      <c r="E40" s="2"/>
      <c r="F40" s="19">
        <f t="shared" si="9"/>
        <v>0.11542518503018846</v>
      </c>
      <c r="G40" s="2"/>
      <c r="H40" s="2">
        <v>317062.93</v>
      </c>
      <c r="I40" s="2"/>
      <c r="J40" s="19">
        <f t="shared" si="10"/>
        <v>0.63221013684333738</v>
      </c>
      <c r="K40" s="2"/>
      <c r="L40" s="2">
        <f t="shared" si="11"/>
        <v>-260311.69999999998</v>
      </c>
      <c r="M40" s="2"/>
      <c r="N40" s="19">
        <f t="shared" si="12"/>
        <v>-0.8210095705606455</v>
      </c>
      <c r="O40" s="11"/>
      <c r="P40" s="2">
        <v>243223.8</v>
      </c>
      <c r="Q40" s="2"/>
      <c r="R40" s="19">
        <f t="shared" si="13"/>
        <v>0.34764225777898133</v>
      </c>
      <c r="S40" s="2"/>
      <c r="T40" s="2">
        <v>673622.9</v>
      </c>
      <c r="U40" s="2"/>
      <c r="V40" s="19">
        <f t="shared" si="14"/>
        <v>0.77263404438138483</v>
      </c>
      <c r="W40" s="2"/>
      <c r="X40" s="2">
        <f t="shared" si="15"/>
        <v>-430399.10000000003</v>
      </c>
      <c r="Y40" s="2"/>
      <c r="Z40" s="19">
        <f t="shared" si="16"/>
        <v>-0.63893181184903303</v>
      </c>
    </row>
    <row r="41" spans="1:26" s="24" customFormat="1" hidden="1" outlineLevel="1" x14ac:dyDescent="0.25">
      <c r="A41" s="44"/>
      <c r="B41" s="11" t="str">
        <f>CONCATENATE("          ", "5083", " - ", "PURCHASES @ COST-COMPUTER EQUI")</f>
        <v xml:space="preserve">          5083 - PURCHASES @ COST-COMPUTER EQUI</v>
      </c>
      <c r="C41" s="11"/>
      <c r="D41" s="2">
        <v>7340.55</v>
      </c>
      <c r="E41" s="2"/>
      <c r="F41" s="19">
        <f t="shared" si="9"/>
        <v>1.4929796974855873E-2</v>
      </c>
      <c r="G41" s="2"/>
      <c r="H41" s="2">
        <v>9916.2999999999993</v>
      </c>
      <c r="I41" s="2"/>
      <c r="J41" s="19">
        <f t="shared" si="10"/>
        <v>1.9772684810487263E-2</v>
      </c>
      <c r="K41" s="2"/>
      <c r="L41" s="2">
        <f t="shared" si="11"/>
        <v>-2575.7499999999991</v>
      </c>
      <c r="M41" s="2"/>
      <c r="N41" s="19">
        <f t="shared" si="12"/>
        <v>-0.25974909996672141</v>
      </c>
      <c r="O41" s="11"/>
      <c r="P41" s="2">
        <v>37278.85</v>
      </c>
      <c r="Q41" s="2"/>
      <c r="R41" s="19">
        <f t="shared" si="13"/>
        <v>5.328304048125216E-2</v>
      </c>
      <c r="S41" s="2"/>
      <c r="T41" s="2">
        <v>17192.439999999999</v>
      </c>
      <c r="U41" s="2"/>
      <c r="V41" s="19">
        <f t="shared" si="14"/>
        <v>1.9719437165785624E-2</v>
      </c>
      <c r="W41" s="2"/>
      <c r="X41" s="2">
        <f t="shared" si="15"/>
        <v>20086.41</v>
      </c>
      <c r="Y41" s="2"/>
      <c r="Z41" s="19">
        <f t="shared" si="16"/>
        <v>1.1683280558198836</v>
      </c>
    </row>
    <row r="42" spans="1:26" s="24" customFormat="1" hidden="1" outlineLevel="1" x14ac:dyDescent="0.25">
      <c r="A42" s="44"/>
      <c r="B42" s="11" t="str">
        <f>CONCATENATE("          ", "5084", " - ", "PURCHASES @ COST-SOFTWARE LICE")</f>
        <v xml:space="preserve">          5084 - PURCHASES @ COST-SOFTWARE LICE</v>
      </c>
      <c r="C42" s="11"/>
      <c r="D42" s="2"/>
      <c r="E42" s="2"/>
      <c r="F42" s="19">
        <f t="shared" si="9"/>
        <v>0</v>
      </c>
      <c r="G42" s="2"/>
      <c r="H42" s="2">
        <v>1522</v>
      </c>
      <c r="I42" s="2"/>
      <c r="J42" s="19">
        <f t="shared" si="10"/>
        <v>3.0348039371097704E-3</v>
      </c>
      <c r="K42" s="2"/>
      <c r="L42" s="2">
        <f t="shared" si="11"/>
        <v>-1522</v>
      </c>
      <c r="M42" s="2"/>
      <c r="N42" s="19">
        <f t="shared" si="12"/>
        <v>-1</v>
      </c>
      <c r="O42" s="11"/>
      <c r="P42" s="2"/>
      <c r="Q42" s="2"/>
      <c r="R42" s="19">
        <f t="shared" si="13"/>
        <v>0</v>
      </c>
      <c r="S42" s="2"/>
      <c r="T42" s="2">
        <v>1522</v>
      </c>
      <c r="U42" s="2"/>
      <c r="V42" s="19">
        <f t="shared" si="14"/>
        <v>1.7457081930386685E-3</v>
      </c>
      <c r="W42" s="2"/>
      <c r="X42" s="2">
        <f t="shared" si="15"/>
        <v>-1522</v>
      </c>
      <c r="Y42" s="2"/>
      <c r="Z42" s="19">
        <f t="shared" si="16"/>
        <v>-1</v>
      </c>
    </row>
    <row r="43" spans="1:26" s="24" customFormat="1" hidden="1" outlineLevel="1" x14ac:dyDescent="0.25">
      <c r="A43" s="44"/>
      <c r="B43" s="11" t="str">
        <f>CONCATENATE("          ", "5085", " - ", "PURCHASES @ COST-SOFTWARE")</f>
        <v xml:space="preserve">          5085 - PURCHASES @ COST-SOFTWARE</v>
      </c>
      <c r="C43" s="11"/>
      <c r="D43" s="2">
        <v>2364.2199999999998</v>
      </c>
      <c r="E43" s="2"/>
      <c r="F43" s="19">
        <f t="shared" si="9"/>
        <v>4.8085394968897088E-3</v>
      </c>
      <c r="G43" s="2"/>
      <c r="H43" s="2">
        <v>3368</v>
      </c>
      <c r="I43" s="2"/>
      <c r="J43" s="19">
        <f t="shared" si="10"/>
        <v>6.7156502366528953E-3</v>
      </c>
      <c r="K43" s="2"/>
      <c r="L43" s="2">
        <f t="shared" si="11"/>
        <v>-1003.7800000000002</v>
      </c>
      <c r="M43" s="2"/>
      <c r="N43" s="19">
        <f t="shared" si="12"/>
        <v>-0.2980344418052257</v>
      </c>
      <c r="O43" s="11"/>
      <c r="P43" s="2">
        <v>6228.56</v>
      </c>
      <c r="Q43" s="2"/>
      <c r="R43" s="19">
        <f t="shared" si="13"/>
        <v>8.9025443279475616E-3</v>
      </c>
      <c r="S43" s="2"/>
      <c r="T43" s="2">
        <v>3368</v>
      </c>
      <c r="U43" s="2"/>
      <c r="V43" s="19">
        <f t="shared" si="14"/>
        <v>3.8630388923483806E-3</v>
      </c>
      <c r="W43" s="2"/>
      <c r="X43" s="2">
        <f t="shared" si="15"/>
        <v>2860.5600000000004</v>
      </c>
      <c r="Y43" s="2"/>
      <c r="Z43" s="19">
        <f t="shared" si="16"/>
        <v>0.84933491686460816</v>
      </c>
    </row>
    <row r="44" spans="1:26" s="24" customFormat="1" hidden="1" outlineLevel="1" x14ac:dyDescent="0.25">
      <c r="A44" s="44"/>
      <c r="B44" s="11" t="str">
        <f>CONCATENATE("          ", "5086", " - ", "PURCHASES @ COST-COMPUTER SUPP")</f>
        <v xml:space="preserve">          5086 - PURCHASES @ COST-COMPUTER SUPP</v>
      </c>
      <c r="C44" s="11"/>
      <c r="D44" s="2">
        <v>21649.96</v>
      </c>
      <c r="E44" s="2"/>
      <c r="F44" s="19">
        <f t="shared" si="9"/>
        <v>4.4033418110870526E-2</v>
      </c>
      <c r="G44" s="2"/>
      <c r="H44" s="2">
        <v>2779.81</v>
      </c>
      <c r="I44" s="2"/>
      <c r="J44" s="19">
        <f t="shared" si="10"/>
        <v>5.5428241343082199E-3</v>
      </c>
      <c r="K44" s="2"/>
      <c r="L44" s="2">
        <f t="shared" si="11"/>
        <v>18870.149999999998</v>
      </c>
      <c r="M44" s="2"/>
      <c r="N44" s="19">
        <f t="shared" si="12"/>
        <v>6.7882876887269266</v>
      </c>
      <c r="O44" s="11"/>
      <c r="P44" s="2">
        <v>21737.21</v>
      </c>
      <c r="Q44" s="2"/>
      <c r="R44" s="19">
        <f t="shared" si="13"/>
        <v>3.1069215932880957E-2</v>
      </c>
      <c r="S44" s="2"/>
      <c r="T44" s="2">
        <v>6206.88</v>
      </c>
      <c r="U44" s="2"/>
      <c r="V44" s="19">
        <f t="shared" si="14"/>
        <v>7.1191861164309131E-3</v>
      </c>
      <c r="W44" s="2"/>
      <c r="X44" s="2">
        <f t="shared" si="15"/>
        <v>15530.329999999998</v>
      </c>
      <c r="Y44" s="2"/>
      <c r="Z44" s="19">
        <f t="shared" si="16"/>
        <v>2.5021153945299406</v>
      </c>
    </row>
    <row r="45" spans="1:26" s="24" customFormat="1" hidden="1" outlineLevel="1" x14ac:dyDescent="0.25">
      <c r="A45" s="44"/>
      <c r="B45" s="11" t="str">
        <f>CONCATENATE("          ", "5088", " - ", "PURCHASES @ COST-MUSIC")</f>
        <v xml:space="preserve">          5088 - PURCHASES @ COST-MUSIC</v>
      </c>
      <c r="C45" s="11"/>
      <c r="D45" s="2"/>
      <c r="E45" s="2"/>
      <c r="F45" s="19">
        <f t="shared" si="9"/>
        <v>0</v>
      </c>
      <c r="G45" s="2"/>
      <c r="H45" s="2"/>
      <c r="I45" s="2"/>
      <c r="J45" s="19">
        <f t="shared" si="10"/>
        <v>0</v>
      </c>
      <c r="K45" s="2"/>
      <c r="L45" s="2">
        <f t="shared" si="11"/>
        <v>0</v>
      </c>
      <c r="M45" s="2"/>
      <c r="N45" s="19">
        <f t="shared" si="12"/>
        <v>0</v>
      </c>
      <c r="O45" s="11"/>
      <c r="P45" s="2"/>
      <c r="Q45" s="2"/>
      <c r="R45" s="19">
        <f t="shared" si="13"/>
        <v>0</v>
      </c>
      <c r="S45" s="2"/>
      <c r="T45" s="2">
        <v>82</v>
      </c>
      <c r="U45" s="2"/>
      <c r="V45" s="19">
        <f t="shared" si="14"/>
        <v>9.4052609611807364E-5</v>
      </c>
      <c r="W45" s="2"/>
      <c r="X45" s="2">
        <f t="shared" si="15"/>
        <v>-82</v>
      </c>
      <c r="Y45" s="2"/>
      <c r="Z45" s="19">
        <f t="shared" si="16"/>
        <v>-1</v>
      </c>
    </row>
    <row r="46" spans="1:26" s="24" customFormat="1" hidden="1" outlineLevel="1" x14ac:dyDescent="0.25">
      <c r="A46" s="44"/>
      <c r="B46" s="11" t="str">
        <f>CONCATENATE("          ", "5200", " - ", "PURCHASES OFFSET")</f>
        <v xml:space="preserve">          5200 - PURCHASES OFFSET</v>
      </c>
      <c r="C46" s="11"/>
      <c r="D46" s="2">
        <v>-88875.62999999999</v>
      </c>
      <c r="E46" s="2"/>
      <c r="F46" s="19">
        <f t="shared" si="9"/>
        <v>-0.18076235594232173</v>
      </c>
      <c r="G46" s="2"/>
      <c r="H46" s="2">
        <v>-352082</v>
      </c>
      <c r="I46" s="2"/>
      <c r="J46" s="19">
        <f t="shared" si="10"/>
        <v>-0.70203668842672939</v>
      </c>
      <c r="K46" s="2"/>
      <c r="L46" s="2">
        <f t="shared" si="11"/>
        <v>263206.37</v>
      </c>
      <c r="M46" s="2"/>
      <c r="N46" s="19">
        <f t="shared" si="12"/>
        <v>-0.74757121920461711</v>
      </c>
      <c r="O46" s="11"/>
      <c r="P46" s="2">
        <v>-315932.40000000002</v>
      </c>
      <c r="Q46" s="2"/>
      <c r="R46" s="19">
        <f t="shared" si="13"/>
        <v>-0.45156540125403954</v>
      </c>
      <c r="S46" s="2"/>
      <c r="T46" s="2">
        <v>-785522</v>
      </c>
      <c r="U46" s="2"/>
      <c r="V46" s="19">
        <f t="shared" si="14"/>
        <v>-0.90098041472544077</v>
      </c>
      <c r="W46" s="2"/>
      <c r="X46" s="2">
        <f t="shared" si="15"/>
        <v>469589.6</v>
      </c>
      <c r="Y46" s="2"/>
      <c r="Z46" s="19">
        <f t="shared" si="16"/>
        <v>-0.5978057902897691</v>
      </c>
    </row>
    <row r="47" spans="1:26" s="24" customFormat="1" hidden="1" outlineLevel="1" x14ac:dyDescent="0.25">
      <c r="A47" s="44"/>
      <c r="B47" s="11" t="str">
        <f>CONCATENATE("          ", "5300", " - ", "COG$ OFFSET")</f>
        <v xml:space="preserve">          5300 - COG$ OFFSET</v>
      </c>
      <c r="C47" s="11"/>
      <c r="D47" s="2">
        <v>478464</v>
      </c>
      <c r="E47" s="2"/>
      <c r="F47" s="19">
        <f t="shared" si="9"/>
        <v>0.97313830432017234</v>
      </c>
      <c r="G47" s="2"/>
      <c r="H47" s="2">
        <v>455074</v>
      </c>
      <c r="I47" s="2"/>
      <c r="J47" s="19">
        <f t="shared" si="10"/>
        <v>0.90739840136418637</v>
      </c>
      <c r="K47" s="2"/>
      <c r="L47" s="2">
        <f t="shared" si="11"/>
        <v>23390</v>
      </c>
      <c r="M47" s="2"/>
      <c r="N47" s="19">
        <f t="shared" si="12"/>
        <v>5.1398234133349742E-2</v>
      </c>
      <c r="O47" s="11"/>
      <c r="P47" s="2">
        <v>662420</v>
      </c>
      <c r="Q47" s="2"/>
      <c r="R47" s="19">
        <f t="shared" si="13"/>
        <v>0.94680366147536887</v>
      </c>
      <c r="S47" s="2"/>
      <c r="T47" s="2">
        <v>797394</v>
      </c>
      <c r="U47" s="2"/>
      <c r="V47" s="19">
        <f t="shared" si="14"/>
        <v>0.91459739742435997</v>
      </c>
      <c r="W47" s="2"/>
      <c r="X47" s="2">
        <f t="shared" si="15"/>
        <v>-134974</v>
      </c>
      <c r="Y47" s="2"/>
      <c r="Z47" s="19">
        <f t="shared" si="16"/>
        <v>-0.16926889342031667</v>
      </c>
    </row>
    <row r="48" spans="1:26" s="24" customFormat="1" hidden="1" outlineLevel="1" x14ac:dyDescent="0.25">
      <c r="A48" s="44"/>
      <c r="B48" s="11" t="str">
        <f>CONCATENATE("          ", "5583", " - ", "FREIGHT-IN-COMPUTER EQUIPMENT")</f>
        <v xml:space="preserve">          5583 - FREIGHT-IN-COMPUTER EQUIPMENT</v>
      </c>
      <c r="C48" s="11"/>
      <c r="D48" s="2"/>
      <c r="E48" s="2"/>
      <c r="F48" s="19">
        <f t="shared" si="9"/>
        <v>0</v>
      </c>
      <c r="G48" s="2"/>
      <c r="H48" s="2">
        <v>26.15</v>
      </c>
      <c r="I48" s="2"/>
      <c r="J48" s="19">
        <f t="shared" si="10"/>
        <v>5.2141999313679692E-5</v>
      </c>
      <c r="K48" s="2"/>
      <c r="L48" s="2">
        <f t="shared" si="11"/>
        <v>-26.15</v>
      </c>
      <c r="M48" s="2"/>
      <c r="N48" s="19">
        <f t="shared" si="12"/>
        <v>-1</v>
      </c>
      <c r="O48" s="11"/>
      <c r="P48" s="2">
        <v>17.39</v>
      </c>
      <c r="Q48" s="2"/>
      <c r="R48" s="19">
        <f t="shared" si="13"/>
        <v>2.4855704346270742E-5</v>
      </c>
      <c r="S48" s="2"/>
      <c r="T48" s="2">
        <v>33.14</v>
      </c>
      <c r="U48" s="2"/>
      <c r="V48" s="19">
        <f t="shared" si="14"/>
        <v>3.8011018079698734E-5</v>
      </c>
      <c r="W48" s="2"/>
      <c r="X48" s="2">
        <f t="shared" si="15"/>
        <v>-15.75</v>
      </c>
      <c r="Y48" s="2"/>
      <c r="Z48" s="19">
        <f t="shared" si="16"/>
        <v>-0.4752564876282438</v>
      </c>
    </row>
    <row r="49" spans="1:26" s="24" customFormat="1" hidden="1" outlineLevel="1" x14ac:dyDescent="0.25">
      <c r="A49" s="44"/>
      <c r="B49" s="11" t="str">
        <f>CONCATENATE("          ", "5586", " - ", "FREIGHT-IN-COMPUTER SUPPLIES")</f>
        <v xml:space="preserve">          5586 - FREIGHT-IN-COMPUTER SUPPLIES</v>
      </c>
      <c r="C49" s="11"/>
      <c r="D49" s="2">
        <v>24.12</v>
      </c>
      <c r="E49" s="2"/>
      <c r="F49" s="19">
        <f t="shared" si="9"/>
        <v>4.905718277697498E-5</v>
      </c>
      <c r="G49" s="2"/>
      <c r="H49" s="2">
        <v>7.36</v>
      </c>
      <c r="I49" s="2"/>
      <c r="J49" s="19">
        <f t="shared" si="10"/>
        <v>1.4675530208362623E-5</v>
      </c>
      <c r="K49" s="2"/>
      <c r="L49" s="2">
        <f t="shared" si="11"/>
        <v>16.760000000000002</v>
      </c>
      <c r="M49" s="2"/>
      <c r="N49" s="19">
        <f t="shared" si="12"/>
        <v>2.2771739130434785</v>
      </c>
      <c r="O49" s="11"/>
      <c r="P49" s="2">
        <v>24.12</v>
      </c>
      <c r="Q49" s="2"/>
      <c r="R49" s="19">
        <f t="shared" si="13"/>
        <v>3.4474961979991395E-5</v>
      </c>
      <c r="S49" s="2"/>
      <c r="T49" s="2">
        <v>37.03</v>
      </c>
      <c r="U49" s="2"/>
      <c r="V49" s="19">
        <f t="shared" si="14"/>
        <v>4.247278212103935E-5</v>
      </c>
      <c r="W49" s="2"/>
      <c r="X49" s="2">
        <f t="shared" si="15"/>
        <v>-12.91</v>
      </c>
      <c r="Y49" s="2"/>
      <c r="Z49" s="19">
        <f t="shared" si="16"/>
        <v>-0.34863624088576828</v>
      </c>
    </row>
    <row r="50" spans="1:26" x14ac:dyDescent="0.25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x14ac:dyDescent="0.25">
      <c r="A51" s="10"/>
      <c r="B51" s="26" t="s">
        <v>6</v>
      </c>
      <c r="C51" s="26"/>
      <c r="D51" s="22">
        <f>D12-D38</f>
        <v>13207.120000000054</v>
      </c>
      <c r="E51" s="13"/>
      <c r="F51" s="21">
        <f>IF(D$12=0,0,D51/D$12)</f>
        <v>2.6861695679827709E-2</v>
      </c>
      <c r="G51" s="13"/>
      <c r="H51" s="22">
        <f>H12-H38</f>
        <v>46440.219999999914</v>
      </c>
      <c r="I51" s="13"/>
      <c r="J51" s="21">
        <f>IF(H$12=0,0,H51/H$12)</f>
        <v>9.2599843952853908E-2</v>
      </c>
      <c r="K51" s="16"/>
      <c r="L51" s="22">
        <f>+D51-H51</f>
        <v>-33233.09999999986</v>
      </c>
      <c r="M51" s="16"/>
      <c r="N51" s="21">
        <f>IF(H51=0,0,L51/H51)</f>
        <v>-0.71561030503300638</v>
      </c>
      <c r="O51" s="25"/>
      <c r="P51" s="22">
        <f>P12-P38</f>
        <v>37218.190000000177</v>
      </c>
      <c r="Q51" s="13"/>
      <c r="R51" s="21">
        <f>IF(P$12=0,0,P51/P$12)</f>
        <v>5.3196338524631091E-2</v>
      </c>
      <c r="S51" s="13"/>
      <c r="T51" s="22">
        <f>T12-T38</f>
        <v>74457.400000000023</v>
      </c>
      <c r="U51" s="13"/>
      <c r="V51" s="21">
        <f>IF(T$12=0,0,T51/T$12)</f>
        <v>8.5401375303782778E-2</v>
      </c>
      <c r="W51" s="16"/>
      <c r="X51" s="22">
        <f>+P51-T51</f>
        <v>-37239.209999999846</v>
      </c>
      <c r="Y51" s="16"/>
      <c r="Z51" s="21">
        <f>IF(T51=0,0,X51/T51)</f>
        <v>-0.50014115453937202</v>
      </c>
    </row>
    <row r="52" spans="1:26" x14ac:dyDescent="0.25">
      <c r="A52" s="9"/>
      <c r="B52" s="10"/>
      <c r="C52" s="9"/>
      <c r="D52" s="1"/>
      <c r="E52" s="1"/>
      <c r="F52" s="5"/>
      <c r="G52" s="1"/>
      <c r="H52" s="1"/>
      <c r="I52" s="1"/>
      <c r="J52" s="5"/>
      <c r="K52" s="1"/>
      <c r="L52" s="1"/>
      <c r="M52" s="1"/>
      <c r="N52" s="5"/>
      <c r="O52" s="37"/>
      <c r="P52" s="1"/>
      <c r="Q52" s="1"/>
      <c r="R52" s="5"/>
      <c r="S52" s="1"/>
      <c r="T52" s="1"/>
      <c r="U52" s="1"/>
      <c r="V52" s="5"/>
      <c r="W52" s="1"/>
      <c r="X52" s="1"/>
      <c r="Y52" s="1"/>
      <c r="Z52" s="5"/>
    </row>
    <row r="53" spans="1:26" s="23" customFormat="1" x14ac:dyDescent="0.25">
      <c r="A53" s="10"/>
      <c r="B53" s="25" t="s">
        <v>9</v>
      </c>
      <c r="C53" s="10"/>
      <c r="D53" s="20">
        <f>SUM(OSRRefD22x_0)</f>
        <v>15135.81</v>
      </c>
      <c r="E53" s="20"/>
      <c r="F53" s="35">
        <f t="shared" ref="F53:F63" si="17">IF(D$12=0,0,D53/D$12)</f>
        <v>3.0784419471292106E-2</v>
      </c>
      <c r="G53" s="20"/>
      <c r="H53" s="20">
        <f>SUM(OSRRefH22x_0)</f>
        <v>64865.639999999992</v>
      </c>
      <c r="I53" s="20"/>
      <c r="J53" s="35">
        <f t="shared" ref="J53:J63" si="18">IF(H$12=0,0,H53/H$12)</f>
        <v>0.12933935588380091</v>
      </c>
      <c r="K53" s="4"/>
      <c r="L53" s="20">
        <f t="shared" ref="L53:L63" si="19">+D53-H53</f>
        <v>-49729.829999999994</v>
      </c>
      <c r="M53" s="4"/>
      <c r="N53" s="35">
        <f t="shared" ref="N53:N63" si="20">IF(H53=0,0,L53/H53)</f>
        <v>-0.7666590509243415</v>
      </c>
      <c r="O53" s="10"/>
      <c r="P53" s="20">
        <f>SUM(OSRRefP22x_0)</f>
        <v>26915.47</v>
      </c>
      <c r="Q53" s="20"/>
      <c r="R53" s="35">
        <f t="shared" ref="R53:R63" si="21">IF(P$12=0,0,P53/P$12)</f>
        <v>3.8470555759684867E-2</v>
      </c>
      <c r="S53" s="20"/>
      <c r="T53" s="20">
        <f>SUM(OSRRefT22x_0)</f>
        <v>89894.57</v>
      </c>
      <c r="U53" s="20"/>
      <c r="V53" s="35">
        <f t="shared" ref="V53:V63" si="22">IF(T$12=0,0,T53/T$12)</f>
        <v>0.10310754754184501</v>
      </c>
      <c r="W53" s="4"/>
      <c r="X53" s="20">
        <f t="shared" ref="X53:X63" si="23">+P53-T53</f>
        <v>-62979.100000000006</v>
      </c>
      <c r="Y53" s="4"/>
      <c r="Z53" s="35">
        <f t="shared" ref="Z53:Z63" si="24">IF(T53=0,0,X53/T53)</f>
        <v>-0.70058847825847548</v>
      </c>
    </row>
    <row r="54" spans="1:26" s="28" customFormat="1" outlineLevel="1" collapsed="1" x14ac:dyDescent="0.25">
      <c r="A54" s="27"/>
      <c r="B54" s="14" t="str">
        <f>CONCATENATE("     ","*Benefits                                         ")</f>
        <v xml:space="preserve">     *Benefits                                         </v>
      </c>
      <c r="C54" s="14"/>
      <c r="D54" s="1">
        <f>SUM(OSRRefD22_0x_0)</f>
        <v>2843.1500000000005</v>
      </c>
      <c r="E54" s="1"/>
      <c r="F54" s="5">
        <f t="shared" si="17"/>
        <v>5.7826255892353415E-3</v>
      </c>
      <c r="G54" s="1"/>
      <c r="H54" s="1">
        <f>SUM(OSRRefH22_0x_0)</f>
        <v>2410.7799999999997</v>
      </c>
      <c r="I54" s="1"/>
      <c r="J54" s="5">
        <f t="shared" si="18"/>
        <v>4.8069938472440812E-3</v>
      </c>
      <c r="K54" s="1"/>
      <c r="L54" s="1">
        <f t="shared" si="19"/>
        <v>432.3700000000008</v>
      </c>
      <c r="M54" s="1"/>
      <c r="N54" s="5">
        <f t="shared" si="20"/>
        <v>0.17934859257169913</v>
      </c>
      <c r="O54" s="14"/>
      <c r="P54" s="1">
        <f>SUM(OSRRefP22_0x_0)</f>
        <v>5571.5200000000013</v>
      </c>
      <c r="Q54" s="1"/>
      <c r="R54" s="5">
        <f t="shared" si="21"/>
        <v>7.963430355338379E-3</v>
      </c>
      <c r="S54" s="1"/>
      <c r="T54" s="1">
        <f>SUM(OSRRefT22_0x_0)</f>
        <v>5129.54</v>
      </c>
      <c r="U54" s="1"/>
      <c r="V54" s="5">
        <f t="shared" si="22"/>
        <v>5.8834954037579306E-3</v>
      </c>
      <c r="W54" s="1"/>
      <c r="X54" s="1">
        <f t="shared" si="23"/>
        <v>441.98000000000138</v>
      </c>
      <c r="Y54" s="1"/>
      <c r="Z54" s="5">
        <f t="shared" si="24"/>
        <v>8.6163671596283756E-2</v>
      </c>
    </row>
    <row r="55" spans="1:26" s="24" customFormat="1" hidden="1" outlineLevel="2" x14ac:dyDescent="0.25">
      <c r="A55" s="29"/>
      <c r="B55" s="11" t="str">
        <f>CONCATENATE("          ", "6111", " - ", "F.I.C.A.")</f>
        <v xml:space="preserve">          6111 - F.I.C.A.</v>
      </c>
      <c r="C55" s="11"/>
      <c r="D55" s="7">
        <v>618.58000000000004</v>
      </c>
      <c r="E55" s="2"/>
      <c r="F55" s="6">
        <f t="shared" si="17"/>
        <v>1.2581174180008783E-3</v>
      </c>
      <c r="G55" s="2"/>
      <c r="H55" s="7">
        <v>577.69000000000005</v>
      </c>
      <c r="I55" s="2"/>
      <c r="J55" s="6">
        <f t="shared" si="18"/>
        <v>1.1518895443028538E-3</v>
      </c>
      <c r="K55" s="2"/>
      <c r="L55" s="7">
        <f t="shared" si="19"/>
        <v>40.889999999999986</v>
      </c>
      <c r="M55" s="2"/>
      <c r="N55" s="6">
        <f t="shared" si="20"/>
        <v>7.0781907251293921E-2</v>
      </c>
      <c r="O55" s="11"/>
      <c r="P55" s="7">
        <v>1038.3800000000001</v>
      </c>
      <c r="Q55" s="2"/>
      <c r="R55" s="6">
        <f t="shared" si="21"/>
        <v>1.484167123581404E-3</v>
      </c>
      <c r="S55" s="2"/>
      <c r="T55" s="7">
        <v>1075.54</v>
      </c>
      <c r="U55" s="2"/>
      <c r="V55" s="6">
        <f t="shared" si="22"/>
        <v>1.2336261431936987E-3</v>
      </c>
      <c r="W55" s="2"/>
      <c r="X55" s="7">
        <f t="shared" si="23"/>
        <v>-37.159999999999854</v>
      </c>
      <c r="Y55" s="2"/>
      <c r="Z55" s="6">
        <f t="shared" si="24"/>
        <v>-3.455008646819259E-2</v>
      </c>
    </row>
    <row r="56" spans="1:26" s="24" customFormat="1" hidden="1" outlineLevel="2" x14ac:dyDescent="0.25">
      <c r="A56" s="29"/>
      <c r="B56" s="11" t="str">
        <f>CONCATENATE("          ", "6112", " - ", "COMPENSATION INSURANCE")</f>
        <v xml:space="preserve">          6112 - COMPENSATION INSURANCE</v>
      </c>
      <c r="C56" s="11"/>
      <c r="D56" s="7">
        <v>90.86</v>
      </c>
      <c r="E56" s="2"/>
      <c r="F56" s="6">
        <f t="shared" si="17"/>
        <v>1.8479832616566941E-4</v>
      </c>
      <c r="G56" s="2"/>
      <c r="H56" s="7">
        <v>133.99</v>
      </c>
      <c r="I56" s="2"/>
      <c r="J56" s="6">
        <f t="shared" si="18"/>
        <v>2.6717042019273207E-4</v>
      </c>
      <c r="K56" s="2"/>
      <c r="L56" s="7">
        <f t="shared" si="19"/>
        <v>-43.13000000000001</v>
      </c>
      <c r="M56" s="2"/>
      <c r="N56" s="6">
        <f t="shared" si="20"/>
        <v>-0.32188969326069117</v>
      </c>
      <c r="O56" s="11"/>
      <c r="P56" s="7">
        <v>143.91</v>
      </c>
      <c r="Q56" s="2"/>
      <c r="R56" s="6">
        <f t="shared" si="21"/>
        <v>2.0569203061942626E-4</v>
      </c>
      <c r="S56" s="2"/>
      <c r="T56" s="7">
        <v>257.64</v>
      </c>
      <c r="U56" s="2"/>
      <c r="V56" s="6">
        <f t="shared" si="22"/>
        <v>2.9550871146812252E-4</v>
      </c>
      <c r="W56" s="2"/>
      <c r="X56" s="7">
        <f t="shared" si="23"/>
        <v>-113.72999999999999</v>
      </c>
      <c r="Y56" s="2"/>
      <c r="Z56" s="6">
        <f t="shared" si="24"/>
        <v>-0.44142990218910105</v>
      </c>
    </row>
    <row r="57" spans="1:26" s="24" customFormat="1" hidden="1" outlineLevel="2" x14ac:dyDescent="0.25">
      <c r="A57" s="29"/>
      <c r="B57" s="11" t="str">
        <f>CONCATENATE("          ", "6113", " - ", "GROUP INSURANCE")</f>
        <v xml:space="preserve">          6113 - GROUP INSURANCE</v>
      </c>
      <c r="C57" s="11"/>
      <c r="D57" s="7">
        <v>1035.69</v>
      </c>
      <c r="E57" s="2"/>
      <c r="F57" s="6">
        <f t="shared" si="17"/>
        <v>2.106469055981974E-3</v>
      </c>
      <c r="G57" s="2"/>
      <c r="H57" s="7">
        <v>964.88</v>
      </c>
      <c r="I57" s="2"/>
      <c r="J57" s="6">
        <f t="shared" si="18"/>
        <v>1.9239301069897997E-3</v>
      </c>
      <c r="K57" s="2"/>
      <c r="L57" s="7">
        <f t="shared" si="19"/>
        <v>70.810000000000059</v>
      </c>
      <c r="M57" s="2"/>
      <c r="N57" s="6">
        <f t="shared" si="20"/>
        <v>7.3387364231821642E-2</v>
      </c>
      <c r="O57" s="11"/>
      <c r="P57" s="7">
        <v>2071.38</v>
      </c>
      <c r="Q57" s="2"/>
      <c r="R57" s="6">
        <f t="shared" si="21"/>
        <v>2.9606445582966243E-3</v>
      </c>
      <c r="S57" s="2"/>
      <c r="T57" s="7">
        <v>1929.76</v>
      </c>
      <c r="U57" s="2"/>
      <c r="V57" s="6">
        <f t="shared" si="22"/>
        <v>2.2134019990790411E-3</v>
      </c>
      <c r="W57" s="2"/>
      <c r="X57" s="7">
        <f t="shared" si="23"/>
        <v>141.62000000000012</v>
      </c>
      <c r="Y57" s="2"/>
      <c r="Z57" s="6">
        <f t="shared" si="24"/>
        <v>7.3387364231821642E-2</v>
      </c>
    </row>
    <row r="58" spans="1:26" s="24" customFormat="1" hidden="1" outlineLevel="2" x14ac:dyDescent="0.25">
      <c r="A58" s="29"/>
      <c r="B58" s="11" t="str">
        <f>CONCATENATE("          ", "6114", " - ", "STATE UNEMPLOYMENT INSURANCE")</f>
        <v xml:space="preserve">          6114 - STATE UNEMPLOYMENT INSURANCE</v>
      </c>
      <c r="C58" s="11"/>
      <c r="D58" s="7">
        <v>20.47</v>
      </c>
      <c r="E58" s="2"/>
      <c r="F58" s="6">
        <f t="shared" si="17"/>
        <v>4.1633521204174037E-5</v>
      </c>
      <c r="G58" s="2"/>
      <c r="H58" s="7">
        <v>18.34</v>
      </c>
      <c r="I58" s="2"/>
      <c r="J58" s="6">
        <f t="shared" si="18"/>
        <v>3.656918804638186E-5</v>
      </c>
      <c r="K58" s="2"/>
      <c r="L58" s="7">
        <f t="shared" si="19"/>
        <v>2.129999999999999</v>
      </c>
      <c r="M58" s="2"/>
      <c r="N58" s="6">
        <f t="shared" si="20"/>
        <v>0.11613958560523441</v>
      </c>
      <c r="O58" s="11"/>
      <c r="P58" s="7">
        <v>34.93</v>
      </c>
      <c r="Q58" s="2"/>
      <c r="R58" s="6">
        <f t="shared" si="21"/>
        <v>4.9925805222267797E-5</v>
      </c>
      <c r="S58" s="2"/>
      <c r="T58" s="7">
        <v>35.26</v>
      </c>
      <c r="U58" s="2"/>
      <c r="V58" s="6">
        <f t="shared" si="22"/>
        <v>4.0442622133077162E-5</v>
      </c>
      <c r="W58" s="2"/>
      <c r="X58" s="7">
        <f t="shared" si="23"/>
        <v>-0.32999999999999829</v>
      </c>
      <c r="Y58" s="2"/>
      <c r="Z58" s="6">
        <f t="shared" si="24"/>
        <v>-9.3590470788428338E-3</v>
      </c>
    </row>
    <row r="59" spans="1:26" s="24" customFormat="1" hidden="1" outlineLevel="2" x14ac:dyDescent="0.25">
      <c r="A59" s="29"/>
      <c r="B59" s="11" t="str">
        <f>CONCATENATE("          ", "6115", " - ", "P.E.R.S.")</f>
        <v xml:space="preserve">          6115 - P.E.R.S.</v>
      </c>
      <c r="C59" s="11"/>
      <c r="D59" s="7">
        <v>176.42</v>
      </c>
      <c r="E59" s="2"/>
      <c r="F59" s="6">
        <f t="shared" si="17"/>
        <v>3.5881708895165528E-4</v>
      </c>
      <c r="G59" s="2"/>
      <c r="H59" s="7">
        <v>183.4</v>
      </c>
      <c r="I59" s="2"/>
      <c r="J59" s="6">
        <f t="shared" si="18"/>
        <v>3.6569188046381863E-4</v>
      </c>
      <c r="K59" s="2"/>
      <c r="L59" s="7">
        <f t="shared" si="19"/>
        <v>-6.9800000000000182</v>
      </c>
      <c r="M59" s="2"/>
      <c r="N59" s="6">
        <f t="shared" si="20"/>
        <v>-3.8058887677208386E-2</v>
      </c>
      <c r="O59" s="11"/>
      <c r="P59" s="7">
        <v>441.05</v>
      </c>
      <c r="Q59" s="2"/>
      <c r="R59" s="6">
        <f t="shared" si="21"/>
        <v>6.3039726290527382E-4</v>
      </c>
      <c r="S59" s="2"/>
      <c r="T59" s="7">
        <v>366.8</v>
      </c>
      <c r="U59" s="2"/>
      <c r="V59" s="6">
        <f t="shared" si="22"/>
        <v>4.2071338055623103E-4</v>
      </c>
      <c r="W59" s="2"/>
      <c r="X59" s="7">
        <f t="shared" si="23"/>
        <v>74.25</v>
      </c>
      <c r="Y59" s="2"/>
      <c r="Z59" s="6">
        <f t="shared" si="24"/>
        <v>0.20242639040348964</v>
      </c>
    </row>
    <row r="60" spans="1:26" s="24" customFormat="1" hidden="1" outlineLevel="2" x14ac:dyDescent="0.25">
      <c r="A60" s="29"/>
      <c r="B60" s="11" t="str">
        <f>CONCATENATE("          ", "6117", " - ", "RETIREMENT STAFF HOURLY")</f>
        <v xml:space="preserve">          6117 - RETIREMENT STAFF HOURLY</v>
      </c>
      <c r="C60" s="11"/>
      <c r="D60" s="7">
        <v>190.54</v>
      </c>
      <c r="E60" s="2"/>
      <c r="F60" s="6">
        <f t="shared" si="17"/>
        <v>3.8753547289903861E-4</v>
      </c>
      <c r="G60" s="2"/>
      <c r="H60" s="7">
        <v>110.86</v>
      </c>
      <c r="I60" s="2"/>
      <c r="J60" s="6">
        <f t="shared" si="18"/>
        <v>2.2105017376346199E-4</v>
      </c>
      <c r="K60" s="2"/>
      <c r="L60" s="7">
        <f t="shared" si="19"/>
        <v>79.679999999999993</v>
      </c>
      <c r="M60" s="2"/>
      <c r="N60" s="6">
        <f t="shared" si="20"/>
        <v>0.71874436225870464</v>
      </c>
      <c r="O60" s="11"/>
      <c r="P60" s="7">
        <v>438.08</v>
      </c>
      <c r="Q60" s="2"/>
      <c r="R60" s="6">
        <f t="shared" si="21"/>
        <v>6.2615221161669275E-4</v>
      </c>
      <c r="S60" s="2"/>
      <c r="T60" s="7">
        <v>250.98</v>
      </c>
      <c r="U60" s="2"/>
      <c r="V60" s="6">
        <f t="shared" si="22"/>
        <v>2.8786980439477329E-4</v>
      </c>
      <c r="W60" s="2"/>
      <c r="X60" s="7">
        <f t="shared" si="23"/>
        <v>187.1</v>
      </c>
      <c r="Y60" s="2"/>
      <c r="Z60" s="6">
        <f t="shared" si="24"/>
        <v>0.7454777273089489</v>
      </c>
    </row>
    <row r="61" spans="1:26" s="24" customFormat="1" hidden="1" outlineLevel="2" x14ac:dyDescent="0.25">
      <c r="A61" s="29"/>
      <c r="B61" s="11" t="str">
        <f>CONCATENATE("          ", "6118", " - ", "VACATION")</f>
        <v xml:space="preserve">          6118 - VACATION</v>
      </c>
      <c r="C61" s="11"/>
      <c r="D61" s="7">
        <v>257.8</v>
      </c>
      <c r="E61" s="2"/>
      <c r="F61" s="6">
        <f t="shared" si="17"/>
        <v>5.2433423382687193E-4</v>
      </c>
      <c r="G61" s="2"/>
      <c r="H61" s="7">
        <v>151.31</v>
      </c>
      <c r="I61" s="2"/>
      <c r="J61" s="6">
        <f t="shared" si="18"/>
        <v>3.0170577117219407E-4</v>
      </c>
      <c r="K61" s="2"/>
      <c r="L61" s="7">
        <f t="shared" si="19"/>
        <v>106.49000000000001</v>
      </c>
      <c r="M61" s="2"/>
      <c r="N61" s="6">
        <f t="shared" si="20"/>
        <v>0.70378692749983485</v>
      </c>
      <c r="O61" s="11"/>
      <c r="P61" s="7">
        <v>515.6</v>
      </c>
      <c r="Q61" s="2"/>
      <c r="R61" s="6">
        <f t="shared" si="21"/>
        <v>7.3695233817925221E-4</v>
      </c>
      <c r="S61" s="2"/>
      <c r="T61" s="7">
        <v>464.63</v>
      </c>
      <c r="U61" s="2"/>
      <c r="V61" s="6">
        <f t="shared" si="22"/>
        <v>5.3292273175529331E-4</v>
      </c>
      <c r="W61" s="2"/>
      <c r="X61" s="7">
        <f t="shared" si="23"/>
        <v>50.970000000000027</v>
      </c>
      <c r="Y61" s="2"/>
      <c r="Z61" s="6">
        <f t="shared" si="24"/>
        <v>0.10970019155026586</v>
      </c>
    </row>
    <row r="62" spans="1:26" s="24" customFormat="1" hidden="1" outlineLevel="2" x14ac:dyDescent="0.25">
      <c r="A62" s="29"/>
      <c r="B62" s="11" t="str">
        <f>CONCATENATE("          ", "6119", " - ", "SICK LEAVE")</f>
        <v xml:space="preserve">          6119 - SICK LEAVE</v>
      </c>
      <c r="C62" s="11"/>
      <c r="D62" s="7">
        <v>256.57</v>
      </c>
      <c r="E62" s="2"/>
      <c r="F62" s="6">
        <f t="shared" si="17"/>
        <v>5.2183256157083211E-4</v>
      </c>
      <c r="G62" s="2"/>
      <c r="H62" s="7">
        <v>121.11</v>
      </c>
      <c r="I62" s="2"/>
      <c r="J62" s="6">
        <f t="shared" si="18"/>
        <v>2.4148824232809744E-4</v>
      </c>
      <c r="K62" s="2"/>
      <c r="L62" s="7">
        <f t="shared" si="19"/>
        <v>135.45999999999998</v>
      </c>
      <c r="M62" s="2"/>
      <c r="N62" s="6">
        <f t="shared" si="20"/>
        <v>1.118487325571794</v>
      </c>
      <c r="O62" s="11"/>
      <c r="P62" s="7">
        <v>513.14</v>
      </c>
      <c r="Q62" s="2"/>
      <c r="R62" s="6">
        <f t="shared" si="21"/>
        <v>7.3343623509174052E-4</v>
      </c>
      <c r="S62" s="2"/>
      <c r="T62" s="7">
        <v>449.73</v>
      </c>
      <c r="U62" s="2"/>
      <c r="V62" s="6">
        <f t="shared" si="22"/>
        <v>5.1583268439900159E-4</v>
      </c>
      <c r="W62" s="2"/>
      <c r="X62" s="7">
        <f t="shared" si="23"/>
        <v>63.409999999999968</v>
      </c>
      <c r="Y62" s="2"/>
      <c r="Z62" s="6">
        <f t="shared" si="24"/>
        <v>0.14099570853623278</v>
      </c>
    </row>
    <row r="63" spans="1:26" s="24" customFormat="1" hidden="1" outlineLevel="2" x14ac:dyDescent="0.25">
      <c r="A63" s="29"/>
      <c r="B63" s="11" t="str">
        <f>CONCATENATE("          ", "6156", " - ", "EMPLOYEE MEALS")</f>
        <v xml:space="preserve">          6156 - EMPLOYEE MEALS</v>
      </c>
      <c r="C63" s="11"/>
      <c r="D63" s="7">
        <v>196.22</v>
      </c>
      <c r="E63" s="2"/>
      <c r="F63" s="6">
        <f t="shared" si="17"/>
        <v>3.9908791063424668E-4</v>
      </c>
      <c r="G63" s="2"/>
      <c r="H63" s="7">
        <v>149.19999999999999</v>
      </c>
      <c r="I63" s="2"/>
      <c r="J63" s="6">
        <f t="shared" si="18"/>
        <v>2.9749851998474227E-4</v>
      </c>
      <c r="K63" s="2"/>
      <c r="L63" s="7">
        <f t="shared" si="19"/>
        <v>47.02000000000001</v>
      </c>
      <c r="M63" s="2"/>
      <c r="N63" s="6">
        <f t="shared" si="20"/>
        <v>0.31514745308310999</v>
      </c>
      <c r="O63" s="11"/>
      <c r="P63" s="7">
        <v>375.05</v>
      </c>
      <c r="Q63" s="2"/>
      <c r="R63" s="6">
        <f t="shared" si="21"/>
        <v>5.3606278982569532E-4</v>
      </c>
      <c r="S63" s="2"/>
      <c r="T63" s="7">
        <v>299.2</v>
      </c>
      <c r="U63" s="2"/>
      <c r="V63" s="6">
        <f t="shared" si="22"/>
        <v>3.4317732677869222E-4</v>
      </c>
      <c r="W63" s="2"/>
      <c r="X63" s="7">
        <f t="shared" si="23"/>
        <v>75.850000000000023</v>
      </c>
      <c r="Y63" s="2"/>
      <c r="Z63" s="6">
        <f t="shared" si="24"/>
        <v>0.25350935828877014</v>
      </c>
    </row>
    <row r="64" spans="1:26" s="28" customFormat="1" outlineLevel="1" collapsed="1" x14ac:dyDescent="0.25">
      <c r="A64" s="27"/>
      <c r="B64" s="14" t="str">
        <f>CONCATENATE("     ","*Payroll                                          ")</f>
        <v xml:space="preserve">     *Payroll                                          </v>
      </c>
      <c r="C64" s="14"/>
      <c r="D64" s="1">
        <f>SUM(OSRRefD22_1x_0)</f>
        <v>9389.67</v>
      </c>
      <c r="E64" s="1"/>
      <c r="F64" s="5">
        <f t="shared" ref="F64:F69" si="25">IF(D$12=0,0,D64/D$12)</f>
        <v>1.9097460920625153E-2</v>
      </c>
      <c r="G64" s="1"/>
      <c r="H64" s="1">
        <f>SUM(OSRRefH22_1x_0)</f>
        <v>9374.5400000000009</v>
      </c>
      <c r="I64" s="1"/>
      <c r="J64" s="5">
        <f t="shared" ref="J64:J69" si="26">IF(H$12=0,0,H64/H$12)</f>
        <v>1.8692438173845617E-2</v>
      </c>
      <c r="K64" s="1"/>
      <c r="L64" s="1">
        <f t="shared" ref="L64:L69" si="27">+D64-H64</f>
        <v>15.1299999999992</v>
      </c>
      <c r="M64" s="1"/>
      <c r="N64" s="5">
        <f t="shared" ref="N64:N69" si="28">IF(H64=0,0,L64/H64)</f>
        <v>1.6139458576099946E-3</v>
      </c>
      <c r="O64" s="14"/>
      <c r="P64" s="1">
        <f>SUM(OSRRefP22_1x_0)</f>
        <v>15807.490000000002</v>
      </c>
      <c r="Q64" s="1"/>
      <c r="R64" s="5">
        <f t="shared" ref="R64:R69" si="29">IF(P$12=0,0,P64/P$12)</f>
        <v>2.2593806664556144E-2</v>
      </c>
      <c r="S64" s="1"/>
      <c r="T64" s="1">
        <f>SUM(OSRRefT22_1x_0)</f>
        <v>17288.080000000002</v>
      </c>
      <c r="U64" s="1"/>
      <c r="V64" s="5">
        <f t="shared" ref="V64:V69" si="30">IF(T$12=0,0,T64/T$12)</f>
        <v>1.9829134624118231E-2</v>
      </c>
      <c r="W64" s="1"/>
      <c r="X64" s="1">
        <f t="shared" ref="X64:X69" si="31">+P64-T64</f>
        <v>-1480.5900000000001</v>
      </c>
      <c r="Y64" s="1"/>
      <c r="Z64" s="5">
        <f t="shared" ref="Z64:Z69" si="32">IF(T64=0,0,X64/T64)</f>
        <v>-8.5642245986830234E-2</v>
      </c>
    </row>
    <row r="65" spans="1:26" s="24" customFormat="1" hidden="1" outlineLevel="2" x14ac:dyDescent="0.25">
      <c r="A65" s="29"/>
      <c r="B65" s="11" t="str">
        <f>CONCATENATE("          ", "6002", " - ", "STAFF SALARIES")</f>
        <v xml:space="preserve">          6002 - STAFF SALARIES</v>
      </c>
      <c r="C65" s="11"/>
      <c r="D65" s="7">
        <v>2054.0700000000002</v>
      </c>
      <c r="E65" s="2"/>
      <c r="F65" s="6">
        <f t="shared" si="25"/>
        <v>4.1777316511899254E-3</v>
      </c>
      <c r="G65" s="2"/>
      <c r="H65" s="7">
        <v>2624.68</v>
      </c>
      <c r="I65" s="2"/>
      <c r="J65" s="6">
        <f t="shared" si="26"/>
        <v>5.2335014439246199E-3</v>
      </c>
      <c r="K65" s="2"/>
      <c r="L65" s="7">
        <f t="shared" si="27"/>
        <v>-570.60999999999967</v>
      </c>
      <c r="M65" s="2"/>
      <c r="N65" s="6">
        <f t="shared" si="28"/>
        <v>-0.21740174040263946</v>
      </c>
      <c r="O65" s="11"/>
      <c r="P65" s="7">
        <v>4679.1400000000003</v>
      </c>
      <c r="Q65" s="2"/>
      <c r="R65" s="6">
        <f t="shared" si="29"/>
        <v>6.6879425206905858E-3</v>
      </c>
      <c r="S65" s="2"/>
      <c r="T65" s="7">
        <v>5776.08</v>
      </c>
      <c r="U65" s="2"/>
      <c r="V65" s="6">
        <f t="shared" si="30"/>
        <v>6.6250658210557107E-3</v>
      </c>
      <c r="W65" s="2"/>
      <c r="X65" s="7">
        <f t="shared" si="31"/>
        <v>-1096.9399999999996</v>
      </c>
      <c r="Y65" s="2"/>
      <c r="Z65" s="6">
        <f t="shared" si="32"/>
        <v>-0.18991080455949358</v>
      </c>
    </row>
    <row r="66" spans="1:26" s="24" customFormat="1" hidden="1" outlineLevel="2" x14ac:dyDescent="0.25">
      <c r="A66" s="29"/>
      <c r="B66" s="11" t="str">
        <f>CONCATENATE("          ", "6004", " - ", "STAFF HOURLY")</f>
        <v xml:space="preserve">          6004 - STAFF HOURLY</v>
      </c>
      <c r="C66" s="11"/>
      <c r="D66" s="7">
        <v>3810.96</v>
      </c>
      <c r="E66" s="2"/>
      <c r="F66" s="6">
        <f t="shared" si="25"/>
        <v>7.7510348787620462E-3</v>
      </c>
      <c r="G66" s="2"/>
      <c r="H66" s="7"/>
      <c r="I66" s="2"/>
      <c r="J66" s="6">
        <f t="shared" si="26"/>
        <v>0</v>
      </c>
      <c r="K66" s="2"/>
      <c r="L66" s="7">
        <f t="shared" si="27"/>
        <v>3810.96</v>
      </c>
      <c r="M66" s="2"/>
      <c r="N66" s="6">
        <f t="shared" si="28"/>
        <v>0</v>
      </c>
      <c r="O66" s="11"/>
      <c r="P66" s="7">
        <v>6834.71</v>
      </c>
      <c r="Q66" s="2"/>
      <c r="R66" s="6">
        <f t="shared" si="29"/>
        <v>9.7689207045715994E-3</v>
      </c>
      <c r="S66" s="2"/>
      <c r="T66" s="7"/>
      <c r="U66" s="2"/>
      <c r="V66" s="6">
        <f t="shared" si="30"/>
        <v>0</v>
      </c>
      <c r="W66" s="2"/>
      <c r="X66" s="7">
        <f t="shared" si="31"/>
        <v>6834.71</v>
      </c>
      <c r="Y66" s="2"/>
      <c r="Z66" s="6">
        <f t="shared" si="32"/>
        <v>0</v>
      </c>
    </row>
    <row r="67" spans="1:26" s="24" customFormat="1" hidden="1" outlineLevel="2" x14ac:dyDescent="0.25">
      <c r="A67" s="29"/>
      <c r="B67" s="11" t="str">
        <f>CONCATENATE("          ", "6005", " - ", "TEMPORARY WAGES-HOURLY")</f>
        <v xml:space="preserve">          6005 - TEMPORARY WAGES-HOURLY</v>
      </c>
      <c r="C67" s="11"/>
      <c r="D67" s="7"/>
      <c r="E67" s="2"/>
      <c r="F67" s="6">
        <f t="shared" si="25"/>
        <v>0</v>
      </c>
      <c r="G67" s="2"/>
      <c r="H67" s="7">
        <v>2707.17</v>
      </c>
      <c r="I67" s="2"/>
      <c r="J67" s="6">
        <f t="shared" si="26"/>
        <v>5.3979830318169894E-3</v>
      </c>
      <c r="K67" s="2"/>
      <c r="L67" s="7">
        <f t="shared" si="27"/>
        <v>-2707.17</v>
      </c>
      <c r="M67" s="2"/>
      <c r="N67" s="6">
        <f t="shared" si="28"/>
        <v>-1</v>
      </c>
      <c r="O67" s="11"/>
      <c r="P67" s="7"/>
      <c r="Q67" s="2"/>
      <c r="R67" s="6">
        <f t="shared" si="29"/>
        <v>0</v>
      </c>
      <c r="S67" s="2"/>
      <c r="T67" s="7">
        <v>5140.87</v>
      </c>
      <c r="U67" s="2"/>
      <c r="V67" s="6">
        <f t="shared" si="30"/>
        <v>5.8964907216469773E-3</v>
      </c>
      <c r="W67" s="2"/>
      <c r="X67" s="7">
        <f t="shared" si="31"/>
        <v>-5140.87</v>
      </c>
      <c r="Y67" s="2"/>
      <c r="Z67" s="6">
        <f t="shared" si="32"/>
        <v>-1</v>
      </c>
    </row>
    <row r="68" spans="1:26" s="24" customFormat="1" hidden="1" outlineLevel="2" x14ac:dyDescent="0.25">
      <c r="A68" s="29"/>
      <c r="B68" s="11" t="str">
        <f>CONCATENATE("          ", "6006", " - ", "TEMPORARY PART TIME")</f>
        <v xml:space="preserve">          6006 - TEMPORARY PART TIME</v>
      </c>
      <c r="C68" s="11"/>
      <c r="D68" s="7"/>
      <c r="E68" s="2"/>
      <c r="F68" s="6">
        <f t="shared" si="25"/>
        <v>0</v>
      </c>
      <c r="G68" s="2"/>
      <c r="H68" s="7">
        <v>1503.38</v>
      </c>
      <c r="I68" s="2"/>
      <c r="J68" s="6">
        <f t="shared" si="26"/>
        <v>2.9976764408489402E-3</v>
      </c>
      <c r="K68" s="2"/>
      <c r="L68" s="7">
        <f t="shared" si="27"/>
        <v>-1503.38</v>
      </c>
      <c r="M68" s="2"/>
      <c r="N68" s="6">
        <f t="shared" si="28"/>
        <v>-1</v>
      </c>
      <c r="O68" s="11"/>
      <c r="P68" s="7"/>
      <c r="Q68" s="2"/>
      <c r="R68" s="6">
        <f t="shared" si="29"/>
        <v>0</v>
      </c>
      <c r="S68" s="2"/>
      <c r="T68" s="7">
        <v>2951.82</v>
      </c>
      <c r="U68" s="2"/>
      <c r="V68" s="6">
        <f t="shared" si="30"/>
        <v>3.3856874890771369E-3</v>
      </c>
      <c r="W68" s="2"/>
      <c r="X68" s="7">
        <f t="shared" si="31"/>
        <v>-2951.82</v>
      </c>
      <c r="Y68" s="2"/>
      <c r="Z68" s="6">
        <f t="shared" si="32"/>
        <v>-1</v>
      </c>
    </row>
    <row r="69" spans="1:26" s="24" customFormat="1" hidden="1" outlineLevel="2" x14ac:dyDescent="0.25">
      <c r="A69" s="29"/>
      <c r="B69" s="11" t="str">
        <f>CONCATENATE("          ", "6007", " - ", "STUDENT HOURLY")</f>
        <v xml:space="preserve">          6007 - STUDENT HOURLY</v>
      </c>
      <c r="C69" s="11"/>
      <c r="D69" s="7">
        <v>3524.64</v>
      </c>
      <c r="E69" s="2"/>
      <c r="F69" s="6">
        <f t="shared" si="25"/>
        <v>7.1686943906731793E-3</v>
      </c>
      <c r="G69" s="2"/>
      <c r="H69" s="7">
        <v>2539.31</v>
      </c>
      <c r="I69" s="2"/>
      <c r="J69" s="6">
        <f t="shared" si="26"/>
        <v>5.0632772572550668E-3</v>
      </c>
      <c r="K69" s="2"/>
      <c r="L69" s="7">
        <f t="shared" si="27"/>
        <v>985.32999999999993</v>
      </c>
      <c r="M69" s="2"/>
      <c r="N69" s="6">
        <f t="shared" si="28"/>
        <v>0.38803060673962608</v>
      </c>
      <c r="O69" s="11"/>
      <c r="P69" s="7">
        <v>4293.6400000000003</v>
      </c>
      <c r="Q69" s="2"/>
      <c r="R69" s="6">
        <f t="shared" si="29"/>
        <v>6.1369434392939577E-3</v>
      </c>
      <c r="S69" s="2"/>
      <c r="T69" s="7">
        <v>3419.31</v>
      </c>
      <c r="U69" s="2"/>
      <c r="V69" s="6">
        <f t="shared" si="30"/>
        <v>3.9218905923384031E-3</v>
      </c>
      <c r="W69" s="2"/>
      <c r="X69" s="7">
        <f t="shared" si="31"/>
        <v>874.33000000000038</v>
      </c>
      <c r="Y69" s="2"/>
      <c r="Z69" s="6">
        <f t="shared" si="32"/>
        <v>0.25570363611371899</v>
      </c>
    </row>
    <row r="70" spans="1:26" s="28" customFormat="1" outlineLevel="1" collapsed="1" x14ac:dyDescent="0.25">
      <c r="A70" s="27"/>
      <c r="B70" s="14" t="str">
        <f>CONCATENATE("     ","Advertising/Promo                                 ")</f>
        <v xml:space="preserve">     Advertising/Promo                                 </v>
      </c>
      <c r="C70" s="14"/>
      <c r="D70" s="1">
        <f>SUM(OSRRefD22_2x_0)</f>
        <v>99.23</v>
      </c>
      <c r="E70" s="1"/>
      <c r="F70" s="5">
        <f t="shared" ref="F70:F78" si="33">IF(D$12=0,0,D70/D$12)</f>
        <v>2.0182190078603762E-4</v>
      </c>
      <c r="G70" s="1"/>
      <c r="H70" s="1">
        <f>SUM(OSRRefH22_2x_0)</f>
        <v>343.09</v>
      </c>
      <c r="I70" s="1"/>
      <c r="J70" s="5">
        <f t="shared" ref="J70:J78" si="34">IF(H$12=0,0,H70/H$12)</f>
        <v>6.8410701891129504E-4</v>
      </c>
      <c r="K70" s="1"/>
      <c r="L70" s="1">
        <f t="shared" ref="L70:L78" si="35">+D70-H70</f>
        <v>-243.85999999999996</v>
      </c>
      <c r="M70" s="1"/>
      <c r="N70" s="5">
        <f t="shared" ref="N70:N78" si="36">IF(H70=0,0,L70/H70)</f>
        <v>-0.71077559823952896</v>
      </c>
      <c r="O70" s="14"/>
      <c r="P70" s="1">
        <f>SUM(OSRRefP22_2x_0)</f>
        <v>248.88</v>
      </c>
      <c r="Q70" s="1"/>
      <c r="R70" s="5">
        <f t="shared" ref="R70:R78" si="37">IF(P$12=0,0,P70/P$12)</f>
        <v>3.5572672212190123E-4</v>
      </c>
      <c r="S70" s="1"/>
      <c r="T70" s="1">
        <f>SUM(OSRRefT22_2x_0)</f>
        <v>702.16</v>
      </c>
      <c r="U70" s="1"/>
      <c r="V70" s="5">
        <f t="shared" ref="V70:V78" si="38">IF(T$12=0,0,T70/T$12)</f>
        <v>8.0536561420764216E-4</v>
      </c>
      <c r="W70" s="1"/>
      <c r="X70" s="1">
        <f t="shared" ref="X70:X78" si="39">+P70-T70</f>
        <v>-453.28</v>
      </c>
      <c r="Y70" s="1"/>
      <c r="Z70" s="5">
        <f t="shared" ref="Z70:Z78" si="40">IF(T70=0,0,X70/T70)</f>
        <v>-0.64555087159621738</v>
      </c>
    </row>
    <row r="71" spans="1:26" s="24" customFormat="1" hidden="1" outlineLevel="2" x14ac:dyDescent="0.25">
      <c r="A71" s="29"/>
      <c r="B71" s="11" t="str">
        <f>CONCATENATE("          ", "6362", " - ", "ADVERTISING EXPENSE")</f>
        <v xml:space="preserve">          6362 - ADVERTISING EXPENSE</v>
      </c>
      <c r="C71" s="11"/>
      <c r="D71" s="7">
        <v>99.23</v>
      </c>
      <c r="E71" s="2"/>
      <c r="F71" s="6">
        <f t="shared" si="33"/>
        <v>2.0182190078603762E-4</v>
      </c>
      <c r="G71" s="2"/>
      <c r="H71" s="7">
        <v>343.09</v>
      </c>
      <c r="I71" s="2"/>
      <c r="J71" s="6">
        <f t="shared" si="34"/>
        <v>6.8410701891129504E-4</v>
      </c>
      <c r="K71" s="2"/>
      <c r="L71" s="7">
        <f t="shared" si="35"/>
        <v>-243.85999999999996</v>
      </c>
      <c r="M71" s="2"/>
      <c r="N71" s="6">
        <f t="shared" si="36"/>
        <v>-0.71077559823952896</v>
      </c>
      <c r="O71" s="11"/>
      <c r="P71" s="7">
        <v>248.88</v>
      </c>
      <c r="Q71" s="2"/>
      <c r="R71" s="6">
        <f t="shared" si="37"/>
        <v>3.5572672212190123E-4</v>
      </c>
      <c r="S71" s="2"/>
      <c r="T71" s="7">
        <v>702.16</v>
      </c>
      <c r="U71" s="2"/>
      <c r="V71" s="6">
        <f t="shared" si="38"/>
        <v>8.0536561420764216E-4</v>
      </c>
      <c r="W71" s="2"/>
      <c r="X71" s="7">
        <f t="shared" si="39"/>
        <v>-453.28</v>
      </c>
      <c r="Y71" s="2"/>
      <c r="Z71" s="6">
        <f t="shared" si="40"/>
        <v>-0.64555087159621738</v>
      </c>
    </row>
    <row r="72" spans="1:26" s="28" customFormat="1" outlineLevel="1" collapsed="1" x14ac:dyDescent="0.25">
      <c r="A72" s="27"/>
      <c r="B72" s="14" t="str">
        <f>CONCATENATE("     ","Depreciation                                      ")</f>
        <v xml:space="preserve">     Depreciation                                      </v>
      </c>
      <c r="C72" s="14"/>
      <c r="D72" s="1">
        <f>SUM(OSRRefD22_3x_0)</f>
        <v>280.44</v>
      </c>
      <c r="E72" s="1"/>
      <c r="F72" s="5">
        <f t="shared" si="33"/>
        <v>5.703812743770673E-4</v>
      </c>
      <c r="G72" s="1"/>
      <c r="H72" s="1">
        <f>SUM(OSRRefH22_3x_0)</f>
        <v>280.44</v>
      </c>
      <c r="I72" s="1"/>
      <c r="J72" s="5">
        <f t="shared" si="34"/>
        <v>5.5918555592842582E-4</v>
      </c>
      <c r="K72" s="1"/>
      <c r="L72" s="1">
        <f t="shared" si="35"/>
        <v>0</v>
      </c>
      <c r="M72" s="1"/>
      <c r="N72" s="5">
        <f t="shared" si="36"/>
        <v>0</v>
      </c>
      <c r="O72" s="14"/>
      <c r="P72" s="1">
        <f>SUM(OSRRefP22_3x_0)</f>
        <v>560.88</v>
      </c>
      <c r="Q72" s="1"/>
      <c r="R72" s="5">
        <f t="shared" si="37"/>
        <v>8.016715039526357E-4</v>
      </c>
      <c r="S72" s="1"/>
      <c r="T72" s="1">
        <f>SUM(OSRRefT22_3x_0)</f>
        <v>560.88</v>
      </c>
      <c r="U72" s="1"/>
      <c r="V72" s="5">
        <f t="shared" si="38"/>
        <v>6.4331984974476235E-4</v>
      </c>
      <c r="W72" s="1"/>
      <c r="X72" s="1">
        <f t="shared" si="39"/>
        <v>0</v>
      </c>
      <c r="Y72" s="1"/>
      <c r="Z72" s="5">
        <f t="shared" si="40"/>
        <v>0</v>
      </c>
    </row>
    <row r="73" spans="1:26" s="24" customFormat="1" hidden="1" outlineLevel="2" x14ac:dyDescent="0.25">
      <c r="A73" s="29"/>
      <c r="B73" s="11" t="str">
        <f>CONCATENATE("          ", "6322", " - ", "EQUIPMENT DEPRECIATION EXPENSE")</f>
        <v xml:space="preserve">          6322 - EQUIPMENT DEPRECIATION EXPENSE</v>
      </c>
      <c r="C73" s="11"/>
      <c r="D73" s="7">
        <v>280.44</v>
      </c>
      <c r="E73" s="2"/>
      <c r="F73" s="6">
        <f t="shared" si="33"/>
        <v>5.703812743770673E-4</v>
      </c>
      <c r="G73" s="2"/>
      <c r="H73" s="7">
        <v>280.44</v>
      </c>
      <c r="I73" s="2"/>
      <c r="J73" s="6">
        <f t="shared" si="34"/>
        <v>5.5918555592842582E-4</v>
      </c>
      <c r="K73" s="2"/>
      <c r="L73" s="7">
        <f t="shared" si="35"/>
        <v>0</v>
      </c>
      <c r="M73" s="2"/>
      <c r="N73" s="6">
        <f t="shared" si="36"/>
        <v>0</v>
      </c>
      <c r="O73" s="11"/>
      <c r="P73" s="7">
        <v>560.88</v>
      </c>
      <c r="Q73" s="2"/>
      <c r="R73" s="6">
        <f t="shared" si="37"/>
        <v>8.016715039526357E-4</v>
      </c>
      <c r="S73" s="2"/>
      <c r="T73" s="7">
        <v>560.88</v>
      </c>
      <c r="U73" s="2"/>
      <c r="V73" s="6">
        <f t="shared" si="38"/>
        <v>6.4331984974476235E-4</v>
      </c>
      <c r="W73" s="2"/>
      <c r="X73" s="7">
        <f t="shared" si="39"/>
        <v>0</v>
      </c>
      <c r="Y73" s="2"/>
      <c r="Z73" s="6">
        <f t="shared" si="40"/>
        <v>0</v>
      </c>
    </row>
    <row r="74" spans="1:26" s="28" customFormat="1" outlineLevel="1" collapsed="1" x14ac:dyDescent="0.25">
      <c r="A74" s="27"/>
      <c r="B74" s="14" t="str">
        <f>CONCATENATE("     ","Discounts and Markdowns                           ")</f>
        <v xml:space="preserve">     Discounts and Markdowns                           </v>
      </c>
      <c r="C74" s="14"/>
      <c r="D74" s="1">
        <f>SUM(OSRRefD22_4x_0)</f>
        <v>0</v>
      </c>
      <c r="E74" s="1"/>
      <c r="F74" s="5">
        <f t="shared" si="33"/>
        <v>0</v>
      </c>
      <c r="G74" s="1"/>
      <c r="H74" s="1">
        <f>SUM(OSRRefH22_4x_0)</f>
        <v>57114.36</v>
      </c>
      <c r="I74" s="1"/>
      <c r="J74" s="5">
        <f t="shared" si="34"/>
        <v>0.11388362982490459</v>
      </c>
      <c r="K74" s="1"/>
      <c r="L74" s="1">
        <f t="shared" si="35"/>
        <v>-57114.36</v>
      </c>
      <c r="M74" s="1"/>
      <c r="N74" s="5">
        <f t="shared" si="36"/>
        <v>-1</v>
      </c>
      <c r="O74" s="14"/>
      <c r="P74" s="1">
        <f>SUM(OSRRefP22_4x_0)</f>
        <v>0</v>
      </c>
      <c r="Q74" s="1"/>
      <c r="R74" s="5">
        <f t="shared" si="37"/>
        <v>0</v>
      </c>
      <c r="S74" s="1"/>
      <c r="T74" s="1">
        <f>SUM(OSRRefT22_4x_0)</f>
        <v>70019.17</v>
      </c>
      <c r="U74" s="1"/>
      <c r="V74" s="5">
        <f t="shared" si="38"/>
        <v>8.0310800748204555E-2</v>
      </c>
      <c r="W74" s="1"/>
      <c r="X74" s="1">
        <f t="shared" si="39"/>
        <v>-70019.17</v>
      </c>
      <c r="Y74" s="1"/>
      <c r="Z74" s="5">
        <f t="shared" si="40"/>
        <v>-1</v>
      </c>
    </row>
    <row r="75" spans="1:26" s="24" customFormat="1" hidden="1" outlineLevel="2" x14ac:dyDescent="0.25">
      <c r="A75" s="29"/>
      <c r="B75" s="11" t="str">
        <f>CONCATENATE("          ", "6382", " - ", "DISCOUNTS/MARK DOWNS")</f>
        <v xml:space="preserve">          6382 - DISCOUNTS/MARK DOWNS</v>
      </c>
      <c r="C75" s="11"/>
      <c r="D75" s="7"/>
      <c r="E75" s="2"/>
      <c r="F75" s="6">
        <f t="shared" si="33"/>
        <v>0</v>
      </c>
      <c r="G75" s="2"/>
      <c r="H75" s="7">
        <v>57114.36</v>
      </c>
      <c r="I75" s="2"/>
      <c r="J75" s="6">
        <f t="shared" si="34"/>
        <v>0.11388362982490459</v>
      </c>
      <c r="K75" s="2"/>
      <c r="L75" s="7">
        <f t="shared" si="35"/>
        <v>-57114.36</v>
      </c>
      <c r="M75" s="2"/>
      <c r="N75" s="6">
        <f t="shared" si="36"/>
        <v>-1</v>
      </c>
      <c r="O75" s="11"/>
      <c r="P75" s="7"/>
      <c r="Q75" s="2"/>
      <c r="R75" s="6">
        <f t="shared" si="37"/>
        <v>0</v>
      </c>
      <c r="S75" s="2"/>
      <c r="T75" s="7">
        <v>70019.17</v>
      </c>
      <c r="U75" s="2"/>
      <c r="V75" s="6">
        <f t="shared" si="38"/>
        <v>8.0310800748204555E-2</v>
      </c>
      <c r="W75" s="2"/>
      <c r="X75" s="7">
        <f t="shared" si="39"/>
        <v>-70019.17</v>
      </c>
      <c r="Y75" s="2"/>
      <c r="Z75" s="6">
        <f t="shared" si="40"/>
        <v>-1</v>
      </c>
    </row>
    <row r="76" spans="1:26" s="28" customFormat="1" outlineLevel="1" collapsed="1" x14ac:dyDescent="0.25">
      <c r="A76" s="27"/>
      <c r="B76" s="14" t="str">
        <f>CONCATENATE("     ","Freight out/Postage                               ")</f>
        <v xml:space="preserve">     Freight out/Postage                               </v>
      </c>
      <c r="C76" s="14"/>
      <c r="D76" s="1">
        <f>SUM(OSRRefD22_5x_0)</f>
        <v>179.14000000000001</v>
      </c>
      <c r="E76" s="1"/>
      <c r="F76" s="5">
        <f t="shared" si="33"/>
        <v>3.6434924223330425E-4</v>
      </c>
      <c r="G76" s="1"/>
      <c r="H76" s="1">
        <f>SUM(OSRRefH22_5x_0)</f>
        <v>0</v>
      </c>
      <c r="I76" s="1"/>
      <c r="J76" s="5">
        <f t="shared" si="34"/>
        <v>0</v>
      </c>
      <c r="K76" s="1"/>
      <c r="L76" s="1">
        <f t="shared" si="35"/>
        <v>179.14000000000001</v>
      </c>
      <c r="M76" s="1"/>
      <c r="N76" s="5">
        <f t="shared" si="36"/>
        <v>0</v>
      </c>
      <c r="O76" s="14"/>
      <c r="P76" s="1">
        <f>SUM(OSRRefP22_5x_0)</f>
        <v>189.75</v>
      </c>
      <c r="Q76" s="1"/>
      <c r="R76" s="5">
        <f t="shared" si="37"/>
        <v>2.7121161010378801E-4</v>
      </c>
      <c r="S76" s="1"/>
      <c r="T76" s="1">
        <f>SUM(OSRRefT22_5x_0)</f>
        <v>0</v>
      </c>
      <c r="U76" s="1"/>
      <c r="V76" s="5">
        <f t="shared" si="38"/>
        <v>0</v>
      </c>
      <c r="W76" s="1"/>
      <c r="X76" s="1">
        <f t="shared" si="39"/>
        <v>189.75</v>
      </c>
      <c r="Y76" s="1"/>
      <c r="Z76" s="5">
        <f t="shared" si="40"/>
        <v>0</v>
      </c>
    </row>
    <row r="77" spans="1:26" s="24" customFormat="1" hidden="1" outlineLevel="2" x14ac:dyDescent="0.25">
      <c r="A77" s="29"/>
      <c r="B77" s="11" t="str">
        <f>CONCATENATE("          ", "6305", " - ", "FREIGHT OUT")</f>
        <v xml:space="preserve">          6305 - FREIGHT OUT</v>
      </c>
      <c r="C77" s="11"/>
      <c r="D77" s="7">
        <v>175.34</v>
      </c>
      <c r="E77" s="2"/>
      <c r="F77" s="6">
        <f t="shared" si="33"/>
        <v>3.5662049867805939E-4</v>
      </c>
      <c r="G77" s="2"/>
      <c r="H77" s="7"/>
      <c r="I77" s="2"/>
      <c r="J77" s="6">
        <f t="shared" si="34"/>
        <v>0</v>
      </c>
      <c r="K77" s="2"/>
      <c r="L77" s="7">
        <f t="shared" si="35"/>
        <v>175.34</v>
      </c>
      <c r="M77" s="2"/>
      <c r="N77" s="6">
        <f t="shared" si="36"/>
        <v>0</v>
      </c>
      <c r="O77" s="11"/>
      <c r="P77" s="7">
        <v>180.95</v>
      </c>
      <c r="Q77" s="2"/>
      <c r="R77" s="6">
        <f t="shared" si="37"/>
        <v>2.5863368035984418E-4</v>
      </c>
      <c r="S77" s="2"/>
      <c r="T77" s="7"/>
      <c r="U77" s="2"/>
      <c r="V77" s="6">
        <f t="shared" si="38"/>
        <v>0</v>
      </c>
      <c r="W77" s="2"/>
      <c r="X77" s="7">
        <f t="shared" si="39"/>
        <v>180.95</v>
      </c>
      <c r="Y77" s="2"/>
      <c r="Z77" s="6">
        <f t="shared" si="40"/>
        <v>0</v>
      </c>
    </row>
    <row r="78" spans="1:26" s="24" customFormat="1" hidden="1" outlineLevel="2" x14ac:dyDescent="0.25">
      <c r="A78" s="29"/>
      <c r="B78" s="11" t="str">
        <f>CONCATENATE("          ", "6307", " - ", "POSTAGE")</f>
        <v xml:space="preserve">          6307 - POSTAGE</v>
      </c>
      <c r="C78" s="11"/>
      <c r="D78" s="7">
        <v>3.8</v>
      </c>
      <c r="E78" s="2"/>
      <c r="F78" s="6">
        <f t="shared" si="33"/>
        <v>7.7287435552448136E-6</v>
      </c>
      <c r="G78" s="2"/>
      <c r="H78" s="7"/>
      <c r="I78" s="2"/>
      <c r="J78" s="6">
        <f t="shared" si="34"/>
        <v>0</v>
      </c>
      <c r="K78" s="2"/>
      <c r="L78" s="7">
        <f t="shared" si="35"/>
        <v>3.8</v>
      </c>
      <c r="M78" s="2"/>
      <c r="N78" s="6">
        <f t="shared" si="36"/>
        <v>0</v>
      </c>
      <c r="O78" s="11"/>
      <c r="P78" s="7">
        <v>8.8000000000000007</v>
      </c>
      <c r="Q78" s="2"/>
      <c r="R78" s="6">
        <f t="shared" si="37"/>
        <v>1.2577929743943792E-5</v>
      </c>
      <c r="S78" s="2"/>
      <c r="T78" s="7"/>
      <c r="U78" s="2"/>
      <c r="V78" s="6">
        <f t="shared" si="38"/>
        <v>0</v>
      </c>
      <c r="W78" s="2"/>
      <c r="X78" s="7">
        <f t="shared" si="39"/>
        <v>8.8000000000000007</v>
      </c>
      <c r="Y78" s="2"/>
      <c r="Z78" s="6">
        <f t="shared" si="40"/>
        <v>0</v>
      </c>
    </row>
    <row r="79" spans="1:26" s="28" customFormat="1" outlineLevel="1" collapsed="1" x14ac:dyDescent="0.25">
      <c r="A79" s="27"/>
      <c r="B79" s="14" t="str">
        <f>CONCATENATE("     ","General                                           ")</f>
        <v xml:space="preserve">     General                                           </v>
      </c>
      <c r="C79" s="14"/>
      <c r="D79" s="1">
        <f>SUM(OSRRefD22_6x_0)</f>
        <v>0</v>
      </c>
      <c r="E79" s="1"/>
      <c r="F79" s="5">
        <f t="shared" ref="F79:F88" si="41">IF(D$12=0,0,D79/D$12)</f>
        <v>0</v>
      </c>
      <c r="G79" s="1"/>
      <c r="H79" s="1">
        <f>SUM(OSRRefH22_6x_0)</f>
        <v>0</v>
      </c>
      <c r="I79" s="1"/>
      <c r="J79" s="5">
        <f t="shared" ref="J79:J88" si="42">IF(H$12=0,0,H79/H$12)</f>
        <v>0</v>
      </c>
      <c r="K79" s="1"/>
      <c r="L79" s="1">
        <f t="shared" ref="L79:L88" si="43">+D79-H79</f>
        <v>0</v>
      </c>
      <c r="M79" s="1"/>
      <c r="N79" s="5">
        <f t="shared" ref="N79:N88" si="44">IF(H79=0,0,L79/H79)</f>
        <v>0</v>
      </c>
      <c r="O79" s="14"/>
      <c r="P79" s="1">
        <f>SUM(OSRRefP22_6x_0)</f>
        <v>-30.15</v>
      </c>
      <c r="Q79" s="1"/>
      <c r="R79" s="5">
        <f t="shared" ref="R79:R88" si="45">IF(P$12=0,0,P79/P$12)</f>
        <v>-4.3093702474989239E-5</v>
      </c>
      <c r="S79" s="1"/>
      <c r="T79" s="1">
        <f>SUM(OSRRefT22_6x_0)</f>
        <v>0</v>
      </c>
      <c r="U79" s="1"/>
      <c r="V79" s="5">
        <f t="shared" ref="V79:V88" si="46">IF(T$12=0,0,T79/T$12)</f>
        <v>0</v>
      </c>
      <c r="W79" s="1"/>
      <c r="X79" s="1">
        <f t="shared" ref="X79:X88" si="47">+P79-T79</f>
        <v>-30.15</v>
      </c>
      <c r="Y79" s="1"/>
      <c r="Z79" s="5">
        <f t="shared" ref="Z79:Z88" si="48">IF(T79=0,0,X79/T79)</f>
        <v>0</v>
      </c>
    </row>
    <row r="80" spans="1:26" s="24" customFormat="1" hidden="1" outlineLevel="2" x14ac:dyDescent="0.25">
      <c r="A80" s="29"/>
      <c r="B80" s="11" t="str">
        <f>CONCATENATE("          ", "6279", " - ", "GENERAL EXPENSE")</f>
        <v xml:space="preserve">          6279 - GENERAL EXPENSE</v>
      </c>
      <c r="C80" s="11"/>
      <c r="D80" s="7"/>
      <c r="E80" s="2"/>
      <c r="F80" s="6">
        <f t="shared" si="41"/>
        <v>0</v>
      </c>
      <c r="G80" s="2"/>
      <c r="H80" s="7"/>
      <c r="I80" s="2"/>
      <c r="J80" s="6">
        <f t="shared" si="42"/>
        <v>0</v>
      </c>
      <c r="K80" s="2"/>
      <c r="L80" s="7">
        <f t="shared" si="43"/>
        <v>0</v>
      </c>
      <c r="M80" s="2"/>
      <c r="N80" s="6">
        <f t="shared" si="44"/>
        <v>0</v>
      </c>
      <c r="O80" s="11"/>
      <c r="P80" s="7">
        <v>-30.15</v>
      </c>
      <c r="Q80" s="2"/>
      <c r="R80" s="6">
        <f t="shared" si="45"/>
        <v>-4.3093702474989239E-5</v>
      </c>
      <c r="S80" s="2"/>
      <c r="T80" s="7"/>
      <c r="U80" s="2"/>
      <c r="V80" s="6">
        <f t="shared" si="46"/>
        <v>0</v>
      </c>
      <c r="W80" s="2"/>
      <c r="X80" s="7">
        <f t="shared" si="47"/>
        <v>-30.15</v>
      </c>
      <c r="Y80" s="2"/>
      <c r="Z80" s="6">
        <f t="shared" si="48"/>
        <v>0</v>
      </c>
    </row>
    <row r="81" spans="1:26" s="28" customFormat="1" outlineLevel="1" collapsed="1" x14ac:dyDescent="0.25">
      <c r="A81" s="27"/>
      <c r="B81" s="14" t="str">
        <f>CONCATENATE("     ","Inventory Adjustment                              ")</f>
        <v xml:space="preserve">     Inventory Adjustment                              </v>
      </c>
      <c r="C81" s="14"/>
      <c r="D81" s="1">
        <f>SUM(OSRRefD22_7x_0)</f>
        <v>1250</v>
      </c>
      <c r="E81" s="1"/>
      <c r="F81" s="5">
        <f t="shared" si="41"/>
        <v>2.542349853698952E-3</v>
      </c>
      <c r="G81" s="1"/>
      <c r="H81" s="1">
        <f>SUM(OSRRefH22_7x_0)</f>
        <v>0</v>
      </c>
      <c r="I81" s="1"/>
      <c r="J81" s="5">
        <f t="shared" si="42"/>
        <v>0</v>
      </c>
      <c r="K81" s="1"/>
      <c r="L81" s="1">
        <f t="shared" si="43"/>
        <v>1250</v>
      </c>
      <c r="M81" s="1"/>
      <c r="N81" s="5">
        <f t="shared" si="44"/>
        <v>0</v>
      </c>
      <c r="O81" s="14"/>
      <c r="P81" s="1">
        <f>SUM(OSRRefP22_7x_0)</f>
        <v>2500</v>
      </c>
      <c r="Q81" s="1"/>
      <c r="R81" s="5">
        <f t="shared" si="45"/>
        <v>3.5732754954385772E-3</v>
      </c>
      <c r="S81" s="1"/>
      <c r="T81" s="1">
        <f>SUM(OSRRefT22_7x_0)</f>
        <v>0</v>
      </c>
      <c r="U81" s="1"/>
      <c r="V81" s="5">
        <f t="shared" si="46"/>
        <v>0</v>
      </c>
      <c r="W81" s="1"/>
      <c r="X81" s="1">
        <f t="shared" si="47"/>
        <v>2500</v>
      </c>
      <c r="Y81" s="1"/>
      <c r="Z81" s="5">
        <f t="shared" si="48"/>
        <v>0</v>
      </c>
    </row>
    <row r="82" spans="1:26" s="24" customFormat="1" hidden="1" outlineLevel="2" x14ac:dyDescent="0.25">
      <c r="A82" s="29"/>
      <c r="B82" s="11" t="str">
        <f>CONCATENATE("          ", "6408", " - ", "INVENTORY ADJUSTMENT")</f>
        <v xml:space="preserve">          6408 - INVENTORY ADJUSTMENT</v>
      </c>
      <c r="C82" s="11"/>
      <c r="D82" s="7">
        <v>1250</v>
      </c>
      <c r="E82" s="2"/>
      <c r="F82" s="6">
        <f t="shared" si="41"/>
        <v>2.542349853698952E-3</v>
      </c>
      <c r="G82" s="2"/>
      <c r="H82" s="7"/>
      <c r="I82" s="2"/>
      <c r="J82" s="6">
        <f t="shared" si="42"/>
        <v>0</v>
      </c>
      <c r="K82" s="2"/>
      <c r="L82" s="7">
        <f t="shared" si="43"/>
        <v>1250</v>
      </c>
      <c r="M82" s="2"/>
      <c r="N82" s="6">
        <f t="shared" si="44"/>
        <v>0</v>
      </c>
      <c r="O82" s="11"/>
      <c r="P82" s="7">
        <v>2500</v>
      </c>
      <c r="Q82" s="2"/>
      <c r="R82" s="6">
        <f t="shared" si="45"/>
        <v>3.5732754954385772E-3</v>
      </c>
      <c r="S82" s="2"/>
      <c r="T82" s="7"/>
      <c r="U82" s="2"/>
      <c r="V82" s="6">
        <f t="shared" si="46"/>
        <v>0</v>
      </c>
      <c r="W82" s="2"/>
      <c r="X82" s="7">
        <f t="shared" si="47"/>
        <v>2500</v>
      </c>
      <c r="Y82" s="2"/>
      <c r="Z82" s="6">
        <f t="shared" si="48"/>
        <v>0</v>
      </c>
    </row>
    <row r="83" spans="1:26" s="28" customFormat="1" outlineLevel="1" collapsed="1" x14ac:dyDescent="0.25">
      <c r="A83" s="27"/>
      <c r="B83" s="14" t="str">
        <f>CONCATENATE("     ","Subscriptions &amp; Dues                              ")</f>
        <v xml:space="preserve">     Subscriptions &amp; Dues                              </v>
      </c>
      <c r="C83" s="14"/>
      <c r="D83" s="1">
        <f>SUM(OSRRefD22_8x_0)</f>
        <v>0</v>
      </c>
      <c r="E83" s="1"/>
      <c r="F83" s="5">
        <f t="shared" si="41"/>
        <v>0</v>
      </c>
      <c r="G83" s="1"/>
      <c r="H83" s="1">
        <f>SUM(OSRRefH22_8x_0)</f>
        <v>-5000</v>
      </c>
      <c r="I83" s="1"/>
      <c r="J83" s="5">
        <f t="shared" si="42"/>
        <v>-9.9697895437246067E-3</v>
      </c>
      <c r="K83" s="1"/>
      <c r="L83" s="1">
        <f t="shared" si="43"/>
        <v>5000</v>
      </c>
      <c r="M83" s="1"/>
      <c r="N83" s="5">
        <f t="shared" si="44"/>
        <v>-1</v>
      </c>
      <c r="O83" s="14"/>
      <c r="P83" s="1">
        <f>SUM(OSRRefP22_8x_0)</f>
        <v>0</v>
      </c>
      <c r="Q83" s="1"/>
      <c r="R83" s="5">
        <f t="shared" si="45"/>
        <v>0</v>
      </c>
      <c r="S83" s="1"/>
      <c r="T83" s="1">
        <f>SUM(OSRRefT22_8x_0)</f>
        <v>-5000</v>
      </c>
      <c r="U83" s="1"/>
      <c r="V83" s="5">
        <f t="shared" si="46"/>
        <v>-5.7349152202321564E-3</v>
      </c>
      <c r="W83" s="1"/>
      <c r="X83" s="1">
        <f t="shared" si="47"/>
        <v>5000</v>
      </c>
      <c r="Y83" s="1"/>
      <c r="Z83" s="5">
        <f t="shared" si="48"/>
        <v>-1</v>
      </c>
    </row>
    <row r="84" spans="1:26" s="24" customFormat="1" hidden="1" outlineLevel="2" x14ac:dyDescent="0.25">
      <c r="A84" s="29"/>
      <c r="B84" s="11" t="str">
        <f>CONCATENATE("          ", "6258", " - ", "MEMBERSHIP DUES")</f>
        <v xml:space="preserve">          6258 - MEMBERSHIP DUES</v>
      </c>
      <c r="C84" s="11"/>
      <c r="D84" s="7"/>
      <c r="E84" s="2"/>
      <c r="F84" s="6">
        <f t="shared" si="41"/>
        <v>0</v>
      </c>
      <c r="G84" s="2"/>
      <c r="H84" s="7">
        <v>-5000</v>
      </c>
      <c r="I84" s="2"/>
      <c r="J84" s="6">
        <f t="shared" si="42"/>
        <v>-9.9697895437246067E-3</v>
      </c>
      <c r="K84" s="2"/>
      <c r="L84" s="7">
        <f t="shared" si="43"/>
        <v>5000</v>
      </c>
      <c r="M84" s="2"/>
      <c r="N84" s="6">
        <f t="shared" si="44"/>
        <v>-1</v>
      </c>
      <c r="O84" s="11"/>
      <c r="P84" s="7"/>
      <c r="Q84" s="2"/>
      <c r="R84" s="6">
        <f t="shared" si="45"/>
        <v>0</v>
      </c>
      <c r="S84" s="2"/>
      <c r="T84" s="7">
        <v>-5000</v>
      </c>
      <c r="U84" s="2"/>
      <c r="V84" s="6">
        <f t="shared" si="46"/>
        <v>-5.7349152202321564E-3</v>
      </c>
      <c r="W84" s="2"/>
      <c r="X84" s="7">
        <f t="shared" si="47"/>
        <v>5000</v>
      </c>
      <c r="Y84" s="2"/>
      <c r="Z84" s="6">
        <f t="shared" si="48"/>
        <v>-1</v>
      </c>
    </row>
    <row r="85" spans="1:26" s="28" customFormat="1" outlineLevel="1" collapsed="1" x14ac:dyDescent="0.25">
      <c r="A85" s="27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SUM(OSRRefD22_9x_0)</f>
        <v>787.43</v>
      </c>
      <c r="E85" s="1"/>
      <c r="F85" s="5">
        <f t="shared" si="41"/>
        <v>1.6015380362385326E-3</v>
      </c>
      <c r="G85" s="1"/>
      <c r="H85" s="1">
        <f>SUM(OSRRefH22_9x_0)</f>
        <v>88.18</v>
      </c>
      <c r="I85" s="1"/>
      <c r="J85" s="5">
        <f t="shared" si="42"/>
        <v>1.758272083931272E-4</v>
      </c>
      <c r="K85" s="1"/>
      <c r="L85" s="1">
        <f t="shared" si="43"/>
        <v>699.25</v>
      </c>
      <c r="M85" s="1"/>
      <c r="N85" s="5">
        <f t="shared" si="44"/>
        <v>7.9298026763438418</v>
      </c>
      <c r="O85" s="14"/>
      <c r="P85" s="1">
        <f>SUM(OSRRefP22_9x_0)</f>
        <v>1455.55</v>
      </c>
      <c r="Q85" s="1"/>
      <c r="R85" s="5">
        <f t="shared" si="45"/>
        <v>2.0804324589542484E-3</v>
      </c>
      <c r="S85" s="1"/>
      <c r="T85" s="1">
        <f>SUM(OSRRefT22_9x_0)</f>
        <v>763.44</v>
      </c>
      <c r="U85" s="1"/>
      <c r="V85" s="5">
        <f t="shared" si="46"/>
        <v>8.7565273514680756E-4</v>
      </c>
      <c r="W85" s="1"/>
      <c r="X85" s="1">
        <f t="shared" si="47"/>
        <v>692.1099999999999</v>
      </c>
      <c r="Y85" s="1"/>
      <c r="Z85" s="5">
        <f t="shared" si="48"/>
        <v>0.90656764120297584</v>
      </c>
    </row>
    <row r="86" spans="1:26" s="24" customFormat="1" hidden="1" outlineLevel="2" x14ac:dyDescent="0.25">
      <c r="A86" s="29"/>
      <c r="B86" s="11" t="str">
        <f>CONCATENATE("          ", "6235", " - ", "COVID-19 EXPENSES")</f>
        <v xml:space="preserve">          6235 - COVID-19 EXPENSES</v>
      </c>
      <c r="C86" s="11"/>
      <c r="D86" s="7"/>
      <c r="E86" s="2"/>
      <c r="F86" s="6">
        <f t="shared" si="41"/>
        <v>0</v>
      </c>
      <c r="G86" s="2"/>
      <c r="H86" s="7"/>
      <c r="I86" s="2"/>
      <c r="J86" s="6">
        <f t="shared" si="42"/>
        <v>0</v>
      </c>
      <c r="K86" s="2"/>
      <c r="L86" s="7">
        <f t="shared" si="43"/>
        <v>0</v>
      </c>
      <c r="M86" s="2"/>
      <c r="N86" s="6">
        <f t="shared" si="44"/>
        <v>0</v>
      </c>
      <c r="O86" s="11"/>
      <c r="P86" s="7">
        <v>668.12</v>
      </c>
      <c r="Q86" s="2"/>
      <c r="R86" s="6">
        <f t="shared" si="45"/>
        <v>9.5495072960496887E-4</v>
      </c>
      <c r="S86" s="2"/>
      <c r="T86" s="7"/>
      <c r="U86" s="2"/>
      <c r="V86" s="6">
        <f t="shared" si="46"/>
        <v>0</v>
      </c>
      <c r="W86" s="2"/>
      <c r="X86" s="7">
        <f t="shared" si="47"/>
        <v>668.12</v>
      </c>
      <c r="Y86" s="2"/>
      <c r="Z86" s="6">
        <f t="shared" si="48"/>
        <v>0</v>
      </c>
    </row>
    <row r="87" spans="1:26" s="24" customFormat="1" hidden="1" outlineLevel="2" x14ac:dyDescent="0.25">
      <c r="A87" s="29"/>
      <c r="B87" s="11" t="str">
        <f>CONCATENATE("          ", "6241", " - ", "OFFICE EXPENSE")</f>
        <v xml:space="preserve">          6241 - OFFICE EXPENSE</v>
      </c>
      <c r="C87" s="11"/>
      <c r="D87" s="7">
        <v>787.43</v>
      </c>
      <c r="E87" s="2"/>
      <c r="F87" s="6">
        <f t="shared" si="41"/>
        <v>1.6015380362385326E-3</v>
      </c>
      <c r="G87" s="2"/>
      <c r="H87" s="7">
        <v>88.18</v>
      </c>
      <c r="I87" s="2"/>
      <c r="J87" s="6">
        <f t="shared" si="42"/>
        <v>1.758272083931272E-4</v>
      </c>
      <c r="K87" s="2"/>
      <c r="L87" s="7">
        <f t="shared" si="43"/>
        <v>699.25</v>
      </c>
      <c r="M87" s="2"/>
      <c r="N87" s="6">
        <f t="shared" si="44"/>
        <v>7.9298026763438418</v>
      </c>
      <c r="O87" s="11"/>
      <c r="P87" s="7">
        <v>787.43</v>
      </c>
      <c r="Q87" s="2"/>
      <c r="R87" s="6">
        <f t="shared" si="45"/>
        <v>1.1254817293492795E-3</v>
      </c>
      <c r="S87" s="2"/>
      <c r="T87" s="7">
        <v>181</v>
      </c>
      <c r="U87" s="2"/>
      <c r="V87" s="6">
        <f t="shared" si="46"/>
        <v>2.0760393097240406E-4</v>
      </c>
      <c r="W87" s="2"/>
      <c r="X87" s="7">
        <f t="shared" si="47"/>
        <v>606.42999999999995</v>
      </c>
      <c r="Y87" s="2"/>
      <c r="Z87" s="6">
        <f t="shared" si="48"/>
        <v>3.3504419889502759</v>
      </c>
    </row>
    <row r="88" spans="1:26" s="24" customFormat="1" hidden="1" outlineLevel="2" x14ac:dyDescent="0.25">
      <c r="A88" s="29"/>
      <c r="B88" s="11" t="str">
        <f>CONCATENATE("          ", "6247", " - ", "STORE SUPPLIES")</f>
        <v xml:space="preserve">          6247 - STORE SUPPLIES</v>
      </c>
      <c r="C88" s="11"/>
      <c r="D88" s="7"/>
      <c r="E88" s="2"/>
      <c r="F88" s="6">
        <f t="shared" si="41"/>
        <v>0</v>
      </c>
      <c r="G88" s="2"/>
      <c r="H88" s="7"/>
      <c r="I88" s="2"/>
      <c r="J88" s="6">
        <f t="shared" si="42"/>
        <v>0</v>
      </c>
      <c r="K88" s="2"/>
      <c r="L88" s="7">
        <f t="shared" si="43"/>
        <v>0</v>
      </c>
      <c r="M88" s="2"/>
      <c r="N88" s="6">
        <f t="shared" si="44"/>
        <v>0</v>
      </c>
      <c r="O88" s="11"/>
      <c r="P88" s="7"/>
      <c r="Q88" s="2"/>
      <c r="R88" s="6">
        <f t="shared" si="45"/>
        <v>0</v>
      </c>
      <c r="S88" s="2"/>
      <c r="T88" s="7">
        <v>582.44000000000005</v>
      </c>
      <c r="U88" s="2"/>
      <c r="V88" s="6">
        <f t="shared" si="46"/>
        <v>6.6804880417440347E-4</v>
      </c>
      <c r="W88" s="2"/>
      <c r="X88" s="7">
        <f t="shared" si="47"/>
        <v>-582.44000000000005</v>
      </c>
      <c r="Y88" s="2"/>
      <c r="Z88" s="6">
        <f t="shared" si="48"/>
        <v>-1</v>
      </c>
    </row>
    <row r="89" spans="1:26" s="28" customFormat="1" outlineLevel="1" collapsed="1" x14ac:dyDescent="0.25">
      <c r="A89" s="27"/>
      <c r="B89" s="14" t="str">
        <f>CONCATENATE("     ","Telephone/Data Lines                              ")</f>
        <v xml:space="preserve">     Telephone/Data Lines                              </v>
      </c>
      <c r="C89" s="14"/>
      <c r="D89" s="1">
        <f>SUM(OSRRefD22_10x_0)</f>
        <v>306.75</v>
      </c>
      <c r="E89" s="1"/>
      <c r="F89" s="5">
        <f t="shared" ref="F89:F90" si="49">IF(D$12=0,0,D89/D$12)</f>
        <v>6.2389265409772284E-4</v>
      </c>
      <c r="G89" s="1"/>
      <c r="H89" s="1">
        <f>SUM(OSRRefH22_10x_0)</f>
        <v>254.25</v>
      </c>
      <c r="I89" s="1"/>
      <c r="J89" s="5">
        <f t="shared" ref="J89:J90" si="50">IF(H$12=0,0,H89/H$12)</f>
        <v>5.0696379829839628E-4</v>
      </c>
      <c r="K89" s="1"/>
      <c r="L89" s="1">
        <f t="shared" ref="L89:L90" si="51">+D89-H89</f>
        <v>52.5</v>
      </c>
      <c r="M89" s="1"/>
      <c r="N89" s="5">
        <f t="shared" ref="N89:N90" si="52">IF(H89=0,0,L89/H89)</f>
        <v>0.20648967551622419</v>
      </c>
      <c r="O89" s="14"/>
      <c r="P89" s="1">
        <f>SUM(OSRRefP22_10x_0)</f>
        <v>611.54999999999995</v>
      </c>
      <c r="Q89" s="1"/>
      <c r="R89" s="5">
        <f t="shared" ref="R89:R90" si="53">IF(P$12=0,0,P89/P$12)</f>
        <v>8.7409465169418468E-4</v>
      </c>
      <c r="S89" s="1"/>
      <c r="T89" s="1">
        <f>SUM(OSRRefT22_10x_0)</f>
        <v>431.3</v>
      </c>
      <c r="U89" s="1"/>
      <c r="V89" s="5">
        <f t="shared" ref="V89:V90" si="54">IF(T$12=0,0,T89/T$12)</f>
        <v>4.9469378689722581E-4</v>
      </c>
      <c r="W89" s="1"/>
      <c r="X89" s="1">
        <f t="shared" ref="X89:X90" si="55">+P89-T89</f>
        <v>180.24999999999994</v>
      </c>
      <c r="Y89" s="1"/>
      <c r="Z89" s="5">
        <f t="shared" ref="Z89:Z90" si="56">IF(T89=0,0,X89/T89)</f>
        <v>0.41792255970322267</v>
      </c>
    </row>
    <row r="90" spans="1:26" s="24" customFormat="1" hidden="1" outlineLevel="2" x14ac:dyDescent="0.25">
      <c r="A90" s="29"/>
      <c r="B90" s="11" t="str">
        <f>CONCATENATE("          ", "6309", " - ", "TELEPHONE")</f>
        <v xml:space="preserve">          6309 - TELEPHONE</v>
      </c>
      <c r="C90" s="11"/>
      <c r="D90" s="7">
        <v>306.75</v>
      </c>
      <c r="E90" s="2"/>
      <c r="F90" s="6">
        <f t="shared" si="49"/>
        <v>6.2389265409772284E-4</v>
      </c>
      <c r="G90" s="2"/>
      <c r="H90" s="7">
        <v>254.25</v>
      </c>
      <c r="I90" s="2"/>
      <c r="J90" s="6">
        <f t="shared" si="50"/>
        <v>5.0696379829839628E-4</v>
      </c>
      <c r="K90" s="2"/>
      <c r="L90" s="7">
        <f t="shared" si="51"/>
        <v>52.5</v>
      </c>
      <c r="M90" s="2"/>
      <c r="N90" s="6">
        <f t="shared" si="52"/>
        <v>0.20648967551622419</v>
      </c>
      <c r="O90" s="11"/>
      <c r="P90" s="7">
        <v>611.54999999999995</v>
      </c>
      <c r="Q90" s="2"/>
      <c r="R90" s="6">
        <f t="shared" si="53"/>
        <v>8.7409465169418468E-4</v>
      </c>
      <c r="S90" s="2"/>
      <c r="T90" s="7">
        <v>431.3</v>
      </c>
      <c r="U90" s="2"/>
      <c r="V90" s="6">
        <f t="shared" si="54"/>
        <v>4.9469378689722581E-4</v>
      </c>
      <c r="W90" s="2"/>
      <c r="X90" s="7">
        <f t="shared" si="55"/>
        <v>180.24999999999994</v>
      </c>
      <c r="Y90" s="2"/>
      <c r="Z90" s="6">
        <f t="shared" si="56"/>
        <v>0.41792255970322267</v>
      </c>
    </row>
    <row r="91" spans="1:26" s="52" customFormat="1" x14ac:dyDescent="0.25">
      <c r="A91" s="37"/>
      <c r="B91" s="37"/>
      <c r="C91" s="37"/>
      <c r="D91" s="1"/>
      <c r="E91" s="1"/>
      <c r="F91" s="5"/>
      <c r="G91" s="1"/>
      <c r="H91" s="1"/>
      <c r="I91" s="1"/>
      <c r="J91" s="5"/>
      <c r="K91" s="1"/>
      <c r="L91" s="1"/>
      <c r="M91" s="1"/>
      <c r="N91" s="5"/>
      <c r="O91" s="37"/>
      <c r="P91" s="1"/>
      <c r="Q91" s="1"/>
      <c r="R91" s="5"/>
      <c r="S91" s="1"/>
      <c r="T91" s="1"/>
      <c r="U91" s="1"/>
      <c r="V91" s="5"/>
      <c r="W91" s="1"/>
      <c r="X91" s="1"/>
      <c r="Y91" s="1"/>
      <c r="Z91" s="5"/>
    </row>
    <row r="92" spans="1:26" s="23" customFormat="1" collapsed="1" x14ac:dyDescent="0.25">
      <c r="A92" s="10"/>
      <c r="B92" s="25" t="s">
        <v>0</v>
      </c>
      <c r="C92" s="10"/>
      <c r="D92" s="4">
        <f>SUM(OSRRefD25x_0)</f>
        <v>-138.80000000000001</v>
      </c>
      <c r="E92" s="4"/>
      <c r="F92" s="12">
        <f t="shared" ref="F92:F95" si="57">IF(D$12=0,0,D92/D$12)</f>
        <v>-2.8230252775473163E-4</v>
      </c>
      <c r="G92" s="4"/>
      <c r="H92" s="4">
        <f>SUM(OSRRefH25x_0)</f>
        <v>-3027.34</v>
      </c>
      <c r="I92" s="4"/>
      <c r="J92" s="12">
        <f t="shared" ref="J92:J95" si="58">IF(H$12=0,0,H92/H$12)</f>
        <v>-6.0363885354598511E-3</v>
      </c>
      <c r="K92" s="4"/>
      <c r="L92" s="4">
        <f t="shared" ref="L92:L95" si="59">+D92-H92</f>
        <v>2888.54</v>
      </c>
      <c r="M92" s="4"/>
      <c r="N92" s="12">
        <f t="shared" ref="N92:N95" si="60">IF(H92=0,0,L92/H92)</f>
        <v>-0.95415116901306096</v>
      </c>
      <c r="O92" s="10"/>
      <c r="P92" s="4">
        <f>SUM(OSRRefP25x_0)</f>
        <v>-514.16</v>
      </c>
      <c r="Q92" s="4"/>
      <c r="R92" s="12">
        <f t="shared" ref="R92:R95" si="61">IF(P$12=0,0,P92/P$12)</f>
        <v>-7.3489413149387952E-4</v>
      </c>
      <c r="S92" s="4"/>
      <c r="T92" s="4">
        <f>SUM(OSRRefT25x_0)</f>
        <v>-3009.54</v>
      </c>
      <c r="U92" s="4"/>
      <c r="V92" s="12">
        <f t="shared" ref="V92:V95" si="62">IF(T$12=0,0,T92/T$12)</f>
        <v>-3.4518913503794966E-3</v>
      </c>
      <c r="W92" s="4"/>
      <c r="X92" s="4">
        <f t="shared" ref="X92:X95" si="63">+P92-T92</f>
        <v>2495.38</v>
      </c>
      <c r="Y92" s="4"/>
      <c r="Z92" s="12">
        <f t="shared" ref="Z92:Z95" si="64">IF(T92=0,0,X92/T92)</f>
        <v>-0.82915661529668994</v>
      </c>
    </row>
    <row r="93" spans="1:26" s="24" customFormat="1" hidden="1" outlineLevel="1" x14ac:dyDescent="0.25">
      <c r="A93" s="44"/>
      <c r="B93" s="11" t="str">
        <f>CONCATENATE("          ", "4187", " - ", "NON-TAXABLE SALES-COMPUTER REP")</f>
        <v xml:space="preserve">          4187 - NON-TAXABLE SALES-COMPUTER REP</v>
      </c>
      <c r="C93" s="11"/>
      <c r="D93" s="2">
        <f t="shared" ref="D93:D94" si="65">0</f>
        <v>0</v>
      </c>
      <c r="E93" s="2"/>
      <c r="F93" s="19">
        <f t="shared" si="57"/>
        <v>0</v>
      </c>
      <c r="G93" s="2"/>
      <c r="H93" s="2">
        <f>--1700.37</f>
        <v>1700.37</v>
      </c>
      <c r="I93" s="2"/>
      <c r="J93" s="19">
        <f t="shared" si="58"/>
        <v>3.3904662092926019E-3</v>
      </c>
      <c r="K93" s="2"/>
      <c r="L93" s="2">
        <f t="shared" si="59"/>
        <v>-1700.37</v>
      </c>
      <c r="M93" s="2"/>
      <c r="N93" s="19">
        <f t="shared" si="60"/>
        <v>-1</v>
      </c>
      <c r="O93" s="11"/>
      <c r="P93" s="2">
        <f>--19.99</f>
        <v>19.989999999999998</v>
      </c>
      <c r="Q93" s="2"/>
      <c r="R93" s="19">
        <f t="shared" si="61"/>
        <v>2.8571910861526861E-5</v>
      </c>
      <c r="S93" s="2"/>
      <c r="T93" s="2">
        <f>--2482.26</f>
        <v>2482.2600000000002</v>
      </c>
      <c r="U93" s="2"/>
      <c r="V93" s="19">
        <f t="shared" si="62"/>
        <v>2.8471101309146948E-3</v>
      </c>
      <c r="W93" s="2"/>
      <c r="X93" s="2">
        <f t="shared" si="63"/>
        <v>-2462.2700000000004</v>
      </c>
      <c r="Y93" s="2"/>
      <c r="Z93" s="19">
        <f t="shared" si="64"/>
        <v>-0.99194685488224454</v>
      </c>
    </row>
    <row r="94" spans="1:26" s="24" customFormat="1" hidden="1" outlineLevel="1" x14ac:dyDescent="0.25">
      <c r="A94" s="44"/>
      <c r="B94" s="11" t="str">
        <f>CONCATENATE("          ", "4387", " - ", "SALES RETURN NON TAXABLE-COMPU")</f>
        <v xml:space="preserve">          4387 - SALES RETURN NON TAXABLE-COMPU</v>
      </c>
      <c r="C94" s="11"/>
      <c r="D94" s="2">
        <f t="shared" si="65"/>
        <v>0</v>
      </c>
      <c r="E94" s="2"/>
      <c r="F94" s="19">
        <f t="shared" si="57"/>
        <v>0</v>
      </c>
      <c r="G94" s="2"/>
      <c r="H94" s="2">
        <f>-2820.7</f>
        <v>-2820.7</v>
      </c>
      <c r="I94" s="2"/>
      <c r="J94" s="19">
        <f t="shared" si="58"/>
        <v>-5.6243570731967993E-3</v>
      </c>
      <c r="K94" s="2"/>
      <c r="L94" s="2">
        <f t="shared" si="59"/>
        <v>2820.7</v>
      </c>
      <c r="M94" s="2"/>
      <c r="N94" s="19">
        <f t="shared" si="60"/>
        <v>-1</v>
      </c>
      <c r="O94" s="11"/>
      <c r="P94" s="2">
        <f>0</f>
        <v>0</v>
      </c>
      <c r="Q94" s="2"/>
      <c r="R94" s="19">
        <f t="shared" si="61"/>
        <v>0</v>
      </c>
      <c r="S94" s="2"/>
      <c r="T94" s="2">
        <f>-3451.5</f>
        <v>-3451.5</v>
      </c>
      <c r="U94" s="2"/>
      <c r="V94" s="19">
        <f t="shared" si="62"/>
        <v>-3.9588119765262579E-3</v>
      </c>
      <c r="W94" s="2"/>
      <c r="X94" s="2">
        <f t="shared" si="63"/>
        <v>3451.5</v>
      </c>
      <c r="Y94" s="2"/>
      <c r="Z94" s="19">
        <f t="shared" si="64"/>
        <v>-1</v>
      </c>
    </row>
    <row r="95" spans="1:26" s="24" customFormat="1" hidden="1" outlineLevel="1" x14ac:dyDescent="0.25">
      <c r="A95" s="44"/>
      <c r="B95" s="11" t="str">
        <f>CONCATENATE("          ", "9150", " - ", "MISC. INCOME")</f>
        <v xml:space="preserve">          9150 - MISC. INCOME</v>
      </c>
      <c r="C95" s="11"/>
      <c r="D95" s="2">
        <f>-138.8</f>
        <v>-138.80000000000001</v>
      </c>
      <c r="E95" s="2"/>
      <c r="F95" s="19">
        <f t="shared" si="57"/>
        <v>-2.8230252775473163E-4</v>
      </c>
      <c r="G95" s="2"/>
      <c r="H95" s="2">
        <f>-1907.01</f>
        <v>-1907.01</v>
      </c>
      <c r="I95" s="2"/>
      <c r="J95" s="19">
        <f t="shared" si="58"/>
        <v>-3.8024976715556528E-3</v>
      </c>
      <c r="K95" s="2"/>
      <c r="L95" s="2">
        <f t="shared" si="59"/>
        <v>1768.21</v>
      </c>
      <c r="M95" s="2"/>
      <c r="N95" s="19">
        <f t="shared" si="60"/>
        <v>-0.92721590342997684</v>
      </c>
      <c r="O95" s="11"/>
      <c r="P95" s="2">
        <f>-534.15</f>
        <v>-534.15</v>
      </c>
      <c r="Q95" s="2"/>
      <c r="R95" s="19">
        <f t="shared" si="61"/>
        <v>-7.6346604235540637E-4</v>
      </c>
      <c r="S95" s="2"/>
      <c r="T95" s="2">
        <f>-2040.3</f>
        <v>-2040.3</v>
      </c>
      <c r="U95" s="2"/>
      <c r="V95" s="19">
        <f t="shared" si="62"/>
        <v>-2.3401895047679335E-3</v>
      </c>
      <c r="W95" s="2"/>
      <c r="X95" s="2">
        <f t="shared" si="63"/>
        <v>1506.15</v>
      </c>
      <c r="Y95" s="2"/>
      <c r="Z95" s="19">
        <f t="shared" si="64"/>
        <v>-0.73820026466696076</v>
      </c>
    </row>
    <row r="96" spans="1:26" x14ac:dyDescent="0.25">
      <c r="A96" s="9"/>
      <c r="B96" s="10"/>
      <c r="C96" s="10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O96" s="10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25">
      <c r="A97" s="10"/>
      <c r="B97" s="26" t="s">
        <v>3</v>
      </c>
      <c r="C97" s="26"/>
      <c r="D97" s="22">
        <f>+D51-D53+D92</f>
        <v>-2067.4899999999461</v>
      </c>
      <c r="E97" s="13"/>
      <c r="F97" s="21">
        <f>IF(D$12=0,0,D97/D$12)</f>
        <v>-4.2050263192191274E-3</v>
      </c>
      <c r="G97" s="13"/>
      <c r="H97" s="22">
        <f>+H51-H53+H92</f>
        <v>-21452.760000000078</v>
      </c>
      <c r="I97" s="13"/>
      <c r="J97" s="21">
        <f>IF(H$12=0,0,H97/H$12)</f>
        <v>-4.2775900466406856E-2</v>
      </c>
      <c r="K97" s="16"/>
      <c r="L97" s="22">
        <f>+D97-H97</f>
        <v>19385.270000000131</v>
      </c>
      <c r="M97" s="16"/>
      <c r="N97" s="21">
        <f>IF(H97=0,0,L97/H97)</f>
        <v>-0.90362592039439493</v>
      </c>
      <c r="O97" s="25"/>
      <c r="P97" s="22">
        <f>+P51-P53+P92</f>
        <v>9788.5600000001759</v>
      </c>
      <c r="Q97" s="13"/>
      <c r="R97" s="21">
        <f>IF(P$12=0,0,P97/P$12)</f>
        <v>1.3990888633452346E-2</v>
      </c>
      <c r="S97" s="13"/>
      <c r="T97" s="22">
        <f>+T51-T53+T92</f>
        <v>-18446.709999999985</v>
      </c>
      <c r="U97" s="13"/>
      <c r="V97" s="21">
        <f>IF(T$12=0,0,T97/T$12)</f>
        <v>-2.1158063588441727E-2</v>
      </c>
      <c r="W97" s="16"/>
      <c r="X97" s="22">
        <f>+P97-T97</f>
        <v>28235.270000000161</v>
      </c>
      <c r="Y97" s="16"/>
      <c r="Z97" s="21">
        <f>IF(T97=0,0,X97/T97)</f>
        <v>-1.5306398810411279</v>
      </c>
    </row>
    <row r="98" spans="1:26" x14ac:dyDescent="0.25">
      <c r="A98" s="9"/>
      <c r="B98" s="10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x14ac:dyDescent="0.25">
      <c r="A99" s="51"/>
      <c r="B99" s="10" t="s">
        <v>13</v>
      </c>
      <c r="C99" s="10"/>
      <c r="D99" s="4">
        <v>17925.129999999997</v>
      </c>
      <c r="E99" s="4"/>
      <c r="F99" s="12">
        <f>IF(D$12=0,0,D99/D$12)</f>
        <v>3.6457561306427751E-2</v>
      </c>
      <c r="G99" s="4"/>
      <c r="H99" s="4">
        <v>31700.05</v>
      </c>
      <c r="I99" s="4"/>
      <c r="J99" s="12">
        <f>IF(H$12=0,0,H99/H$12)</f>
        <v>6.320856540510944E-2</v>
      </c>
      <c r="K99" s="4"/>
      <c r="L99" s="4">
        <f>+D99-H99</f>
        <v>-13774.920000000002</v>
      </c>
      <c r="M99" s="4"/>
      <c r="N99" s="12">
        <f>IF(H99=0,0,L99/H99)</f>
        <v>-0.43453937769814249</v>
      </c>
      <c r="O99" s="10"/>
      <c r="P99" s="4">
        <v>118124.60999999999</v>
      </c>
      <c r="Q99" s="4"/>
      <c r="R99" s="12">
        <f>IF(P$12=0,0,P99/P$12)</f>
        <v>0.16883670972849546</v>
      </c>
      <c r="S99" s="4"/>
      <c r="T99" s="4">
        <v>108704.09999999999</v>
      </c>
      <c r="U99" s="4"/>
      <c r="V99" s="12">
        <f>IF(T$12=0,0,T99/T$12)</f>
        <v>0.12468175951832766</v>
      </c>
      <c r="W99" s="4"/>
      <c r="X99" s="4">
        <f>+P99-T99</f>
        <v>9420.5099999999948</v>
      </c>
      <c r="Y99" s="4"/>
      <c r="Z99" s="12">
        <f>IF(T99=0,0,X99/T99)</f>
        <v>8.6661956632730464E-2</v>
      </c>
    </row>
    <row r="100" spans="1:26" x14ac:dyDescent="0.25">
      <c r="A100" s="9"/>
      <c r="B100" s="10"/>
      <c r="C100" s="10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O100" s="10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s="23" customFormat="1" ht="15.75" thickBot="1" x14ac:dyDescent="0.3">
      <c r="A101" s="10"/>
      <c r="B101" s="26" t="s">
        <v>4</v>
      </c>
      <c r="C101" s="26"/>
      <c r="D101" s="36">
        <f>+D97-D99</f>
        <v>-19992.619999999944</v>
      </c>
      <c r="E101" s="13"/>
      <c r="F101" s="34">
        <f>IF(D$12=0,0,D101/D$12)</f>
        <v>-4.0662587625646882E-2</v>
      </c>
      <c r="G101" s="13"/>
      <c r="H101" s="36">
        <f>+H97-H99</f>
        <v>-53152.810000000078</v>
      </c>
      <c r="I101" s="13"/>
      <c r="J101" s="34">
        <f>IF(H$12=0,0,H101/H$12)</f>
        <v>-0.1059844658715163</v>
      </c>
      <c r="K101" s="16"/>
      <c r="L101" s="36">
        <f>D101-H101</f>
        <v>33160.190000000133</v>
      </c>
      <c r="M101" s="16"/>
      <c r="N101" s="34">
        <f>IF(H101=0,0,L101/H101)</f>
        <v>-0.62386522932654143</v>
      </c>
      <c r="O101" s="25"/>
      <c r="P101" s="36">
        <f>+P97-P99</f>
        <v>-108336.04999999981</v>
      </c>
      <c r="Q101" s="13"/>
      <c r="R101" s="34">
        <f>IF(P$12=0,0,P101/P$12)</f>
        <v>-0.15484582109504311</v>
      </c>
      <c r="S101" s="13"/>
      <c r="T101" s="36">
        <f>+T97-T99</f>
        <v>-127150.80999999997</v>
      </c>
      <c r="U101" s="13"/>
      <c r="V101" s="34">
        <f>IF(T$12=0,0,T101/T$12)</f>
        <v>-0.14583982310676938</v>
      </c>
      <c r="W101" s="16"/>
      <c r="X101" s="36">
        <f>P101-T101</f>
        <v>18814.760000000155</v>
      </c>
      <c r="Y101" s="16"/>
      <c r="Z101" s="34">
        <f>IF(T101=0,0,X101/T101)</f>
        <v>-0.14797200269506863</v>
      </c>
    </row>
    <row r="102" spans="1:26" ht="15.75" thickTop="1" x14ac:dyDescent="0.25">
      <c r="A102" s="9"/>
      <c r="B102" s="9"/>
      <c r="C102" s="9"/>
      <c r="D102" s="3"/>
      <c r="E102" s="3"/>
      <c r="F102" s="8"/>
      <c r="G102" s="3"/>
      <c r="H102" s="3"/>
      <c r="I102" s="3"/>
      <c r="J102" s="8"/>
      <c r="K102" s="3"/>
      <c r="L102" s="3"/>
      <c r="M102" s="3"/>
      <c r="N102" s="8"/>
      <c r="P102" s="3"/>
      <c r="Q102" s="3"/>
      <c r="R102" s="8"/>
      <c r="S102" s="3"/>
      <c r="T102" s="3"/>
      <c r="U102" s="3"/>
      <c r="V102" s="8"/>
      <c r="W102" s="3"/>
      <c r="X102" s="3"/>
      <c r="Y102" s="3"/>
      <c r="Z102" s="8"/>
    </row>
    <row r="103" spans="1:26" x14ac:dyDescent="0.25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ht="15.75" thickBot="1" x14ac:dyDescent="0.3">
      <c r="A104" s="10"/>
      <c r="B104" s="26" t="s">
        <v>5</v>
      </c>
      <c r="C104" s="26"/>
      <c r="D104" s="30">
        <f>SUM(D101:D103)</f>
        <v>-19992.619999999944</v>
      </c>
      <c r="E104" s="13"/>
      <c r="F104" s="31">
        <f>IF(D$12=0,0,D104/D$12)</f>
        <v>-4.0662587625646882E-2</v>
      </c>
      <c r="G104" s="13"/>
      <c r="H104" s="30">
        <f>SUM(H101:H103)</f>
        <v>-53152.810000000078</v>
      </c>
      <c r="I104" s="13"/>
      <c r="J104" s="31">
        <f>IF(H$12=0,0,H104/H$12)</f>
        <v>-0.1059844658715163</v>
      </c>
      <c r="K104" s="16"/>
      <c r="L104" s="30">
        <f>+D104-H104</f>
        <v>33160.190000000133</v>
      </c>
      <c r="M104" s="16"/>
      <c r="N104" s="31">
        <f>IF(H104=0,0,L104/H104)</f>
        <v>-0.62386522932654143</v>
      </c>
      <c r="O104" s="25"/>
      <c r="P104" s="30">
        <f>SUM(P101:P103)</f>
        <v>-108336.04999999981</v>
      </c>
      <c r="Q104" s="13"/>
      <c r="R104" s="31">
        <f>IF(P$12=0,0,P104/P$12)</f>
        <v>-0.15484582109504311</v>
      </c>
      <c r="S104" s="13"/>
      <c r="T104" s="30">
        <f>SUM(T101:T103)</f>
        <v>-127150.80999999997</v>
      </c>
      <c r="U104" s="13"/>
      <c r="V104" s="31">
        <f>IF(T$12=0,0,T104/T$12)</f>
        <v>-0.14583982310676938</v>
      </c>
      <c r="W104" s="16"/>
      <c r="X104" s="30">
        <f>+P104-T104</f>
        <v>18814.760000000155</v>
      </c>
      <c r="Y104" s="16"/>
      <c r="Z104" s="31">
        <f>IF(T104=0,0,X104/T104)</f>
        <v>-0.14797200269506863</v>
      </c>
    </row>
    <row r="105" spans="1:26" ht="15.75" thickTop="1" x14ac:dyDescent="0.25">
      <c r="A105" s="9"/>
      <c r="C105" s="9"/>
      <c r="D105" s="18"/>
      <c r="E105" s="18"/>
      <c r="G105" s="18"/>
      <c r="H105" s="18"/>
      <c r="I105" s="18"/>
      <c r="J105" s="43"/>
      <c r="K105" s="18"/>
      <c r="L105" s="18"/>
      <c r="M105" s="18"/>
      <c r="P105" s="18"/>
      <c r="Q105" s="18"/>
      <c r="R105" s="43"/>
      <c r="S105" s="18"/>
      <c r="T105" s="18"/>
      <c r="U105" s="18"/>
      <c r="V105" s="43"/>
      <c r="W105" s="18"/>
      <c r="X105" s="18"/>
    </row>
    <row r="106" spans="1:26" x14ac:dyDescent="0.25">
      <c r="A106" s="9"/>
      <c r="B106" s="61">
        <v>44113.696324456017</v>
      </c>
      <c r="D106" s="18"/>
      <c r="E106" s="18"/>
      <c r="G106" s="18"/>
      <c r="H106" s="18"/>
      <c r="I106" s="18"/>
      <c r="J106" s="43"/>
      <c r="K106" s="18"/>
      <c r="L106" s="18"/>
      <c r="M106" s="18"/>
      <c r="P106" s="18"/>
      <c r="Q106" s="18"/>
      <c r="R106" s="43"/>
      <c r="S106" s="18"/>
      <c r="T106" s="18"/>
      <c r="U106" s="18"/>
      <c r="V106" s="43"/>
      <c r="W106" s="18"/>
      <c r="X106" s="18"/>
    </row>
    <row r="107" spans="1:26" x14ac:dyDescent="0.25">
      <c r="A107" s="9"/>
      <c r="B107" s="56" t="s">
        <v>313</v>
      </c>
      <c r="D107" s="18"/>
      <c r="E107" s="18"/>
      <c r="G107" s="18"/>
      <c r="H107" s="18"/>
      <c r="I107" s="18"/>
      <c r="J107" s="43"/>
      <c r="K107" s="18"/>
      <c r="L107" s="18"/>
      <c r="M107" s="18"/>
      <c r="P107" s="18"/>
      <c r="Q107" s="18"/>
      <c r="R107" s="43"/>
      <c r="S107" s="18"/>
      <c r="T107" s="18"/>
      <c r="U107" s="18"/>
      <c r="V107" s="43"/>
      <c r="W107" s="18"/>
      <c r="X107" s="18"/>
    </row>
    <row r="108" spans="1:26" x14ac:dyDescent="0.25">
      <c r="A108" s="9"/>
      <c r="B108" s="58"/>
      <c r="D108" s="18"/>
      <c r="E108" s="18"/>
      <c r="G108" s="18"/>
      <c r="H108" s="18"/>
      <c r="I108" s="18"/>
      <c r="J108" s="43"/>
      <c r="K108" s="18"/>
      <c r="L108" s="18"/>
      <c r="M108" s="18"/>
      <c r="P108" s="18"/>
      <c r="Q108" s="18"/>
      <c r="R108" s="43"/>
      <c r="S108" s="18"/>
      <c r="T108" s="18"/>
      <c r="U108" s="18"/>
      <c r="V108" s="43"/>
      <c r="W108" s="18"/>
      <c r="X108" s="18"/>
    </row>
    <row r="109" spans="1:26" x14ac:dyDescent="0.25">
      <c r="D109" s="18"/>
      <c r="E109" s="18"/>
      <c r="G109" s="18"/>
      <c r="H109" s="18"/>
      <c r="I109" s="18"/>
      <c r="J109" s="43"/>
      <c r="K109" s="18"/>
      <c r="L109" s="18"/>
      <c r="M109" s="18"/>
      <c r="P109" s="18"/>
      <c r="Q109" s="18"/>
      <c r="R109" s="43"/>
      <c r="S109" s="18"/>
      <c r="T109" s="18"/>
      <c r="U109" s="18"/>
      <c r="V109" s="43"/>
      <c r="W109" s="18"/>
      <c r="X109" s="18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305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824</v>
      </c>
      <c r="E12" s="4"/>
      <c r="F12" s="12"/>
      <c r="G12" s="4"/>
      <c r="H12" s="4">
        <f>SUM(OSRRefH13x_0)</f>
        <v>128718.36000000002</v>
      </c>
      <c r="I12" s="4"/>
      <c r="J12" s="12"/>
      <c r="K12" s="4"/>
      <c r="L12" s="4">
        <f t="shared" ref="L12:L20" si="0">+D12-H12</f>
        <v>-127894.36000000002</v>
      </c>
      <c r="M12" s="4"/>
      <c r="N12" s="12">
        <f t="shared" ref="N12:N20" si="1">IF(H12=0,0,L12/H12)</f>
        <v>-0.99359842682893096</v>
      </c>
      <c r="O12" s="10"/>
      <c r="P12" s="4">
        <f>SUM(OSRRefP13x_0)</f>
        <v>824</v>
      </c>
      <c r="Q12" s="4"/>
      <c r="R12" s="12"/>
      <c r="S12" s="4"/>
      <c r="T12" s="4">
        <f>SUM(OSRRefT13x_0)</f>
        <v>187543.3</v>
      </c>
      <c r="U12" s="4"/>
      <c r="V12" s="12"/>
      <c r="W12" s="4"/>
      <c r="X12" s="4">
        <f t="shared" ref="X12:X20" si="2">+P12-T12</f>
        <v>-186719.3</v>
      </c>
      <c r="Y12" s="4"/>
      <c r="Z12" s="12">
        <f t="shared" ref="Z12:Z20" si="3">IF(T12=0,0,X12/T12)</f>
        <v>-0.99560634797404124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--88.2</f>
        <v>88.2</v>
      </c>
      <c r="E13" s="2"/>
      <c r="F13" s="19"/>
      <c r="G13" s="2"/>
      <c r="H13" s="2">
        <f>--17869.12</f>
        <v>17869.12</v>
      </c>
      <c r="I13" s="2"/>
      <c r="J13" s="19"/>
      <c r="K13" s="2"/>
      <c r="L13" s="2">
        <f t="shared" si="0"/>
        <v>-17780.919999999998</v>
      </c>
      <c r="M13" s="2"/>
      <c r="N13" s="19">
        <f t="shared" si="1"/>
        <v>-0.99506411059973854</v>
      </c>
      <c r="O13" s="11"/>
      <c r="P13" s="2">
        <f>--88.2</f>
        <v>88.2</v>
      </c>
      <c r="Q13" s="2"/>
      <c r="R13" s="19"/>
      <c r="S13" s="2"/>
      <c r="T13" s="2">
        <f>--24749.38</f>
        <v>24749.38</v>
      </c>
      <c r="U13" s="2"/>
      <c r="V13" s="19"/>
      <c r="W13" s="2"/>
      <c r="X13" s="2">
        <f t="shared" si="2"/>
        <v>-24661.18</v>
      </c>
      <c r="Y13" s="2"/>
      <c r="Z13" s="19">
        <f t="shared" si="3"/>
        <v>-0.99643627436323656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ref="D14:D15" si="4">0</f>
        <v>0</v>
      </c>
      <c r="E14" s="2"/>
      <c r="F14" s="19"/>
      <c r="G14" s="2"/>
      <c r="H14" s="2">
        <f>--357.65</f>
        <v>357.65</v>
      </c>
      <c r="I14" s="2"/>
      <c r="J14" s="19"/>
      <c r="K14" s="2"/>
      <c r="L14" s="2">
        <f t="shared" si="0"/>
        <v>-357.65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--646.4</f>
        <v>646.4</v>
      </c>
      <c r="U14" s="2"/>
      <c r="V14" s="19"/>
      <c r="W14" s="2"/>
      <c r="X14" s="2">
        <f t="shared" si="2"/>
        <v>-646.4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 t="shared" si="4"/>
        <v>0</v>
      </c>
      <c r="E15" s="2"/>
      <c r="F15" s="19"/>
      <c r="G15" s="2"/>
      <c r="H15" s="2">
        <f>--7439.21</f>
        <v>7439.21</v>
      </c>
      <c r="I15" s="2"/>
      <c r="J15" s="19"/>
      <c r="K15" s="2"/>
      <c r="L15" s="2">
        <f t="shared" si="0"/>
        <v>-7439.21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--11166.88</f>
        <v>11166.88</v>
      </c>
      <c r="U15" s="2"/>
      <c r="V15" s="19"/>
      <c r="W15" s="2"/>
      <c r="X15" s="2">
        <f t="shared" si="2"/>
        <v>-11166.88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"4132", " - ", "NON-TAXABLE SALES-JUICE")</f>
        <v xml:space="preserve">          4132 - NON-TAXABLE SALES-JUICE</v>
      </c>
      <c r="C16" s="11"/>
      <c r="D16" s="2">
        <f>--625.8</f>
        <v>625.79999999999995</v>
      </c>
      <c r="E16" s="2"/>
      <c r="F16" s="19"/>
      <c r="G16" s="2"/>
      <c r="H16" s="2">
        <f>--61911.21</f>
        <v>61911.21</v>
      </c>
      <c r="I16" s="2"/>
      <c r="J16" s="19"/>
      <c r="K16" s="2"/>
      <c r="L16" s="2">
        <f t="shared" si="0"/>
        <v>-61285.409999999996</v>
      </c>
      <c r="M16" s="2"/>
      <c r="N16" s="19">
        <f t="shared" si="1"/>
        <v>-0.98989197594425948</v>
      </c>
      <c r="O16" s="11"/>
      <c r="P16" s="2">
        <f>--625.8</f>
        <v>625.79999999999995</v>
      </c>
      <c r="Q16" s="2"/>
      <c r="R16" s="19"/>
      <c r="S16" s="2"/>
      <c r="T16" s="2">
        <f>--93998.84</f>
        <v>93998.84</v>
      </c>
      <c r="U16" s="2"/>
      <c r="V16" s="19"/>
      <c r="W16" s="2"/>
      <c r="X16" s="2">
        <f t="shared" si="2"/>
        <v>-93373.04</v>
      </c>
      <c r="Y16" s="2"/>
      <c r="Z16" s="19">
        <f t="shared" si="3"/>
        <v>-0.99334247103474893</v>
      </c>
    </row>
    <row r="17" spans="1:26" s="24" customFormat="1" hidden="1" outlineLevel="1" x14ac:dyDescent="0.25">
      <c r="A17" s="44"/>
      <c r="B17" s="11" t="str">
        <f>CONCATENATE("          ", "4134", " - ", "NON-TAXABLE SALES-SODA")</f>
        <v xml:space="preserve">          4134 - NON-TAXABLE SALES-SODA</v>
      </c>
      <c r="C17" s="11"/>
      <c r="D17" s="2">
        <f t="shared" ref="D17:D19" si="6">0</f>
        <v>0</v>
      </c>
      <c r="E17" s="2"/>
      <c r="F17" s="19"/>
      <c r="G17" s="2"/>
      <c r="H17" s="2">
        <f>0</f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ref="P17:P19" si="7">0</f>
        <v>0</v>
      </c>
      <c r="Q17" s="2"/>
      <c r="R17" s="19"/>
      <c r="S17" s="2"/>
      <c r="T17" s="2">
        <f>-3.39</f>
        <v>-3.39</v>
      </c>
      <c r="U17" s="2"/>
      <c r="V17" s="19"/>
      <c r="W17" s="2"/>
      <c r="X17" s="2">
        <f t="shared" si="2"/>
        <v>3.39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"4137", " - ", "NON-TAXABLE SALES-WATER")</f>
        <v xml:space="preserve">          4137 - NON-TAXABLE SALES-WATER</v>
      </c>
      <c r="C18" s="11"/>
      <c r="D18" s="2">
        <f t="shared" si="6"/>
        <v>0</v>
      </c>
      <c r="E18" s="2"/>
      <c r="F18" s="19"/>
      <c r="G18" s="2"/>
      <c r="H18" s="2">
        <f>--173.02</f>
        <v>173.02</v>
      </c>
      <c r="I18" s="2"/>
      <c r="J18" s="19"/>
      <c r="K18" s="2"/>
      <c r="L18" s="2">
        <f t="shared" si="0"/>
        <v>-173.02</v>
      </c>
      <c r="M18" s="2"/>
      <c r="N18" s="19">
        <f t="shared" si="1"/>
        <v>-1</v>
      </c>
      <c r="O18" s="11"/>
      <c r="P18" s="2">
        <f t="shared" si="7"/>
        <v>0</v>
      </c>
      <c r="Q18" s="2"/>
      <c r="R18" s="19"/>
      <c r="S18" s="2"/>
      <c r="T18" s="2">
        <f>--383.52</f>
        <v>383.52</v>
      </c>
      <c r="U18" s="2"/>
      <c r="V18" s="19"/>
      <c r="W18" s="2"/>
      <c r="X18" s="2">
        <f t="shared" si="2"/>
        <v>-383.52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"4151", " - ", "NON-TAXABLE SALES-FOOD")</f>
        <v xml:space="preserve">          4151 - NON-TAXABLE SALES-FOOD</v>
      </c>
      <c r="C19" s="11"/>
      <c r="D19" s="2">
        <f t="shared" si="6"/>
        <v>0</v>
      </c>
      <c r="E19" s="2"/>
      <c r="F19" s="19"/>
      <c r="G19" s="2"/>
      <c r="H19" s="2">
        <f>--40740.65</f>
        <v>40740.65</v>
      </c>
      <c r="I19" s="2"/>
      <c r="J19" s="19"/>
      <c r="K19" s="2"/>
      <c r="L19" s="2">
        <f t="shared" si="0"/>
        <v>-40740.65</v>
      </c>
      <c r="M19" s="2"/>
      <c r="N19" s="19">
        <f t="shared" si="1"/>
        <v>-1</v>
      </c>
      <c r="O19" s="11"/>
      <c r="P19" s="2">
        <f t="shared" si="7"/>
        <v>0</v>
      </c>
      <c r="Q19" s="2"/>
      <c r="R19" s="19"/>
      <c r="S19" s="2"/>
      <c r="T19" s="2">
        <f>--56137.17</f>
        <v>56137.17</v>
      </c>
      <c r="U19" s="2"/>
      <c r="V19" s="19"/>
      <c r="W19" s="2"/>
      <c r="X19" s="2">
        <f t="shared" si="2"/>
        <v>-56137.17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--110</f>
        <v>110</v>
      </c>
      <c r="E20" s="2"/>
      <c r="F20" s="19"/>
      <c r="G20" s="2"/>
      <c r="H20" s="2">
        <f>--227.5</f>
        <v>227.5</v>
      </c>
      <c r="I20" s="2"/>
      <c r="J20" s="19"/>
      <c r="K20" s="2"/>
      <c r="L20" s="2">
        <f t="shared" si="0"/>
        <v>-117.5</v>
      </c>
      <c r="M20" s="2"/>
      <c r="N20" s="19">
        <f t="shared" si="1"/>
        <v>-0.51648351648351654</v>
      </c>
      <c r="O20" s="11"/>
      <c r="P20" s="2">
        <f>--110</f>
        <v>110</v>
      </c>
      <c r="Q20" s="2"/>
      <c r="R20" s="19"/>
      <c r="S20" s="2"/>
      <c r="T20" s="2">
        <f>--464.5</f>
        <v>464.5</v>
      </c>
      <c r="U20" s="2"/>
      <c r="V20" s="19"/>
      <c r="W20" s="2"/>
      <c r="X20" s="2">
        <f t="shared" si="2"/>
        <v>-354.5</v>
      </c>
      <c r="Y20" s="2"/>
      <c r="Z20" s="19">
        <f t="shared" si="3"/>
        <v>-0.76318622174381057</v>
      </c>
    </row>
    <row r="21" spans="1:26" x14ac:dyDescent="0.25">
      <c r="A21" s="9"/>
      <c r="B21" s="10"/>
      <c r="C21" s="9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collapsed="1" x14ac:dyDescent="0.25">
      <c r="A22" s="10"/>
      <c r="B22" s="25" t="s">
        <v>8</v>
      </c>
      <c r="C22" s="10"/>
      <c r="D22" s="4">
        <f>SUM(OSRRefD16x_0)</f>
        <v>-2042.7699999999998</v>
      </c>
      <c r="E22" s="4"/>
      <c r="F22" s="12">
        <f t="shared" ref="F22:F24" si="8">IF(D$12=0,0,D22/D$12)</f>
        <v>-2.4790898058252426</v>
      </c>
      <c r="G22" s="4"/>
      <c r="H22" s="4">
        <f>SUM(OSRRefH16x_0)</f>
        <v>66198.5</v>
      </c>
      <c r="I22" s="4"/>
      <c r="J22" s="12">
        <f t="shared" ref="J22:J24" si="9">IF(H$12=0,0,H22/H$12)</f>
        <v>0.51428949219054676</v>
      </c>
      <c r="K22" s="4"/>
      <c r="L22" s="4">
        <f t="shared" ref="L22:L24" si="10">+D22-H22</f>
        <v>-68241.27</v>
      </c>
      <c r="M22" s="4"/>
      <c r="N22" s="12">
        <f t="shared" ref="N22:N24" si="11">IF(H22=0,0,L22/H22)</f>
        <v>-1.0308582520751981</v>
      </c>
      <c r="O22" s="10"/>
      <c r="P22" s="4">
        <f>SUM(OSRRefP16x_0)</f>
        <v>-2269.6400000000003</v>
      </c>
      <c r="Q22" s="4"/>
      <c r="R22" s="12">
        <f t="shared" ref="R22:R24" si="12">IF(P$12=0,0,P22/P$12)</f>
        <v>-2.7544174757281557</v>
      </c>
      <c r="S22" s="4"/>
      <c r="T22" s="4">
        <f>SUM(OSRRefT16x_0)</f>
        <v>91464.82</v>
      </c>
      <c r="U22" s="4"/>
      <c r="V22" s="12">
        <f t="shared" ref="V22:V24" si="13">IF(T$12=0,0,T22/T$12)</f>
        <v>0.4876997472050455</v>
      </c>
      <c r="W22" s="4"/>
      <c r="X22" s="4">
        <f t="shared" ref="X22:X24" si="14">+P22-T22</f>
        <v>-93734.46</v>
      </c>
      <c r="Y22" s="4"/>
      <c r="Z22" s="12">
        <f t="shared" ref="Z22:Z24" si="15">IF(T22=0,0,X22/T22)</f>
        <v>-1.024814349385917</v>
      </c>
    </row>
    <row r="23" spans="1:26" s="24" customFormat="1" hidden="1" outlineLevel="1" x14ac:dyDescent="0.25">
      <c r="A23" s="44"/>
      <c r="B23" s="11" t="str">
        <f>CONCATENATE("          ", "5053", " - ", "PURCHASES @ COST-FOOD")</f>
        <v xml:space="preserve">          5053 - PURCHASES @ COST-FOOD</v>
      </c>
      <c r="C23" s="11"/>
      <c r="D23" s="2">
        <v>-2111.6799999999998</v>
      </c>
      <c r="E23" s="2"/>
      <c r="F23" s="19">
        <f t="shared" si="8"/>
        <v>-2.5627184466019415</v>
      </c>
      <c r="G23" s="2"/>
      <c r="H23" s="2">
        <v>95948.59</v>
      </c>
      <c r="I23" s="2"/>
      <c r="J23" s="19">
        <f t="shared" si="9"/>
        <v>0.74541495090521648</v>
      </c>
      <c r="K23" s="2"/>
      <c r="L23" s="2">
        <f t="shared" si="10"/>
        <v>-98060.26999999999</v>
      </c>
      <c r="M23" s="2"/>
      <c r="N23" s="19">
        <f t="shared" si="11"/>
        <v>-1.0220084526515709</v>
      </c>
      <c r="O23" s="11"/>
      <c r="P23" s="2">
        <v>-2338.5500000000002</v>
      </c>
      <c r="Q23" s="2"/>
      <c r="R23" s="19">
        <f t="shared" si="12"/>
        <v>-2.8380461165048545</v>
      </c>
      <c r="S23" s="2"/>
      <c r="T23" s="2">
        <v>137505.66</v>
      </c>
      <c r="U23" s="2"/>
      <c r="V23" s="19">
        <f t="shared" si="13"/>
        <v>0.73319420101917798</v>
      </c>
      <c r="W23" s="2"/>
      <c r="X23" s="2">
        <f t="shared" si="14"/>
        <v>-139844.21</v>
      </c>
      <c r="Y23" s="2"/>
      <c r="Z23" s="19">
        <f t="shared" si="15"/>
        <v>-1.017006936296295</v>
      </c>
    </row>
    <row r="24" spans="1:26" s="24" customFormat="1" hidden="1" outlineLevel="1" x14ac:dyDescent="0.25">
      <c r="A24" s="44"/>
      <c r="B24" s="11" t="str">
        <f>CONCATENATE("          ", "5059", " - ", "PURCHASES @ COST-FOOD")</f>
        <v xml:space="preserve">          5059 - PURCHASES @ COST-FOOD</v>
      </c>
      <c r="C24" s="11"/>
      <c r="D24" s="2">
        <v>68.91</v>
      </c>
      <c r="E24" s="2"/>
      <c r="F24" s="19">
        <f t="shared" si="8"/>
        <v>8.3628640776699029E-2</v>
      </c>
      <c r="G24" s="2"/>
      <c r="H24" s="2">
        <v>-29750.09</v>
      </c>
      <c r="I24" s="2"/>
      <c r="J24" s="19">
        <f t="shared" si="9"/>
        <v>-0.23112545871466975</v>
      </c>
      <c r="K24" s="2"/>
      <c r="L24" s="2">
        <f t="shared" si="10"/>
        <v>29819</v>
      </c>
      <c r="M24" s="2"/>
      <c r="N24" s="19">
        <f t="shared" si="11"/>
        <v>-1.0023162955137279</v>
      </c>
      <c r="O24" s="11"/>
      <c r="P24" s="2">
        <v>68.91</v>
      </c>
      <c r="Q24" s="2"/>
      <c r="R24" s="19">
        <f t="shared" si="12"/>
        <v>8.3628640776699029E-2</v>
      </c>
      <c r="S24" s="2"/>
      <c r="T24" s="2">
        <v>-46040.84</v>
      </c>
      <c r="U24" s="2"/>
      <c r="V24" s="19">
        <f t="shared" si="13"/>
        <v>-0.24549445381413251</v>
      </c>
      <c r="W24" s="2"/>
      <c r="X24" s="2">
        <f t="shared" si="14"/>
        <v>46109.75</v>
      </c>
      <c r="Y24" s="2"/>
      <c r="Z24" s="19">
        <f t="shared" si="15"/>
        <v>-1.0014967146559446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6</v>
      </c>
      <c r="C26" s="26"/>
      <c r="D26" s="22">
        <f>D12-D22</f>
        <v>2866.7699999999995</v>
      </c>
      <c r="E26" s="13"/>
      <c r="F26" s="21">
        <f>IF(D$12=0,0,D26/D$12)</f>
        <v>3.4790898058252422</v>
      </c>
      <c r="G26" s="13"/>
      <c r="H26" s="22">
        <f>H12-H22</f>
        <v>62519.860000000015</v>
      </c>
      <c r="I26" s="13"/>
      <c r="J26" s="21">
        <f>IF(H$12=0,0,H26/H$12)</f>
        <v>0.48571050780945318</v>
      </c>
      <c r="K26" s="16"/>
      <c r="L26" s="22">
        <f>+D26-H26</f>
        <v>-59653.090000000018</v>
      </c>
      <c r="M26" s="16"/>
      <c r="N26" s="21">
        <f>IF(H26=0,0,L26/H26)</f>
        <v>-0.95414625048744517</v>
      </c>
      <c r="O26" s="25"/>
      <c r="P26" s="22">
        <f>P12-P22</f>
        <v>3093.6400000000003</v>
      </c>
      <c r="Q26" s="13"/>
      <c r="R26" s="21">
        <f>IF(P$12=0,0,P26/P$12)</f>
        <v>3.7544174757281557</v>
      </c>
      <c r="S26" s="13"/>
      <c r="T26" s="22">
        <f>T12-T22</f>
        <v>96078.479999999981</v>
      </c>
      <c r="U26" s="13"/>
      <c r="V26" s="21">
        <f>IF(T$12=0,0,T26/T$12)</f>
        <v>0.5123002527949545</v>
      </c>
      <c r="W26" s="16"/>
      <c r="X26" s="22">
        <f>+P26-T26</f>
        <v>-92984.839999999982</v>
      </c>
      <c r="Y26" s="16"/>
      <c r="Z26" s="21">
        <f>IF(T26=0,0,X26/T26)</f>
        <v>-0.96780090609260261</v>
      </c>
    </row>
    <row r="27" spans="1:26" x14ac:dyDescent="0.25">
      <c r="A27" s="9"/>
      <c r="B27" s="10"/>
      <c r="C27" s="9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25">
      <c r="A28" s="10"/>
      <c r="B28" s="25" t="s">
        <v>9</v>
      </c>
      <c r="C28" s="10"/>
      <c r="D28" s="20">
        <f>SUM(OSRRefD22x_0)</f>
        <v>29978.66</v>
      </c>
      <c r="E28" s="20"/>
      <c r="F28" s="35">
        <f t="shared" ref="F28:F37" si="16">IF(D$12=0,0,D28/D$12)</f>
        <v>36.381868932038834</v>
      </c>
      <c r="G28" s="20"/>
      <c r="H28" s="20">
        <f>SUM(OSRRefH22x_0)</f>
        <v>87745.76999999999</v>
      </c>
      <c r="I28" s="20"/>
      <c r="J28" s="35">
        <f t="shared" ref="J28:J37" si="17">IF(H$12=0,0,H28/H$12)</f>
        <v>0.68168806687717265</v>
      </c>
      <c r="K28" s="4"/>
      <c r="L28" s="20">
        <f t="shared" ref="L28:L37" si="18">+D28-H28</f>
        <v>-57767.109999999986</v>
      </c>
      <c r="M28" s="4"/>
      <c r="N28" s="35">
        <f t="shared" ref="N28:N37" si="19">IF(H28=0,0,L28/H28)</f>
        <v>-0.65834637954627317</v>
      </c>
      <c r="O28" s="10"/>
      <c r="P28" s="20">
        <f>SUM(OSRRefP22x_0)</f>
        <v>65253.740000000005</v>
      </c>
      <c r="Q28" s="20"/>
      <c r="R28" s="35">
        <f t="shared" ref="R28:R37" si="20">IF(P$12=0,0,P28/P$12)</f>
        <v>79.191432038834961</v>
      </c>
      <c r="S28" s="20"/>
      <c r="T28" s="20">
        <f>SUM(OSRRefT22x_0)</f>
        <v>172469.44999999995</v>
      </c>
      <c r="U28" s="20"/>
      <c r="V28" s="35">
        <f t="shared" ref="V28:V37" si="21">IF(T$12=0,0,T28/T$12)</f>
        <v>0.91962469467051056</v>
      </c>
      <c r="W28" s="4"/>
      <c r="X28" s="20">
        <f t="shared" ref="X28:X37" si="22">+P28-T28</f>
        <v>-107215.70999999995</v>
      </c>
      <c r="Y28" s="4"/>
      <c r="Z28" s="35">
        <f t="shared" ref="Z28:Z37" si="23">IF(T28=0,0,X28/T28)</f>
        <v>-0.62165044302048844</v>
      </c>
    </row>
    <row r="29" spans="1:26" s="28" customFormat="1" outlineLevel="1" collapsed="1" x14ac:dyDescent="0.25">
      <c r="A29" s="27"/>
      <c r="B29" s="14" t="str">
        <f>CONCATENATE("     ","*Benefits                                         ")</f>
        <v xml:space="preserve">     *Benefits                                         </v>
      </c>
      <c r="C29" s="14"/>
      <c r="D29" s="1">
        <f>SUM(OSRRefD22_0x_0)</f>
        <v>5943.08</v>
      </c>
      <c r="E29" s="1"/>
      <c r="F29" s="5">
        <f t="shared" si="16"/>
        <v>7.21247572815534</v>
      </c>
      <c r="G29" s="1"/>
      <c r="H29" s="1">
        <f>SUM(OSRRefH22_0x_0)</f>
        <v>13737.33</v>
      </c>
      <c r="I29" s="1"/>
      <c r="J29" s="5">
        <f t="shared" si="17"/>
        <v>0.10672393588606939</v>
      </c>
      <c r="K29" s="1"/>
      <c r="L29" s="1">
        <f t="shared" si="18"/>
        <v>-7794.25</v>
      </c>
      <c r="M29" s="1"/>
      <c r="N29" s="5">
        <f t="shared" si="19"/>
        <v>-0.56737735789997035</v>
      </c>
      <c r="O29" s="14"/>
      <c r="P29" s="1">
        <f>SUM(OSRRefP22_0x_0)</f>
        <v>14938.28</v>
      </c>
      <c r="Q29" s="1"/>
      <c r="R29" s="5">
        <f t="shared" si="20"/>
        <v>18.128980582524271</v>
      </c>
      <c r="S29" s="1"/>
      <c r="T29" s="1">
        <f>SUM(OSRRefT22_0x_0)</f>
        <v>28188.079999999998</v>
      </c>
      <c r="U29" s="1"/>
      <c r="V29" s="5">
        <f t="shared" si="21"/>
        <v>0.1503017169901564</v>
      </c>
      <c r="W29" s="1"/>
      <c r="X29" s="1">
        <f t="shared" si="22"/>
        <v>-13249.799999999997</v>
      </c>
      <c r="Y29" s="1"/>
      <c r="Z29" s="5">
        <f t="shared" si="23"/>
        <v>-0.47004975152617695</v>
      </c>
    </row>
    <row r="30" spans="1:26" s="24" customFormat="1" hidden="1" outlineLevel="2" x14ac:dyDescent="0.25">
      <c r="A30" s="29"/>
      <c r="B30" s="11" t="str">
        <f>CONCATENATE("          ", "6111", " - ", "F.I.C.A.")</f>
        <v xml:space="preserve">          6111 - F.I.C.A.</v>
      </c>
      <c r="C30" s="11"/>
      <c r="D30" s="7">
        <v>675.92</v>
      </c>
      <c r="E30" s="2"/>
      <c r="F30" s="6">
        <f t="shared" si="16"/>
        <v>0.82029126213592229</v>
      </c>
      <c r="G30" s="2"/>
      <c r="H30" s="7">
        <v>2537.65</v>
      </c>
      <c r="I30" s="2"/>
      <c r="J30" s="6">
        <f t="shared" si="17"/>
        <v>1.9714747764033039E-2</v>
      </c>
      <c r="K30" s="2"/>
      <c r="L30" s="7">
        <f t="shared" si="18"/>
        <v>-1861.73</v>
      </c>
      <c r="M30" s="2"/>
      <c r="N30" s="6">
        <f t="shared" si="19"/>
        <v>-0.73364333142868399</v>
      </c>
      <c r="O30" s="11"/>
      <c r="P30" s="7">
        <v>1537.1</v>
      </c>
      <c r="Q30" s="2"/>
      <c r="R30" s="6">
        <f t="shared" si="20"/>
        <v>1.8654126213592233</v>
      </c>
      <c r="S30" s="2"/>
      <c r="T30" s="7">
        <v>4745.0600000000004</v>
      </c>
      <c r="U30" s="2"/>
      <c r="V30" s="6">
        <f t="shared" si="21"/>
        <v>2.5301143789194284E-2</v>
      </c>
      <c r="W30" s="2"/>
      <c r="X30" s="7">
        <f t="shared" si="22"/>
        <v>-3207.9600000000005</v>
      </c>
      <c r="Y30" s="2"/>
      <c r="Z30" s="6">
        <f t="shared" si="23"/>
        <v>-0.67606310562985505</v>
      </c>
    </row>
    <row r="31" spans="1:26" s="24" customFormat="1" hidden="1" outlineLevel="2" x14ac:dyDescent="0.25">
      <c r="A31" s="29"/>
      <c r="B31" s="11" t="str">
        <f>CONCATENATE("          ", "6112", " - ", "COMPENSATION INSURANCE")</f>
        <v xml:space="preserve">          6112 - COMPENSATION INSURANCE</v>
      </c>
      <c r="C31" s="11"/>
      <c r="D31" s="7">
        <v>163.46</v>
      </c>
      <c r="E31" s="2"/>
      <c r="F31" s="6">
        <f t="shared" si="16"/>
        <v>0.19837378640776701</v>
      </c>
      <c r="G31" s="2"/>
      <c r="H31" s="7">
        <v>791.53</v>
      </c>
      <c r="I31" s="2"/>
      <c r="J31" s="6">
        <f t="shared" si="17"/>
        <v>6.1493170049711629E-3</v>
      </c>
      <c r="K31" s="2"/>
      <c r="L31" s="7">
        <f t="shared" si="18"/>
        <v>-628.06999999999994</v>
      </c>
      <c r="M31" s="2"/>
      <c r="N31" s="6">
        <f t="shared" si="19"/>
        <v>-0.79348856013038038</v>
      </c>
      <c r="O31" s="11"/>
      <c r="P31" s="7">
        <v>333.24</v>
      </c>
      <c r="Q31" s="2"/>
      <c r="R31" s="6">
        <f t="shared" si="20"/>
        <v>0.40441747572815534</v>
      </c>
      <c r="S31" s="2"/>
      <c r="T31" s="7">
        <v>1489.12</v>
      </c>
      <c r="U31" s="2"/>
      <c r="V31" s="6">
        <f t="shared" si="21"/>
        <v>7.9401396904074956E-3</v>
      </c>
      <c r="W31" s="2"/>
      <c r="X31" s="7">
        <f t="shared" si="22"/>
        <v>-1155.8799999999999</v>
      </c>
      <c r="Y31" s="2"/>
      <c r="Z31" s="6">
        <f t="shared" si="23"/>
        <v>-0.77621682604491238</v>
      </c>
    </row>
    <row r="32" spans="1:26" s="24" customFormat="1" hidden="1" outlineLevel="2" x14ac:dyDescent="0.25">
      <c r="A32" s="29"/>
      <c r="B32" s="11" t="str">
        <f>CONCATENATE("          ", "6113", " - ", "GROUP INSURANCE")</f>
        <v xml:space="preserve">          6113 - GROUP INSURANCE</v>
      </c>
      <c r="C32" s="11"/>
      <c r="D32" s="7">
        <v>2704.94</v>
      </c>
      <c r="E32" s="2"/>
      <c r="F32" s="6">
        <f t="shared" si="16"/>
        <v>3.2826941747572818</v>
      </c>
      <c r="G32" s="2"/>
      <c r="H32" s="7">
        <v>6378.17</v>
      </c>
      <c r="I32" s="2"/>
      <c r="J32" s="6">
        <f t="shared" si="17"/>
        <v>4.9551361592860561E-2</v>
      </c>
      <c r="K32" s="2"/>
      <c r="L32" s="7">
        <f t="shared" si="18"/>
        <v>-3673.23</v>
      </c>
      <c r="M32" s="2"/>
      <c r="N32" s="6">
        <f t="shared" si="19"/>
        <v>-0.57590656881205737</v>
      </c>
      <c r="O32" s="11"/>
      <c r="P32" s="7">
        <v>7325.51</v>
      </c>
      <c r="Q32" s="2"/>
      <c r="R32" s="6">
        <f t="shared" si="20"/>
        <v>8.8901820388349524</v>
      </c>
      <c r="S32" s="2"/>
      <c r="T32" s="7">
        <v>13223.99</v>
      </c>
      <c r="U32" s="2"/>
      <c r="V32" s="6">
        <f t="shared" si="21"/>
        <v>7.0511663173251193E-2</v>
      </c>
      <c r="W32" s="2"/>
      <c r="X32" s="7">
        <f t="shared" si="22"/>
        <v>-5898.48</v>
      </c>
      <c r="Y32" s="2"/>
      <c r="Z32" s="6">
        <f t="shared" si="23"/>
        <v>-0.44604389446755477</v>
      </c>
    </row>
    <row r="33" spans="1:26" s="24" customFormat="1" hidden="1" outlineLevel="2" x14ac:dyDescent="0.25">
      <c r="A33" s="29"/>
      <c r="B33" s="11" t="str">
        <f>CONCATENATE("          ", "6114", " - ", "STATE UNEMPLOYMENT INSURANCE")</f>
        <v xml:space="preserve">          6114 - STATE UNEMPLOYMENT INSURANCE</v>
      </c>
      <c r="C33" s="11"/>
      <c r="D33" s="7">
        <v>22.98</v>
      </c>
      <c r="E33" s="2"/>
      <c r="F33" s="6">
        <f t="shared" si="16"/>
        <v>2.7888349514563107E-2</v>
      </c>
      <c r="G33" s="2"/>
      <c r="H33" s="7">
        <v>87.97</v>
      </c>
      <c r="I33" s="2"/>
      <c r="J33" s="6">
        <f t="shared" si="17"/>
        <v>6.8343008720745031E-4</v>
      </c>
      <c r="K33" s="2"/>
      <c r="L33" s="7">
        <f t="shared" si="18"/>
        <v>-64.989999999999995</v>
      </c>
      <c r="M33" s="2"/>
      <c r="N33" s="6">
        <f t="shared" si="19"/>
        <v>-0.73877458224394676</v>
      </c>
      <c r="O33" s="11"/>
      <c r="P33" s="7">
        <v>46.84</v>
      </c>
      <c r="Q33" s="2"/>
      <c r="R33" s="6">
        <f t="shared" si="20"/>
        <v>5.6844660194174765E-2</v>
      </c>
      <c r="S33" s="2"/>
      <c r="T33" s="7">
        <v>166.4</v>
      </c>
      <c r="U33" s="2"/>
      <c r="V33" s="6">
        <f t="shared" si="21"/>
        <v>8.8726176834896266E-4</v>
      </c>
      <c r="W33" s="2"/>
      <c r="X33" s="7">
        <f t="shared" si="22"/>
        <v>-119.56</v>
      </c>
      <c r="Y33" s="2"/>
      <c r="Z33" s="6">
        <f t="shared" si="23"/>
        <v>-0.71850961538461533</v>
      </c>
    </row>
    <row r="34" spans="1:26" s="24" customFormat="1" hidden="1" outlineLevel="2" x14ac:dyDescent="0.25">
      <c r="A34" s="29"/>
      <c r="B34" s="11" t="str">
        <f>CONCATENATE("          ", "6115", " - ", "P.E.R.S.")</f>
        <v xml:space="preserve">          6115 - P.E.R.S.</v>
      </c>
      <c r="C34" s="11"/>
      <c r="D34" s="7">
        <v>935.63</v>
      </c>
      <c r="E34" s="2"/>
      <c r="F34" s="6">
        <f t="shared" si="16"/>
        <v>1.1354733009708737</v>
      </c>
      <c r="G34" s="2"/>
      <c r="H34" s="7">
        <v>1497.9</v>
      </c>
      <c r="I34" s="2"/>
      <c r="J34" s="6">
        <f t="shared" si="17"/>
        <v>1.1637034530272138E-2</v>
      </c>
      <c r="K34" s="2"/>
      <c r="L34" s="7">
        <f t="shared" si="18"/>
        <v>-562.2700000000001</v>
      </c>
      <c r="M34" s="2"/>
      <c r="N34" s="6">
        <f t="shared" si="19"/>
        <v>-0.37537218772948799</v>
      </c>
      <c r="O34" s="11"/>
      <c r="P34" s="7">
        <v>2797.96</v>
      </c>
      <c r="Q34" s="2"/>
      <c r="R34" s="6">
        <f t="shared" si="20"/>
        <v>3.3955825242718447</v>
      </c>
      <c r="S34" s="2"/>
      <c r="T34" s="7">
        <v>2995.8</v>
      </c>
      <c r="U34" s="2"/>
      <c r="V34" s="6">
        <f t="shared" si="21"/>
        <v>1.597391109146528E-2</v>
      </c>
      <c r="W34" s="2"/>
      <c r="X34" s="7">
        <f t="shared" si="22"/>
        <v>-197.84000000000015</v>
      </c>
      <c r="Y34" s="2"/>
      <c r="Z34" s="6">
        <f t="shared" si="23"/>
        <v>-6.6039121436678061E-2</v>
      </c>
    </row>
    <row r="35" spans="1:26" s="24" customFormat="1" hidden="1" outlineLevel="2" x14ac:dyDescent="0.25">
      <c r="A35" s="29"/>
      <c r="B35" s="11" t="str">
        <f>CONCATENATE("          ", "6118", " - ", "VACATION")</f>
        <v xml:space="preserve">          6118 - VACATION</v>
      </c>
      <c r="C35" s="11"/>
      <c r="D35" s="7">
        <v>646.78</v>
      </c>
      <c r="E35" s="2"/>
      <c r="F35" s="6">
        <f t="shared" si="16"/>
        <v>0.78492718446601939</v>
      </c>
      <c r="G35" s="2"/>
      <c r="H35" s="7">
        <v>1056.98</v>
      </c>
      <c r="I35" s="2"/>
      <c r="J35" s="6">
        <f t="shared" si="17"/>
        <v>8.2115713717918707E-3</v>
      </c>
      <c r="K35" s="2"/>
      <c r="L35" s="7">
        <f t="shared" si="18"/>
        <v>-410.20000000000005</v>
      </c>
      <c r="M35" s="2"/>
      <c r="N35" s="6">
        <f t="shared" si="19"/>
        <v>-0.38808681337395223</v>
      </c>
      <c r="O35" s="11"/>
      <c r="P35" s="7">
        <v>1445.66</v>
      </c>
      <c r="Q35" s="2"/>
      <c r="R35" s="6">
        <f t="shared" si="20"/>
        <v>1.7544417475728156</v>
      </c>
      <c r="S35" s="2"/>
      <c r="T35" s="7">
        <v>2422.85</v>
      </c>
      <c r="U35" s="2"/>
      <c r="V35" s="6">
        <f t="shared" si="21"/>
        <v>1.2918883265891131E-2</v>
      </c>
      <c r="W35" s="2"/>
      <c r="X35" s="7">
        <f t="shared" si="22"/>
        <v>-977.18999999999983</v>
      </c>
      <c r="Y35" s="2"/>
      <c r="Z35" s="6">
        <f t="shared" si="23"/>
        <v>-0.40332253338011015</v>
      </c>
    </row>
    <row r="36" spans="1:26" s="24" customFormat="1" hidden="1" outlineLevel="2" x14ac:dyDescent="0.25">
      <c r="A36" s="29"/>
      <c r="B36" s="11" t="str">
        <f>CONCATENATE("          ", "6119", " - ", "SICK LEAVE")</f>
        <v xml:space="preserve">          6119 - SICK LEAVE</v>
      </c>
      <c r="C36" s="11"/>
      <c r="D36" s="7">
        <v>448.64</v>
      </c>
      <c r="E36" s="2"/>
      <c r="F36" s="6">
        <f t="shared" si="16"/>
        <v>0.54446601941747574</v>
      </c>
      <c r="G36" s="2"/>
      <c r="H36" s="7">
        <v>788.12</v>
      </c>
      <c r="I36" s="2"/>
      <c r="J36" s="6">
        <f t="shared" si="17"/>
        <v>6.1228250577462289E-3</v>
      </c>
      <c r="K36" s="2"/>
      <c r="L36" s="7">
        <f t="shared" si="18"/>
        <v>-339.48</v>
      </c>
      <c r="M36" s="2"/>
      <c r="N36" s="6">
        <f t="shared" si="19"/>
        <v>-0.43074658681419076</v>
      </c>
      <c r="O36" s="11"/>
      <c r="P36" s="7">
        <v>1101.26</v>
      </c>
      <c r="Q36" s="2"/>
      <c r="R36" s="6">
        <f t="shared" si="20"/>
        <v>1.3364805825242718</v>
      </c>
      <c r="S36" s="2"/>
      <c r="T36" s="7">
        <v>1980.66</v>
      </c>
      <c r="U36" s="2"/>
      <c r="V36" s="6">
        <f t="shared" si="21"/>
        <v>1.0561081094339281E-2</v>
      </c>
      <c r="W36" s="2"/>
      <c r="X36" s="7">
        <f t="shared" si="22"/>
        <v>-879.40000000000009</v>
      </c>
      <c r="Y36" s="2"/>
      <c r="Z36" s="6">
        <f t="shared" si="23"/>
        <v>-0.44399341633596884</v>
      </c>
    </row>
    <row r="37" spans="1:26" s="24" customFormat="1" hidden="1" outlineLevel="2" x14ac:dyDescent="0.25">
      <c r="A37" s="29"/>
      <c r="B37" s="11" t="str">
        <f>CONCATENATE("          ", "6156", " - ", "EMPLOYEE MEALS")</f>
        <v xml:space="preserve">          6156 - EMPLOYEE MEALS</v>
      </c>
      <c r="C37" s="11"/>
      <c r="D37" s="7">
        <v>344.73</v>
      </c>
      <c r="E37" s="2"/>
      <c r="F37" s="6">
        <f t="shared" si="16"/>
        <v>0.41836165048543694</v>
      </c>
      <c r="G37" s="2"/>
      <c r="H37" s="7">
        <v>599.01</v>
      </c>
      <c r="I37" s="2"/>
      <c r="J37" s="6">
        <f t="shared" si="17"/>
        <v>4.6536484771869365E-3</v>
      </c>
      <c r="K37" s="2"/>
      <c r="L37" s="7">
        <f t="shared" si="18"/>
        <v>-254.27999999999997</v>
      </c>
      <c r="M37" s="2"/>
      <c r="N37" s="6">
        <f t="shared" si="19"/>
        <v>-0.42450042570240892</v>
      </c>
      <c r="O37" s="11"/>
      <c r="P37" s="7">
        <v>350.71</v>
      </c>
      <c r="Q37" s="2"/>
      <c r="R37" s="6">
        <f t="shared" si="20"/>
        <v>0.42561893203883494</v>
      </c>
      <c r="S37" s="2"/>
      <c r="T37" s="7">
        <v>1164.2</v>
      </c>
      <c r="U37" s="2"/>
      <c r="V37" s="6">
        <f t="shared" si="21"/>
        <v>6.2076331172587883E-3</v>
      </c>
      <c r="W37" s="2"/>
      <c r="X37" s="7">
        <f t="shared" si="22"/>
        <v>-813.49</v>
      </c>
      <c r="Y37" s="2"/>
      <c r="Z37" s="6">
        <f t="shared" si="23"/>
        <v>-0.69875450953444418</v>
      </c>
    </row>
    <row r="38" spans="1:26" s="28" customFormat="1" outlineLevel="1" collapsed="1" x14ac:dyDescent="0.25">
      <c r="A38" s="27"/>
      <c r="B38" s="14" t="str">
        <f>CONCATENATE("     ","*Payroll                                          ")</f>
        <v xml:space="preserve">     *Payroll                                          </v>
      </c>
      <c r="C38" s="14"/>
      <c r="D38" s="1">
        <f>SUM(OSRRefD22_1x_0)</f>
        <v>10173.66</v>
      </c>
      <c r="E38" s="1"/>
      <c r="F38" s="5">
        <f t="shared" ref="F38:F44" si="24">IF(D$12=0,0,D38/D$12)</f>
        <v>12.346674757281553</v>
      </c>
      <c r="G38" s="1"/>
      <c r="H38" s="1">
        <f>SUM(OSRRefH22_1x_0)</f>
        <v>42174.81</v>
      </c>
      <c r="I38" s="1"/>
      <c r="J38" s="5">
        <f t="shared" ref="J38:J44" si="25">IF(H$12=0,0,H38/H$12)</f>
        <v>0.32765185945501474</v>
      </c>
      <c r="K38" s="1"/>
      <c r="L38" s="1">
        <f t="shared" ref="L38:L44" si="26">+D38-H38</f>
        <v>-32001.149999999998</v>
      </c>
      <c r="M38" s="1"/>
      <c r="N38" s="5">
        <f t="shared" ref="N38:N44" si="27">IF(H38=0,0,L38/H38)</f>
        <v>-0.75877401700209202</v>
      </c>
      <c r="O38" s="14"/>
      <c r="P38" s="1">
        <f>SUM(OSRRefP22_1x_0)</f>
        <v>21650.69</v>
      </c>
      <c r="Q38" s="1"/>
      <c r="R38" s="5">
        <f t="shared" ref="R38:R44" si="28">IF(P$12=0,0,P38/P$12)</f>
        <v>26.275109223300969</v>
      </c>
      <c r="S38" s="1"/>
      <c r="T38" s="1">
        <f>SUM(OSRRefT22_1x_0)</f>
        <v>79943.360000000001</v>
      </c>
      <c r="U38" s="1"/>
      <c r="V38" s="5">
        <f t="shared" ref="V38:V44" si="29">IF(T$12=0,0,T38/T$12)</f>
        <v>0.42626614760431325</v>
      </c>
      <c r="W38" s="1"/>
      <c r="X38" s="1">
        <f t="shared" ref="X38:X44" si="30">+P38-T38</f>
        <v>-58292.67</v>
      </c>
      <c r="Y38" s="1"/>
      <c r="Z38" s="5">
        <f t="shared" ref="Z38:Z44" si="31">IF(T38=0,0,X38/T38)</f>
        <v>-0.72917463063849197</v>
      </c>
    </row>
    <row r="39" spans="1:26" s="24" customFormat="1" hidden="1" outlineLevel="2" x14ac:dyDescent="0.25">
      <c r="A39" s="29"/>
      <c r="B39" s="11" t="str">
        <f>CONCATENATE("          ", "6002", " - ", "STAFF SALARIES")</f>
        <v xml:space="preserve">          6002 - STAFF SALARIES</v>
      </c>
      <c r="C39" s="11"/>
      <c r="D39" s="7">
        <v>9518.66</v>
      </c>
      <c r="E39" s="2"/>
      <c r="F39" s="6">
        <f t="shared" si="24"/>
        <v>11.551771844660195</v>
      </c>
      <c r="G39" s="2"/>
      <c r="H39" s="7">
        <v>15742.66</v>
      </c>
      <c r="I39" s="2"/>
      <c r="J39" s="6">
        <f t="shared" si="25"/>
        <v>0.12230314307920019</v>
      </c>
      <c r="K39" s="2"/>
      <c r="L39" s="7">
        <f t="shared" si="26"/>
        <v>-6224</v>
      </c>
      <c r="M39" s="2"/>
      <c r="N39" s="6">
        <f t="shared" si="27"/>
        <v>-0.39535885295115314</v>
      </c>
      <c r="O39" s="11"/>
      <c r="P39" s="7">
        <v>20995.69</v>
      </c>
      <c r="Q39" s="2"/>
      <c r="R39" s="6">
        <f t="shared" si="28"/>
        <v>25.480206310679609</v>
      </c>
      <c r="S39" s="2"/>
      <c r="T39" s="7">
        <v>35026.700000000004</v>
      </c>
      <c r="U39" s="2"/>
      <c r="V39" s="6">
        <f t="shared" si="29"/>
        <v>0.18676593618647003</v>
      </c>
      <c r="W39" s="2"/>
      <c r="X39" s="7">
        <f t="shared" si="30"/>
        <v>-14031.010000000006</v>
      </c>
      <c r="Y39" s="2"/>
      <c r="Z39" s="6">
        <f t="shared" si="31"/>
        <v>-0.40058041436960956</v>
      </c>
    </row>
    <row r="40" spans="1:26" s="24" customFormat="1" hidden="1" outlineLevel="2" x14ac:dyDescent="0.25">
      <c r="A40" s="29"/>
      <c r="B40" s="11" t="str">
        <f>CONCATENATE("          ", "6004", " - ", "STAFF HOURLY")</f>
        <v xml:space="preserve">          6004 - STAFF HOURLY</v>
      </c>
      <c r="C40" s="11"/>
      <c r="D40" s="7"/>
      <c r="E40" s="2"/>
      <c r="F40" s="6">
        <f t="shared" si="24"/>
        <v>0</v>
      </c>
      <c r="G40" s="2"/>
      <c r="H40" s="7">
        <v>254.64</v>
      </c>
      <c r="I40" s="2"/>
      <c r="J40" s="6">
        <f t="shared" si="25"/>
        <v>1.978272563447825E-3</v>
      </c>
      <c r="K40" s="2"/>
      <c r="L40" s="7">
        <f t="shared" si="26"/>
        <v>-254.64</v>
      </c>
      <c r="M40" s="2"/>
      <c r="N40" s="6">
        <f t="shared" si="27"/>
        <v>-1</v>
      </c>
      <c r="O40" s="11"/>
      <c r="P40" s="7"/>
      <c r="Q40" s="2"/>
      <c r="R40" s="6">
        <f t="shared" si="28"/>
        <v>0</v>
      </c>
      <c r="S40" s="2"/>
      <c r="T40" s="7">
        <v>254.64</v>
      </c>
      <c r="U40" s="2"/>
      <c r="V40" s="6">
        <f t="shared" si="29"/>
        <v>1.3577664464686288E-3</v>
      </c>
      <c r="W40" s="2"/>
      <c r="X40" s="7">
        <f t="shared" si="30"/>
        <v>-254.64</v>
      </c>
      <c r="Y40" s="2"/>
      <c r="Z40" s="6">
        <f t="shared" si="31"/>
        <v>-1</v>
      </c>
    </row>
    <row r="41" spans="1:26" s="24" customFormat="1" hidden="1" outlineLevel="2" x14ac:dyDescent="0.25">
      <c r="A41" s="29"/>
      <c r="B41" s="11" t="str">
        <f>CONCATENATE("          ", "6005", " - ", "TEMPORARY WAGES-HOURLY")</f>
        <v xml:space="preserve">          6005 - TEMPORARY WAGES-HOURLY</v>
      </c>
      <c r="C41" s="11"/>
      <c r="D41" s="7"/>
      <c r="E41" s="2"/>
      <c r="F41" s="6">
        <f t="shared" si="24"/>
        <v>0</v>
      </c>
      <c r="G41" s="2"/>
      <c r="H41" s="7">
        <v>5233.43</v>
      </c>
      <c r="I41" s="2"/>
      <c r="J41" s="6">
        <f t="shared" si="25"/>
        <v>4.0657991602751929E-2</v>
      </c>
      <c r="K41" s="2"/>
      <c r="L41" s="7">
        <f t="shared" si="26"/>
        <v>-5233.43</v>
      </c>
      <c r="M41" s="2"/>
      <c r="N41" s="6">
        <f t="shared" si="27"/>
        <v>-1</v>
      </c>
      <c r="O41" s="11"/>
      <c r="P41" s="7"/>
      <c r="Q41" s="2"/>
      <c r="R41" s="6">
        <f t="shared" si="28"/>
        <v>0</v>
      </c>
      <c r="S41" s="2"/>
      <c r="T41" s="7">
        <v>8690.84</v>
      </c>
      <c r="U41" s="2"/>
      <c r="V41" s="6">
        <f t="shared" si="29"/>
        <v>4.6340445113208527E-2</v>
      </c>
      <c r="W41" s="2"/>
      <c r="X41" s="7">
        <f t="shared" si="30"/>
        <v>-8690.84</v>
      </c>
      <c r="Y41" s="2"/>
      <c r="Z41" s="6">
        <f t="shared" si="31"/>
        <v>-1</v>
      </c>
    </row>
    <row r="42" spans="1:26" s="24" customFormat="1" hidden="1" outlineLevel="2" x14ac:dyDescent="0.25">
      <c r="A42" s="29"/>
      <c r="B42" s="11" t="str">
        <f>CONCATENATE("          ", "6006", " - ", "TEMPORARY PART TIME")</f>
        <v xml:space="preserve">          6006 - TEMPORARY PART TIME</v>
      </c>
      <c r="C42" s="11"/>
      <c r="D42" s="7"/>
      <c r="E42" s="2"/>
      <c r="F42" s="6">
        <f t="shared" si="24"/>
        <v>0</v>
      </c>
      <c r="G42" s="2"/>
      <c r="H42" s="7">
        <v>454.5</v>
      </c>
      <c r="I42" s="2"/>
      <c r="J42" s="6">
        <f t="shared" si="25"/>
        <v>3.5309648134112331E-3</v>
      </c>
      <c r="K42" s="2"/>
      <c r="L42" s="7">
        <f t="shared" si="26"/>
        <v>-454.5</v>
      </c>
      <c r="M42" s="2"/>
      <c r="N42" s="6">
        <f t="shared" si="27"/>
        <v>-1</v>
      </c>
      <c r="O42" s="11"/>
      <c r="P42" s="7"/>
      <c r="Q42" s="2"/>
      <c r="R42" s="6">
        <f t="shared" si="28"/>
        <v>0</v>
      </c>
      <c r="S42" s="2"/>
      <c r="T42" s="7">
        <v>1181.25</v>
      </c>
      <c r="U42" s="2"/>
      <c r="V42" s="6">
        <f t="shared" si="29"/>
        <v>6.2985454559027175E-3</v>
      </c>
      <c r="W42" s="2"/>
      <c r="X42" s="7">
        <f t="shared" si="30"/>
        <v>-1181.25</v>
      </c>
      <c r="Y42" s="2"/>
      <c r="Z42" s="6">
        <f t="shared" si="31"/>
        <v>-1</v>
      </c>
    </row>
    <row r="43" spans="1:26" s="24" customFormat="1" hidden="1" outlineLevel="2" x14ac:dyDescent="0.25">
      <c r="A43" s="29"/>
      <c r="B43" s="11" t="str">
        <f>CONCATENATE("          ", "6007", " - ", "STUDENT HOURLY")</f>
        <v xml:space="preserve">          6007 - STUDENT HOURLY</v>
      </c>
      <c r="C43" s="11"/>
      <c r="D43" s="7">
        <v>655</v>
      </c>
      <c r="E43" s="2"/>
      <c r="F43" s="6">
        <f t="shared" si="24"/>
        <v>0.79490291262135926</v>
      </c>
      <c r="G43" s="2"/>
      <c r="H43" s="7">
        <v>18790.64</v>
      </c>
      <c r="I43" s="2"/>
      <c r="J43" s="6">
        <f t="shared" si="25"/>
        <v>0.1459825933145823</v>
      </c>
      <c r="K43" s="2"/>
      <c r="L43" s="7">
        <f t="shared" si="26"/>
        <v>-18135.64</v>
      </c>
      <c r="M43" s="2"/>
      <c r="N43" s="6">
        <f t="shared" si="27"/>
        <v>-0.96514221974344672</v>
      </c>
      <c r="O43" s="11"/>
      <c r="P43" s="7">
        <v>655</v>
      </c>
      <c r="Q43" s="2"/>
      <c r="R43" s="6">
        <f t="shared" si="28"/>
        <v>0.79490291262135926</v>
      </c>
      <c r="S43" s="2"/>
      <c r="T43" s="7">
        <v>31298.390000000003</v>
      </c>
      <c r="U43" s="2"/>
      <c r="V43" s="6">
        <f t="shared" si="29"/>
        <v>0.16688620707857868</v>
      </c>
      <c r="W43" s="2"/>
      <c r="X43" s="7">
        <f t="shared" si="30"/>
        <v>-30643.390000000003</v>
      </c>
      <c r="Y43" s="2"/>
      <c r="Z43" s="6">
        <f t="shared" si="31"/>
        <v>-0.97907240596081779</v>
      </c>
    </row>
    <row r="44" spans="1:26" s="24" customFormat="1" hidden="1" outlineLevel="2" x14ac:dyDescent="0.25">
      <c r="A44" s="29"/>
      <c r="B44" s="11" t="str">
        <f>CONCATENATE("          ", "6008", " - ", "STUDENT HOURLY-FICA EXEMPT")</f>
        <v xml:space="preserve">          6008 - STUDENT HOURLY-FICA EXEMPT</v>
      </c>
      <c r="C44" s="11"/>
      <c r="D44" s="7"/>
      <c r="E44" s="2"/>
      <c r="F44" s="6">
        <f t="shared" si="24"/>
        <v>0</v>
      </c>
      <c r="G44" s="2"/>
      <c r="H44" s="7">
        <v>1698.94</v>
      </c>
      <c r="I44" s="2"/>
      <c r="J44" s="6">
        <f t="shared" si="25"/>
        <v>1.3198894081621299E-2</v>
      </c>
      <c r="K44" s="2"/>
      <c r="L44" s="7">
        <f t="shared" si="26"/>
        <v>-1698.94</v>
      </c>
      <c r="M44" s="2"/>
      <c r="N44" s="6">
        <f t="shared" si="27"/>
        <v>-1</v>
      </c>
      <c r="O44" s="11"/>
      <c r="P44" s="7"/>
      <c r="Q44" s="2"/>
      <c r="R44" s="6">
        <f t="shared" si="28"/>
        <v>0</v>
      </c>
      <c r="S44" s="2"/>
      <c r="T44" s="7">
        <v>3491.54</v>
      </c>
      <c r="U44" s="2"/>
      <c r="V44" s="6">
        <f t="shared" si="29"/>
        <v>1.8617247323684718E-2</v>
      </c>
      <c r="W44" s="2"/>
      <c r="X44" s="7">
        <f t="shared" si="30"/>
        <v>-3491.54</v>
      </c>
      <c r="Y44" s="2"/>
      <c r="Z44" s="6">
        <f t="shared" si="31"/>
        <v>-1</v>
      </c>
    </row>
    <row r="45" spans="1:26" s="28" customFormat="1" outlineLevel="1" collapsed="1" x14ac:dyDescent="0.25">
      <c r="A45" s="27"/>
      <c r="B45" s="14" t="str">
        <f>CONCATENATE("     ","Advertising/Promo                                 ")</f>
        <v xml:space="preserve">     Advertising/Promo                                 </v>
      </c>
      <c r="C45" s="14"/>
      <c r="D45" s="1">
        <f>SUM(OSRRefD22_2x_0)</f>
        <v>0</v>
      </c>
      <c r="E45" s="1"/>
      <c r="F45" s="5">
        <f t="shared" ref="F45:F53" si="32">IF(D$12=0,0,D45/D$12)</f>
        <v>0</v>
      </c>
      <c r="G45" s="1"/>
      <c r="H45" s="1">
        <f>SUM(OSRRefH22_2x_0)</f>
        <v>192.39</v>
      </c>
      <c r="I45" s="1"/>
      <c r="J45" s="5">
        <f t="shared" ref="J45:J53" si="33">IF(H$12=0,0,H45/H$12)</f>
        <v>1.4946585708518968E-3</v>
      </c>
      <c r="K45" s="1"/>
      <c r="L45" s="1">
        <f t="shared" ref="L45:L53" si="34">+D45-H45</f>
        <v>-192.39</v>
      </c>
      <c r="M45" s="1"/>
      <c r="N45" s="5">
        <f t="shared" ref="N45:N53" si="35">IF(H45=0,0,L45/H45)</f>
        <v>-1</v>
      </c>
      <c r="O45" s="14"/>
      <c r="P45" s="1">
        <f>SUM(OSRRefP22_2x_0)</f>
        <v>0</v>
      </c>
      <c r="Q45" s="1"/>
      <c r="R45" s="5">
        <f t="shared" ref="R45:R53" si="36">IF(P$12=0,0,P45/P$12)</f>
        <v>0</v>
      </c>
      <c r="S45" s="1"/>
      <c r="T45" s="1">
        <f>SUM(OSRRefT22_2x_0)</f>
        <v>592.01</v>
      </c>
      <c r="U45" s="1"/>
      <c r="V45" s="5">
        <f t="shared" ref="V45:V53" si="37">IF(T$12=0,0,T45/T$12)</f>
        <v>3.1566576891843114E-3</v>
      </c>
      <c r="W45" s="1"/>
      <c r="X45" s="1">
        <f t="shared" ref="X45:X53" si="38">+P45-T45</f>
        <v>-592.01</v>
      </c>
      <c r="Y45" s="1"/>
      <c r="Z45" s="5">
        <f t="shared" ref="Z45:Z53" si="39">IF(T45=0,0,X45/T45)</f>
        <v>-1</v>
      </c>
    </row>
    <row r="46" spans="1:26" s="24" customFormat="1" hidden="1" outlineLevel="2" x14ac:dyDescent="0.25">
      <c r="A46" s="29"/>
      <c r="B46" s="11" t="str">
        <f>CONCATENATE("          ", "6362", " - ", "ADVERTISING EXPENSE")</f>
        <v xml:space="preserve">          6362 - ADVERTISING EXPENSE</v>
      </c>
      <c r="C46" s="11"/>
      <c r="D46" s="7"/>
      <c r="E46" s="2"/>
      <c r="F46" s="6">
        <f t="shared" si="32"/>
        <v>0</v>
      </c>
      <c r="G46" s="2"/>
      <c r="H46" s="7">
        <v>192.39</v>
      </c>
      <c r="I46" s="2"/>
      <c r="J46" s="6">
        <f t="shared" si="33"/>
        <v>1.4946585708518968E-3</v>
      </c>
      <c r="K46" s="2"/>
      <c r="L46" s="7">
        <f t="shared" si="34"/>
        <v>-192.39</v>
      </c>
      <c r="M46" s="2"/>
      <c r="N46" s="6">
        <f t="shared" si="35"/>
        <v>-1</v>
      </c>
      <c r="O46" s="11"/>
      <c r="P46" s="7"/>
      <c r="Q46" s="2"/>
      <c r="R46" s="6">
        <f t="shared" si="36"/>
        <v>0</v>
      </c>
      <c r="S46" s="2"/>
      <c r="T46" s="7">
        <v>592.01</v>
      </c>
      <c r="U46" s="2"/>
      <c r="V46" s="6">
        <f t="shared" si="37"/>
        <v>3.1566576891843114E-3</v>
      </c>
      <c r="W46" s="2"/>
      <c r="X46" s="7">
        <f t="shared" si="38"/>
        <v>-592.01</v>
      </c>
      <c r="Y46" s="2"/>
      <c r="Z46" s="6">
        <f t="shared" si="39"/>
        <v>-1</v>
      </c>
    </row>
    <row r="47" spans="1:26" s="28" customFormat="1" outlineLevel="1" collapsed="1" x14ac:dyDescent="0.25">
      <c r="A47" s="27"/>
      <c r="B47" s="14" t="str">
        <f>CONCATENATE("     ","Bad Debts/Over/Short                              ")</f>
        <v xml:space="preserve">     Bad Debts/Over/Short                              </v>
      </c>
      <c r="C47" s="14"/>
      <c r="D47" s="1">
        <f>SUM(OSRRefD22_3x_0)</f>
        <v>3.75</v>
      </c>
      <c r="E47" s="1"/>
      <c r="F47" s="5">
        <f t="shared" si="32"/>
        <v>4.5509708737864075E-3</v>
      </c>
      <c r="G47" s="1"/>
      <c r="H47" s="1">
        <f>SUM(OSRRefH22_3x_0)</f>
        <v>-5.34</v>
      </c>
      <c r="I47" s="1"/>
      <c r="J47" s="5">
        <f t="shared" si="33"/>
        <v>-4.1485923220277198E-5</v>
      </c>
      <c r="K47" s="1"/>
      <c r="L47" s="1">
        <f t="shared" si="34"/>
        <v>9.09</v>
      </c>
      <c r="M47" s="1"/>
      <c r="N47" s="5">
        <f t="shared" si="35"/>
        <v>-1.702247191011236</v>
      </c>
      <c r="O47" s="14"/>
      <c r="P47" s="1">
        <f>SUM(OSRRefP22_3x_0)</f>
        <v>3.75</v>
      </c>
      <c r="Q47" s="1"/>
      <c r="R47" s="5">
        <f t="shared" si="36"/>
        <v>4.5509708737864075E-3</v>
      </c>
      <c r="S47" s="1"/>
      <c r="T47" s="1">
        <f>SUM(OSRRefT22_3x_0)</f>
        <v>-7.52</v>
      </c>
      <c r="U47" s="1"/>
      <c r="V47" s="5">
        <f t="shared" si="37"/>
        <v>-4.0097406838847346E-5</v>
      </c>
      <c r="W47" s="1"/>
      <c r="X47" s="1">
        <f t="shared" si="38"/>
        <v>11.27</v>
      </c>
      <c r="Y47" s="1"/>
      <c r="Z47" s="5">
        <f t="shared" si="39"/>
        <v>-1.4986702127659575</v>
      </c>
    </row>
    <row r="48" spans="1:26" s="24" customFormat="1" hidden="1" outlineLevel="2" x14ac:dyDescent="0.25">
      <c r="A48" s="29"/>
      <c r="B48" s="11" t="str">
        <f>CONCATENATE("          ", "6272", " - ", "CASH (OVER/SHORT)")</f>
        <v xml:space="preserve">          6272 - CASH (OVER/SHORT)</v>
      </c>
      <c r="C48" s="11"/>
      <c r="D48" s="7">
        <v>3.75</v>
      </c>
      <c r="E48" s="2"/>
      <c r="F48" s="6">
        <f t="shared" si="32"/>
        <v>4.5509708737864075E-3</v>
      </c>
      <c r="G48" s="2"/>
      <c r="H48" s="7">
        <v>-5.34</v>
      </c>
      <c r="I48" s="2"/>
      <c r="J48" s="6">
        <f t="shared" si="33"/>
        <v>-4.1485923220277198E-5</v>
      </c>
      <c r="K48" s="2"/>
      <c r="L48" s="7">
        <f t="shared" si="34"/>
        <v>9.09</v>
      </c>
      <c r="M48" s="2"/>
      <c r="N48" s="6">
        <f t="shared" si="35"/>
        <v>-1.702247191011236</v>
      </c>
      <c r="O48" s="11"/>
      <c r="P48" s="7">
        <v>3.75</v>
      </c>
      <c r="Q48" s="2"/>
      <c r="R48" s="6">
        <f t="shared" si="36"/>
        <v>4.5509708737864075E-3</v>
      </c>
      <c r="S48" s="2"/>
      <c r="T48" s="7">
        <v>-7.52</v>
      </c>
      <c r="U48" s="2"/>
      <c r="V48" s="6">
        <f t="shared" si="37"/>
        <v>-4.0097406838847346E-5</v>
      </c>
      <c r="W48" s="2"/>
      <c r="X48" s="7">
        <f t="shared" si="38"/>
        <v>11.27</v>
      </c>
      <c r="Y48" s="2"/>
      <c r="Z48" s="6">
        <f t="shared" si="39"/>
        <v>-1.4986702127659575</v>
      </c>
    </row>
    <row r="49" spans="1:26" s="28" customFormat="1" outlineLevel="1" collapsed="1" x14ac:dyDescent="0.25">
      <c r="A49" s="27"/>
      <c r="B49" s="14" t="str">
        <f>CONCATENATE("     ","Bank/card Fees                                    ")</f>
        <v xml:space="preserve">     Bank/card Fees                                    </v>
      </c>
      <c r="C49" s="14"/>
      <c r="D49" s="1">
        <f>SUM(OSRRefD22_4x_0)</f>
        <v>60</v>
      </c>
      <c r="E49" s="1"/>
      <c r="F49" s="5">
        <f t="shared" si="32"/>
        <v>7.281553398058252E-2</v>
      </c>
      <c r="G49" s="1"/>
      <c r="H49" s="1">
        <f>SUM(OSRRefH22_4x_0)</f>
        <v>4417.66</v>
      </c>
      <c r="I49" s="1"/>
      <c r="J49" s="5">
        <f t="shared" si="33"/>
        <v>3.4320356474398829E-2</v>
      </c>
      <c r="K49" s="1"/>
      <c r="L49" s="1">
        <f t="shared" si="34"/>
        <v>-4357.66</v>
      </c>
      <c r="M49" s="1"/>
      <c r="N49" s="5">
        <f t="shared" si="35"/>
        <v>-0.98641814897479663</v>
      </c>
      <c r="O49" s="14"/>
      <c r="P49" s="1">
        <f>SUM(OSRRefP22_4x_0)</f>
        <v>120</v>
      </c>
      <c r="Q49" s="1"/>
      <c r="R49" s="5">
        <f t="shared" si="36"/>
        <v>0.14563106796116504</v>
      </c>
      <c r="S49" s="1"/>
      <c r="T49" s="1">
        <f>SUM(OSRRefT22_4x_0)</f>
        <v>5967.12</v>
      </c>
      <c r="U49" s="1"/>
      <c r="V49" s="5">
        <f t="shared" si="37"/>
        <v>3.181729232662537E-2</v>
      </c>
      <c r="W49" s="1"/>
      <c r="X49" s="1">
        <f t="shared" si="38"/>
        <v>-5847.12</v>
      </c>
      <c r="Y49" s="1"/>
      <c r="Z49" s="5">
        <f t="shared" si="39"/>
        <v>-0.97988979608253224</v>
      </c>
    </row>
    <row r="50" spans="1:26" s="24" customFormat="1" hidden="1" outlineLevel="2" x14ac:dyDescent="0.25">
      <c r="A50" s="29"/>
      <c r="B50" s="11" t="str">
        <f>CONCATENATE("          ", "6381", " - ", "BANK/CREDIT CARD FEES")</f>
        <v xml:space="preserve">          6381 - BANK/CREDIT CARD FEES</v>
      </c>
      <c r="C50" s="11"/>
      <c r="D50" s="7">
        <v>60</v>
      </c>
      <c r="E50" s="2"/>
      <c r="F50" s="6">
        <f t="shared" si="32"/>
        <v>7.281553398058252E-2</v>
      </c>
      <c r="G50" s="2"/>
      <c r="H50" s="7">
        <v>4417.66</v>
      </c>
      <c r="I50" s="2"/>
      <c r="J50" s="6">
        <f t="shared" si="33"/>
        <v>3.4320356474398829E-2</v>
      </c>
      <c r="K50" s="2"/>
      <c r="L50" s="7">
        <f t="shared" si="34"/>
        <v>-4357.66</v>
      </c>
      <c r="M50" s="2"/>
      <c r="N50" s="6">
        <f t="shared" si="35"/>
        <v>-0.98641814897479663</v>
      </c>
      <c r="O50" s="11"/>
      <c r="P50" s="7">
        <v>120</v>
      </c>
      <c r="Q50" s="2"/>
      <c r="R50" s="6">
        <f t="shared" si="36"/>
        <v>0.14563106796116504</v>
      </c>
      <c r="S50" s="2"/>
      <c r="T50" s="7">
        <v>5967.12</v>
      </c>
      <c r="U50" s="2"/>
      <c r="V50" s="6">
        <f t="shared" si="37"/>
        <v>3.181729232662537E-2</v>
      </c>
      <c r="W50" s="2"/>
      <c r="X50" s="7">
        <f t="shared" si="38"/>
        <v>-5847.12</v>
      </c>
      <c r="Y50" s="2"/>
      <c r="Z50" s="6">
        <f t="shared" si="39"/>
        <v>-0.97988979608253224</v>
      </c>
    </row>
    <row r="51" spans="1:26" s="28" customFormat="1" outlineLevel="1" collapsed="1" x14ac:dyDescent="0.25">
      <c r="A51" s="27"/>
      <c r="B51" s="14" t="str">
        <f>CONCATENATE("     ","Depreciation                                      ")</f>
        <v xml:space="preserve">     Depreciation                                      </v>
      </c>
      <c r="C51" s="14"/>
      <c r="D51" s="1">
        <f>SUM(OSRRefD22_5x_0)</f>
        <v>9271.99</v>
      </c>
      <c r="E51" s="1"/>
      <c r="F51" s="5">
        <f t="shared" si="32"/>
        <v>11.252415048543689</v>
      </c>
      <c r="G51" s="1"/>
      <c r="H51" s="1">
        <f>SUM(OSRRefH22_5x_0)</f>
        <v>8403.48</v>
      </c>
      <c r="I51" s="1"/>
      <c r="J51" s="5">
        <f t="shared" si="33"/>
        <v>6.5285791397590817E-2</v>
      </c>
      <c r="K51" s="1"/>
      <c r="L51" s="1">
        <f t="shared" si="34"/>
        <v>868.51000000000022</v>
      </c>
      <c r="M51" s="1"/>
      <c r="N51" s="5">
        <f t="shared" si="35"/>
        <v>0.10335123068062282</v>
      </c>
      <c r="O51" s="14"/>
      <c r="P51" s="1">
        <f>SUM(OSRRefP22_5x_0)</f>
        <v>18262.72</v>
      </c>
      <c r="Q51" s="1"/>
      <c r="R51" s="5">
        <f t="shared" si="36"/>
        <v>22.163495145631071</v>
      </c>
      <c r="S51" s="1"/>
      <c r="T51" s="1">
        <f>SUM(OSRRefT22_5x_0)</f>
        <v>16806.96</v>
      </c>
      <c r="U51" s="1"/>
      <c r="V51" s="5">
        <f t="shared" si="37"/>
        <v>8.961642458035024E-2</v>
      </c>
      <c r="W51" s="1"/>
      <c r="X51" s="1">
        <f t="shared" si="38"/>
        <v>1455.760000000002</v>
      </c>
      <c r="Y51" s="1"/>
      <c r="Z51" s="5">
        <f t="shared" si="39"/>
        <v>8.6616496975062837E-2</v>
      </c>
    </row>
    <row r="52" spans="1:26" s="24" customFormat="1" hidden="1" outlineLevel="2" x14ac:dyDescent="0.25">
      <c r="A52" s="29"/>
      <c r="B52" s="11" t="str">
        <f>CONCATENATE("          ", "6321", " - ", "BUILDING DEPRECIATION")</f>
        <v xml:space="preserve">          6321 - BUILDING DEPRECIATION</v>
      </c>
      <c r="C52" s="11"/>
      <c r="D52" s="7">
        <v>5080.51</v>
      </c>
      <c r="E52" s="2"/>
      <c r="F52" s="6">
        <f t="shared" si="32"/>
        <v>6.1656674757281555</v>
      </c>
      <c r="G52" s="2"/>
      <c r="H52" s="7">
        <v>5080.51</v>
      </c>
      <c r="I52" s="2"/>
      <c r="J52" s="6">
        <f t="shared" si="33"/>
        <v>3.9469971494354029E-2</v>
      </c>
      <c r="K52" s="2"/>
      <c r="L52" s="7">
        <f t="shared" si="34"/>
        <v>0</v>
      </c>
      <c r="M52" s="2"/>
      <c r="N52" s="6">
        <f t="shared" si="35"/>
        <v>0</v>
      </c>
      <c r="O52" s="11"/>
      <c r="P52" s="7">
        <v>10161.02</v>
      </c>
      <c r="Q52" s="2"/>
      <c r="R52" s="6">
        <f t="shared" si="36"/>
        <v>12.331334951456311</v>
      </c>
      <c r="S52" s="2"/>
      <c r="T52" s="7">
        <v>10161.02</v>
      </c>
      <c r="U52" s="2"/>
      <c r="V52" s="6">
        <f t="shared" si="37"/>
        <v>5.4179594792242651E-2</v>
      </c>
      <c r="W52" s="2"/>
      <c r="X52" s="7">
        <f t="shared" si="38"/>
        <v>0</v>
      </c>
      <c r="Y52" s="2"/>
      <c r="Z52" s="6">
        <f t="shared" si="39"/>
        <v>0</v>
      </c>
    </row>
    <row r="53" spans="1:26" s="24" customFormat="1" hidden="1" outlineLevel="2" x14ac:dyDescent="0.25">
      <c r="A53" s="29"/>
      <c r="B53" s="11" t="str">
        <f>CONCATENATE("          ", "6322", " - ", "EQUIPMENT DEPRECIATION EXPENSE")</f>
        <v xml:space="preserve">          6322 - EQUIPMENT DEPRECIATION EXPENSE</v>
      </c>
      <c r="C53" s="11"/>
      <c r="D53" s="7">
        <v>4191.4799999999996</v>
      </c>
      <c r="E53" s="2"/>
      <c r="F53" s="6">
        <f t="shared" si="32"/>
        <v>5.0867475728155336</v>
      </c>
      <c r="G53" s="2"/>
      <c r="H53" s="7">
        <v>3322.97</v>
      </c>
      <c r="I53" s="2"/>
      <c r="J53" s="6">
        <f t="shared" si="33"/>
        <v>2.5815819903236798E-2</v>
      </c>
      <c r="K53" s="2"/>
      <c r="L53" s="7">
        <f t="shared" si="34"/>
        <v>868.50999999999976</v>
      </c>
      <c r="M53" s="2"/>
      <c r="N53" s="6">
        <f t="shared" si="35"/>
        <v>0.26136558560564788</v>
      </c>
      <c r="O53" s="11"/>
      <c r="P53" s="7">
        <v>8101.7</v>
      </c>
      <c r="Q53" s="2"/>
      <c r="R53" s="6">
        <f t="shared" si="36"/>
        <v>9.8321601941747563</v>
      </c>
      <c r="S53" s="2"/>
      <c r="T53" s="7">
        <v>6645.94</v>
      </c>
      <c r="U53" s="2"/>
      <c r="V53" s="6">
        <f t="shared" si="37"/>
        <v>3.5436829788107603E-2</v>
      </c>
      <c r="W53" s="2"/>
      <c r="X53" s="7">
        <f t="shared" si="38"/>
        <v>1455.7600000000002</v>
      </c>
      <c r="Y53" s="2"/>
      <c r="Z53" s="6">
        <f t="shared" si="39"/>
        <v>0.21904501093900944</v>
      </c>
    </row>
    <row r="54" spans="1:26" s="28" customFormat="1" outlineLevel="1" collapsed="1" x14ac:dyDescent="0.25">
      <c r="A54" s="27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SUM(OSRRefD22_6x_0)</f>
        <v>0</v>
      </c>
      <c r="E54" s="1"/>
      <c r="F54" s="5">
        <f t="shared" ref="F54:F70" si="40">IF(D$12=0,0,D54/D$12)</f>
        <v>0</v>
      </c>
      <c r="G54" s="1"/>
      <c r="H54" s="1">
        <f>SUM(OSRRefH22_6x_0)</f>
        <v>6.18</v>
      </c>
      <c r="I54" s="1"/>
      <c r="J54" s="5">
        <f t="shared" ref="J54:J70" si="41">IF(H$12=0,0,H54/H$12)</f>
        <v>4.8011798783017424E-5</v>
      </c>
      <c r="K54" s="1"/>
      <c r="L54" s="1">
        <f t="shared" ref="L54:L70" si="42">+D54-H54</f>
        <v>-6.18</v>
      </c>
      <c r="M54" s="1"/>
      <c r="N54" s="5">
        <f t="shared" ref="N54:N70" si="43">IF(H54=0,0,L54/H54)</f>
        <v>-1</v>
      </c>
      <c r="O54" s="14"/>
      <c r="P54" s="1">
        <f>SUM(OSRRefP22_6x_0)</f>
        <v>0</v>
      </c>
      <c r="Q54" s="1"/>
      <c r="R54" s="5">
        <f t="shared" ref="R54:R70" si="44">IF(P$12=0,0,P54/P$12)</f>
        <v>0</v>
      </c>
      <c r="S54" s="1"/>
      <c r="T54" s="1">
        <f>SUM(OSRRefT22_6x_0)</f>
        <v>20.09</v>
      </c>
      <c r="U54" s="1"/>
      <c r="V54" s="5">
        <f t="shared" ref="V54:V70" si="45">IF(T$12=0,0,T54/T$12)</f>
        <v>1.0712192864261214E-4</v>
      </c>
      <c r="W54" s="1"/>
      <c r="X54" s="1">
        <f t="shared" ref="X54:X70" si="46">+P54-T54</f>
        <v>-20.09</v>
      </c>
      <c r="Y54" s="1"/>
      <c r="Z54" s="5">
        <f t="shared" ref="Z54:Z70" si="47">IF(T54=0,0,X54/T54)</f>
        <v>-1</v>
      </c>
    </row>
    <row r="55" spans="1:26" s="24" customFormat="1" hidden="1" outlineLevel="2" x14ac:dyDescent="0.25">
      <c r="A55" s="29"/>
      <c r="B55" s="11" t="str">
        <f>CONCATENATE("          ", "6382", " - ", "DISCOUNTS/MARK DOWNS")</f>
        <v xml:space="preserve">          6382 - DISCOUNTS/MARK DOWNS</v>
      </c>
      <c r="C55" s="11"/>
      <c r="D55" s="7"/>
      <c r="E55" s="2"/>
      <c r="F55" s="6">
        <f t="shared" si="40"/>
        <v>0</v>
      </c>
      <c r="G55" s="2"/>
      <c r="H55" s="7">
        <v>6.18</v>
      </c>
      <c r="I55" s="2"/>
      <c r="J55" s="6">
        <f t="shared" si="41"/>
        <v>4.8011798783017424E-5</v>
      </c>
      <c r="K55" s="2"/>
      <c r="L55" s="7">
        <f t="shared" si="42"/>
        <v>-6.18</v>
      </c>
      <c r="M55" s="2"/>
      <c r="N55" s="6">
        <f t="shared" si="43"/>
        <v>-1</v>
      </c>
      <c r="O55" s="11"/>
      <c r="P55" s="7"/>
      <c r="Q55" s="2"/>
      <c r="R55" s="6">
        <f t="shared" si="44"/>
        <v>0</v>
      </c>
      <c r="S55" s="2"/>
      <c r="T55" s="7">
        <v>20.09</v>
      </c>
      <c r="U55" s="2"/>
      <c r="V55" s="6">
        <f t="shared" si="45"/>
        <v>1.0712192864261214E-4</v>
      </c>
      <c r="W55" s="2"/>
      <c r="X55" s="7">
        <f t="shared" si="46"/>
        <v>-20.09</v>
      </c>
      <c r="Y55" s="2"/>
      <c r="Z55" s="6">
        <f t="shared" si="47"/>
        <v>-1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SUM(OSRRefD22_7x_0)</f>
        <v>0</v>
      </c>
      <c r="E56" s="1"/>
      <c r="F56" s="5">
        <f t="shared" si="40"/>
        <v>0</v>
      </c>
      <c r="G56" s="1"/>
      <c r="H56" s="1">
        <f>SUM(OSRRefH22_7x_0)</f>
        <v>146.05000000000001</v>
      </c>
      <c r="I56" s="1"/>
      <c r="J56" s="5">
        <f t="shared" si="41"/>
        <v>1.1346477689740608E-3</v>
      </c>
      <c r="K56" s="1"/>
      <c r="L56" s="1">
        <f t="shared" si="42"/>
        <v>-146.05000000000001</v>
      </c>
      <c r="M56" s="1"/>
      <c r="N56" s="5">
        <f t="shared" si="43"/>
        <v>-1</v>
      </c>
      <c r="O56" s="14"/>
      <c r="P56" s="1">
        <f>SUM(OSRRefP22_7x_0)</f>
        <v>0</v>
      </c>
      <c r="Q56" s="1"/>
      <c r="R56" s="5">
        <f t="shared" si="44"/>
        <v>0</v>
      </c>
      <c r="S56" s="1"/>
      <c r="T56" s="1">
        <f>SUM(OSRRefT22_7x_0)</f>
        <v>292.52</v>
      </c>
      <c r="U56" s="1"/>
      <c r="V56" s="5">
        <f t="shared" si="45"/>
        <v>1.5597464692153758E-3</v>
      </c>
      <c r="W56" s="1"/>
      <c r="X56" s="1">
        <f t="shared" si="46"/>
        <v>-292.52</v>
      </c>
      <c r="Y56" s="1"/>
      <c r="Z56" s="5">
        <f t="shared" si="47"/>
        <v>-1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/>
      <c r="E57" s="2"/>
      <c r="F57" s="6">
        <f t="shared" si="40"/>
        <v>0</v>
      </c>
      <c r="G57" s="2"/>
      <c r="H57" s="7">
        <v>146.05000000000001</v>
      </c>
      <c r="I57" s="2"/>
      <c r="J57" s="6">
        <f t="shared" si="41"/>
        <v>1.1346477689740608E-3</v>
      </c>
      <c r="K57" s="2"/>
      <c r="L57" s="7">
        <f t="shared" si="42"/>
        <v>-146.05000000000001</v>
      </c>
      <c r="M57" s="2"/>
      <c r="N57" s="6">
        <f t="shared" si="43"/>
        <v>-1</v>
      </c>
      <c r="O57" s="11"/>
      <c r="P57" s="7"/>
      <c r="Q57" s="2"/>
      <c r="R57" s="6">
        <f t="shared" si="44"/>
        <v>0</v>
      </c>
      <c r="S57" s="2"/>
      <c r="T57" s="7">
        <v>292.52</v>
      </c>
      <c r="U57" s="2"/>
      <c r="V57" s="6">
        <f t="shared" si="45"/>
        <v>1.5597464692153758E-3</v>
      </c>
      <c r="W57" s="2"/>
      <c r="X57" s="7">
        <f t="shared" si="46"/>
        <v>-292.52</v>
      </c>
      <c r="Y57" s="2"/>
      <c r="Z57" s="6">
        <f t="shared" si="47"/>
        <v>-1</v>
      </c>
    </row>
    <row r="58" spans="1:26" s="28" customFormat="1" outlineLevel="1" collapsed="1" x14ac:dyDescent="0.25">
      <c r="A58" s="27"/>
      <c r="B58" s="14" t="str">
        <f>CONCATENATE("     ","Freight out/Postage                               ")</f>
        <v xml:space="preserve">     Freight out/Postage                               </v>
      </c>
      <c r="C58" s="14"/>
      <c r="D58" s="1">
        <f>SUM(OSRRefD22_8x_0)</f>
        <v>3.94</v>
      </c>
      <c r="E58" s="1"/>
      <c r="F58" s="5">
        <f t="shared" si="40"/>
        <v>4.7815533980582522E-3</v>
      </c>
      <c r="G58" s="1"/>
      <c r="H58" s="1">
        <f>SUM(OSRRefH22_8x_0)</f>
        <v>44.96</v>
      </c>
      <c r="I58" s="1"/>
      <c r="J58" s="5">
        <f t="shared" si="41"/>
        <v>3.4928972059619152E-4</v>
      </c>
      <c r="K58" s="1"/>
      <c r="L58" s="1">
        <f t="shared" si="42"/>
        <v>-41.02</v>
      </c>
      <c r="M58" s="1"/>
      <c r="N58" s="5">
        <f t="shared" si="43"/>
        <v>-0.91236654804270467</v>
      </c>
      <c r="O58" s="14"/>
      <c r="P58" s="1">
        <f>SUM(OSRRefP22_8x_0)</f>
        <v>3.94</v>
      </c>
      <c r="Q58" s="1"/>
      <c r="R58" s="5">
        <f t="shared" si="44"/>
        <v>4.7815533980582522E-3</v>
      </c>
      <c r="S58" s="1"/>
      <c r="T58" s="1">
        <f>SUM(OSRRefT22_8x_0)</f>
        <v>116.65</v>
      </c>
      <c r="U58" s="1"/>
      <c r="V58" s="5">
        <f t="shared" si="45"/>
        <v>6.2198969517972659E-4</v>
      </c>
      <c r="W58" s="1"/>
      <c r="X58" s="1">
        <f t="shared" si="46"/>
        <v>-112.71000000000001</v>
      </c>
      <c r="Y58" s="1"/>
      <c r="Z58" s="5">
        <f t="shared" si="47"/>
        <v>-0.96622374624946428</v>
      </c>
    </row>
    <row r="59" spans="1:26" s="24" customFormat="1" hidden="1" outlineLevel="2" x14ac:dyDescent="0.25">
      <c r="A59" s="29"/>
      <c r="B59" s="11" t="str">
        <f>CONCATENATE("          ", "6305", " - ", "FREIGHT OUT")</f>
        <v xml:space="preserve">          6305 - FREIGHT OUT</v>
      </c>
      <c r="C59" s="11"/>
      <c r="D59" s="7">
        <v>3.94</v>
      </c>
      <c r="E59" s="2"/>
      <c r="F59" s="6">
        <f t="shared" si="40"/>
        <v>4.7815533980582522E-3</v>
      </c>
      <c r="G59" s="2"/>
      <c r="H59" s="7">
        <v>44.96</v>
      </c>
      <c r="I59" s="2"/>
      <c r="J59" s="6">
        <f t="shared" si="41"/>
        <v>3.4928972059619152E-4</v>
      </c>
      <c r="K59" s="2"/>
      <c r="L59" s="7">
        <f t="shared" si="42"/>
        <v>-41.02</v>
      </c>
      <c r="M59" s="2"/>
      <c r="N59" s="6">
        <f t="shared" si="43"/>
        <v>-0.91236654804270467</v>
      </c>
      <c r="O59" s="11"/>
      <c r="P59" s="7">
        <v>3.94</v>
      </c>
      <c r="Q59" s="2"/>
      <c r="R59" s="6">
        <f t="shared" si="44"/>
        <v>4.7815533980582522E-3</v>
      </c>
      <c r="S59" s="2"/>
      <c r="T59" s="7">
        <v>116.65</v>
      </c>
      <c r="U59" s="2"/>
      <c r="V59" s="6">
        <f t="shared" si="45"/>
        <v>6.2198969517972659E-4</v>
      </c>
      <c r="W59" s="2"/>
      <c r="X59" s="7">
        <f t="shared" si="46"/>
        <v>-112.71000000000001</v>
      </c>
      <c r="Y59" s="2"/>
      <c r="Z59" s="6">
        <f t="shared" si="47"/>
        <v>-0.96622374624946428</v>
      </c>
    </row>
    <row r="60" spans="1:26" s="28" customFormat="1" outlineLevel="1" collapsed="1" x14ac:dyDescent="0.25">
      <c r="A60" s="27"/>
      <c r="B60" s="14" t="str">
        <f>CONCATENATE("     ","General                                           ")</f>
        <v xml:space="preserve">     General                                           </v>
      </c>
      <c r="C60" s="14"/>
      <c r="D60" s="1">
        <f>SUM(OSRRefD22_9x_0)</f>
        <v>0</v>
      </c>
      <c r="E60" s="1"/>
      <c r="F60" s="5">
        <f t="shared" si="40"/>
        <v>0</v>
      </c>
      <c r="G60" s="1"/>
      <c r="H60" s="1">
        <f>SUM(OSRRefH22_9x_0)</f>
        <v>124.74</v>
      </c>
      <c r="I60" s="1"/>
      <c r="J60" s="5">
        <f t="shared" si="41"/>
        <v>9.6909252106692459E-4</v>
      </c>
      <c r="K60" s="1"/>
      <c r="L60" s="1">
        <f t="shared" si="42"/>
        <v>-124.74</v>
      </c>
      <c r="M60" s="1"/>
      <c r="N60" s="5">
        <f t="shared" si="43"/>
        <v>-1</v>
      </c>
      <c r="O60" s="14"/>
      <c r="P60" s="1">
        <f>SUM(OSRRefP22_9x_0)</f>
        <v>1509.1</v>
      </c>
      <c r="Q60" s="1"/>
      <c r="R60" s="5">
        <f t="shared" si="44"/>
        <v>1.8314320388349514</v>
      </c>
      <c r="S60" s="1"/>
      <c r="T60" s="1">
        <f>SUM(OSRRefT22_9x_0)</f>
        <v>4553.54</v>
      </c>
      <c r="U60" s="1"/>
      <c r="V60" s="5">
        <f t="shared" si="45"/>
        <v>2.4279939619277255E-2</v>
      </c>
      <c r="W60" s="1"/>
      <c r="X60" s="1">
        <f t="shared" si="46"/>
        <v>-3044.44</v>
      </c>
      <c r="Y60" s="1"/>
      <c r="Z60" s="5">
        <f t="shared" si="47"/>
        <v>-0.66858751652560422</v>
      </c>
    </row>
    <row r="61" spans="1:26" s="24" customFormat="1" hidden="1" outlineLevel="2" x14ac:dyDescent="0.25">
      <c r="A61" s="29"/>
      <c r="B61" s="11" t="str">
        <f>CONCATENATE("          ", "6279", " - ", "GENERAL EXPENSE")</f>
        <v xml:space="preserve">          6279 - GENERAL EXPENSE</v>
      </c>
      <c r="C61" s="11"/>
      <c r="D61" s="7"/>
      <c r="E61" s="2"/>
      <c r="F61" s="6">
        <f t="shared" si="40"/>
        <v>0</v>
      </c>
      <c r="G61" s="2"/>
      <c r="H61" s="7">
        <v>124.74</v>
      </c>
      <c r="I61" s="2"/>
      <c r="J61" s="6">
        <f t="shared" si="41"/>
        <v>9.6909252106692459E-4</v>
      </c>
      <c r="K61" s="2"/>
      <c r="L61" s="7">
        <f t="shared" si="42"/>
        <v>-124.74</v>
      </c>
      <c r="M61" s="2"/>
      <c r="N61" s="6">
        <f t="shared" si="43"/>
        <v>-1</v>
      </c>
      <c r="O61" s="11"/>
      <c r="P61" s="7">
        <v>1509.1</v>
      </c>
      <c r="Q61" s="2"/>
      <c r="R61" s="6">
        <f t="shared" si="44"/>
        <v>1.8314320388349514</v>
      </c>
      <c r="S61" s="2"/>
      <c r="T61" s="7">
        <v>4553.54</v>
      </c>
      <c r="U61" s="2"/>
      <c r="V61" s="6">
        <f t="shared" si="45"/>
        <v>2.4279939619277255E-2</v>
      </c>
      <c r="W61" s="2"/>
      <c r="X61" s="7">
        <f t="shared" si="46"/>
        <v>-3044.44</v>
      </c>
      <c r="Y61" s="2"/>
      <c r="Z61" s="6">
        <f t="shared" si="47"/>
        <v>-0.66858751652560422</v>
      </c>
    </row>
    <row r="62" spans="1:26" s="28" customFormat="1" outlineLevel="1" collapsed="1" x14ac:dyDescent="0.25">
      <c r="A62" s="27"/>
      <c r="B62" s="14" t="str">
        <f>CONCATENATE("     ","Insurance                                         ")</f>
        <v xml:space="preserve">     Insurance                                         </v>
      </c>
      <c r="C62" s="14"/>
      <c r="D62" s="1">
        <f>SUM(OSRRefD22_10x_0)</f>
        <v>243.54</v>
      </c>
      <c r="E62" s="1"/>
      <c r="F62" s="5">
        <f t="shared" si="40"/>
        <v>0.29555825242718448</v>
      </c>
      <c r="G62" s="1"/>
      <c r="H62" s="1">
        <f>SUM(OSRRefH22_10x_0)</f>
        <v>243.54</v>
      </c>
      <c r="I62" s="1"/>
      <c r="J62" s="5">
        <f t="shared" si="41"/>
        <v>1.8920377792259004E-3</v>
      </c>
      <c r="K62" s="1"/>
      <c r="L62" s="1">
        <f t="shared" si="42"/>
        <v>0</v>
      </c>
      <c r="M62" s="1"/>
      <c r="N62" s="5">
        <f t="shared" si="43"/>
        <v>0</v>
      </c>
      <c r="O62" s="14"/>
      <c r="P62" s="1">
        <f>SUM(OSRRefP22_10x_0)</f>
        <v>487.08</v>
      </c>
      <c r="Q62" s="1"/>
      <c r="R62" s="5">
        <f t="shared" si="44"/>
        <v>0.59111650485436895</v>
      </c>
      <c r="S62" s="1"/>
      <c r="T62" s="1">
        <f>SUM(OSRRefT22_10x_0)</f>
        <v>487.08</v>
      </c>
      <c r="U62" s="1"/>
      <c r="V62" s="5">
        <f t="shared" si="45"/>
        <v>2.5971602291310859E-3</v>
      </c>
      <c r="W62" s="1"/>
      <c r="X62" s="1">
        <f t="shared" si="46"/>
        <v>0</v>
      </c>
      <c r="Y62" s="1"/>
      <c r="Z62" s="5">
        <f t="shared" si="47"/>
        <v>0</v>
      </c>
    </row>
    <row r="63" spans="1:26" s="24" customFormat="1" hidden="1" outlineLevel="2" x14ac:dyDescent="0.25">
      <c r="A63" s="29"/>
      <c r="B63" s="11" t="str">
        <f>CONCATENATE("          ", "6314", " - ", "LIABILITY INSURANCE")</f>
        <v xml:space="preserve">          6314 - LIABILITY INSURANCE</v>
      </c>
      <c r="C63" s="11"/>
      <c r="D63" s="7">
        <v>243.54</v>
      </c>
      <c r="E63" s="2"/>
      <c r="F63" s="6">
        <f t="shared" si="40"/>
        <v>0.29555825242718448</v>
      </c>
      <c r="G63" s="2"/>
      <c r="H63" s="7">
        <v>243.54</v>
      </c>
      <c r="I63" s="2"/>
      <c r="J63" s="6">
        <f t="shared" si="41"/>
        <v>1.8920377792259004E-3</v>
      </c>
      <c r="K63" s="2"/>
      <c r="L63" s="7">
        <f t="shared" si="42"/>
        <v>0</v>
      </c>
      <c r="M63" s="2"/>
      <c r="N63" s="6">
        <f t="shared" si="43"/>
        <v>0</v>
      </c>
      <c r="O63" s="11"/>
      <c r="P63" s="7">
        <v>487.08</v>
      </c>
      <c r="Q63" s="2"/>
      <c r="R63" s="6">
        <f t="shared" si="44"/>
        <v>0.59111650485436895</v>
      </c>
      <c r="S63" s="2"/>
      <c r="T63" s="7">
        <v>487.08</v>
      </c>
      <c r="U63" s="2"/>
      <c r="V63" s="6">
        <f t="shared" si="45"/>
        <v>2.5971602291310859E-3</v>
      </c>
      <c r="W63" s="2"/>
      <c r="X63" s="7">
        <f t="shared" si="46"/>
        <v>0</v>
      </c>
      <c r="Y63" s="2"/>
      <c r="Z63" s="6">
        <f t="shared" si="47"/>
        <v>0</v>
      </c>
    </row>
    <row r="64" spans="1:26" s="28" customFormat="1" outlineLevel="1" collapsed="1" x14ac:dyDescent="0.25">
      <c r="A64" s="27"/>
      <c r="B64" s="14" t="str">
        <f>CONCATENATE("     ","Interest                                          ")</f>
        <v xml:space="preserve">     Interest                                          </v>
      </c>
      <c r="C64" s="14"/>
      <c r="D64" s="1">
        <f>SUM(OSRRefD22_11x_0)</f>
        <v>4044</v>
      </c>
      <c r="E64" s="1"/>
      <c r="F64" s="5">
        <f t="shared" si="40"/>
        <v>4.907766990291262</v>
      </c>
      <c r="G64" s="1"/>
      <c r="H64" s="1">
        <f>SUM(OSRRefH22_11x_0)</f>
        <v>4110</v>
      </c>
      <c r="I64" s="1"/>
      <c r="J64" s="5">
        <f t="shared" si="41"/>
        <v>3.1930176860550427E-2</v>
      </c>
      <c r="K64" s="1"/>
      <c r="L64" s="1">
        <f t="shared" si="42"/>
        <v>-66</v>
      </c>
      <c r="M64" s="1"/>
      <c r="N64" s="5">
        <f t="shared" si="43"/>
        <v>-1.6058394160583942E-2</v>
      </c>
      <c r="O64" s="14"/>
      <c r="P64" s="1">
        <f>SUM(OSRRefP22_11x_0)</f>
        <v>8088</v>
      </c>
      <c r="Q64" s="1"/>
      <c r="R64" s="5">
        <f t="shared" si="44"/>
        <v>9.8155339805825239</v>
      </c>
      <c r="S64" s="1"/>
      <c r="T64" s="1">
        <f>SUM(OSRRefT22_11x_0)</f>
        <v>8220</v>
      </c>
      <c r="U64" s="1"/>
      <c r="V64" s="5">
        <f t="shared" si="45"/>
        <v>4.3829878220123034E-2</v>
      </c>
      <c r="W64" s="1"/>
      <c r="X64" s="1">
        <f t="shared" si="46"/>
        <v>-132</v>
      </c>
      <c r="Y64" s="1"/>
      <c r="Z64" s="5">
        <f t="shared" si="47"/>
        <v>-1.6058394160583942E-2</v>
      </c>
    </row>
    <row r="65" spans="1:26" s="24" customFormat="1" hidden="1" outlineLevel="2" x14ac:dyDescent="0.25">
      <c r="A65" s="29"/>
      <c r="B65" s="11" t="str">
        <f>CONCATENATE("          ", "6401", " - ", "INTEREST EXPENSE")</f>
        <v xml:space="preserve">          6401 - INTEREST EXPENSE</v>
      </c>
      <c r="C65" s="11"/>
      <c r="D65" s="7">
        <v>4044</v>
      </c>
      <c r="E65" s="2"/>
      <c r="F65" s="6">
        <f t="shared" si="40"/>
        <v>4.907766990291262</v>
      </c>
      <c r="G65" s="2"/>
      <c r="H65" s="7">
        <v>4110</v>
      </c>
      <c r="I65" s="2"/>
      <c r="J65" s="6">
        <f t="shared" si="41"/>
        <v>3.1930176860550427E-2</v>
      </c>
      <c r="K65" s="2"/>
      <c r="L65" s="7">
        <f t="shared" si="42"/>
        <v>-66</v>
      </c>
      <c r="M65" s="2"/>
      <c r="N65" s="6">
        <f t="shared" si="43"/>
        <v>-1.6058394160583942E-2</v>
      </c>
      <c r="O65" s="11"/>
      <c r="P65" s="7">
        <v>8088</v>
      </c>
      <c r="Q65" s="2"/>
      <c r="R65" s="6">
        <f t="shared" si="44"/>
        <v>9.8155339805825239</v>
      </c>
      <c r="S65" s="2"/>
      <c r="T65" s="7">
        <v>8220</v>
      </c>
      <c r="U65" s="2"/>
      <c r="V65" s="6">
        <f t="shared" si="45"/>
        <v>4.3829878220123034E-2</v>
      </c>
      <c r="W65" s="2"/>
      <c r="X65" s="7">
        <f t="shared" si="46"/>
        <v>-132</v>
      </c>
      <c r="Y65" s="2"/>
      <c r="Z65" s="6">
        <f t="shared" si="47"/>
        <v>-1.6058394160583942E-2</v>
      </c>
    </row>
    <row r="66" spans="1:26" s="28" customFormat="1" outlineLevel="1" collapsed="1" x14ac:dyDescent="0.25">
      <c r="A66" s="27"/>
      <c r="B66" s="14" t="str">
        <f>CONCATENATE("     ","Rent                                              ")</f>
        <v xml:space="preserve">     Rent                                              </v>
      </c>
      <c r="C66" s="14"/>
      <c r="D66" s="1">
        <f>SUM(OSRRefD22_12x_0)</f>
        <v>0</v>
      </c>
      <c r="E66" s="1"/>
      <c r="F66" s="5">
        <f t="shared" si="40"/>
        <v>0</v>
      </c>
      <c r="G66" s="1"/>
      <c r="H66" s="1">
        <f>SUM(OSRRefH22_12x_0)</f>
        <v>1150</v>
      </c>
      <c r="I66" s="1"/>
      <c r="J66" s="5">
        <f t="shared" si="41"/>
        <v>8.9342344013705575E-3</v>
      </c>
      <c r="K66" s="1"/>
      <c r="L66" s="1">
        <f t="shared" si="42"/>
        <v>-1150</v>
      </c>
      <c r="M66" s="1"/>
      <c r="N66" s="5">
        <f t="shared" si="43"/>
        <v>-1</v>
      </c>
      <c r="O66" s="14"/>
      <c r="P66" s="1">
        <f>SUM(OSRRefP22_12x_0)</f>
        <v>0</v>
      </c>
      <c r="Q66" s="1"/>
      <c r="R66" s="5">
        <f t="shared" si="44"/>
        <v>0</v>
      </c>
      <c r="S66" s="1"/>
      <c r="T66" s="1">
        <f>SUM(OSRRefT22_12x_0)</f>
        <v>2300</v>
      </c>
      <c r="U66" s="1"/>
      <c r="V66" s="5">
        <f t="shared" si="45"/>
        <v>1.2263834538477248E-2</v>
      </c>
      <c r="W66" s="1"/>
      <c r="X66" s="1">
        <f t="shared" si="46"/>
        <v>-2300</v>
      </c>
      <c r="Y66" s="1"/>
      <c r="Z66" s="5">
        <f t="shared" si="47"/>
        <v>-1</v>
      </c>
    </row>
    <row r="67" spans="1:26" s="24" customFormat="1" hidden="1" outlineLevel="2" x14ac:dyDescent="0.25">
      <c r="A67" s="29"/>
      <c r="B67" s="11" t="str">
        <f>CONCATENATE("          ", "6273", " - ", "RENT")</f>
        <v xml:space="preserve">          6273 - RENT</v>
      </c>
      <c r="C67" s="11"/>
      <c r="D67" s="7"/>
      <c r="E67" s="2"/>
      <c r="F67" s="6">
        <f t="shared" si="40"/>
        <v>0</v>
      </c>
      <c r="G67" s="2"/>
      <c r="H67" s="7">
        <v>1150</v>
      </c>
      <c r="I67" s="2"/>
      <c r="J67" s="6">
        <f t="shared" si="41"/>
        <v>8.9342344013705575E-3</v>
      </c>
      <c r="K67" s="2"/>
      <c r="L67" s="7">
        <f t="shared" si="42"/>
        <v>-1150</v>
      </c>
      <c r="M67" s="2"/>
      <c r="N67" s="6">
        <f t="shared" si="43"/>
        <v>-1</v>
      </c>
      <c r="O67" s="11"/>
      <c r="P67" s="7"/>
      <c r="Q67" s="2"/>
      <c r="R67" s="6">
        <f t="shared" si="44"/>
        <v>0</v>
      </c>
      <c r="S67" s="2"/>
      <c r="T67" s="7">
        <v>2300</v>
      </c>
      <c r="U67" s="2"/>
      <c r="V67" s="6">
        <f t="shared" si="45"/>
        <v>1.2263834538477248E-2</v>
      </c>
      <c r="W67" s="2"/>
      <c r="X67" s="7">
        <f t="shared" si="46"/>
        <v>-2300</v>
      </c>
      <c r="Y67" s="2"/>
      <c r="Z67" s="6">
        <f t="shared" si="47"/>
        <v>-1</v>
      </c>
    </row>
    <row r="68" spans="1:26" s="28" customFormat="1" outlineLevel="1" collapsed="1" x14ac:dyDescent="0.25">
      <c r="A68" s="27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SUM(OSRRefD22_13x_0)</f>
        <v>443.7</v>
      </c>
      <c r="E68" s="1"/>
      <c r="F68" s="5">
        <f t="shared" si="40"/>
        <v>0.53847087378640779</v>
      </c>
      <c r="G68" s="1"/>
      <c r="H68" s="1">
        <f>SUM(OSRRefH22_13x_0)</f>
        <v>1230.01</v>
      </c>
      <c r="I68" s="1"/>
      <c r="J68" s="5">
        <f t="shared" si="41"/>
        <v>9.5558240487215642E-3</v>
      </c>
      <c r="K68" s="1"/>
      <c r="L68" s="1">
        <f t="shared" si="42"/>
        <v>-786.31</v>
      </c>
      <c r="M68" s="1"/>
      <c r="N68" s="5">
        <f t="shared" si="43"/>
        <v>-0.6392712254371915</v>
      </c>
      <c r="O68" s="14"/>
      <c r="P68" s="1">
        <f>SUM(OSRRefP22_13x_0)</f>
        <v>557.70000000000005</v>
      </c>
      <c r="Q68" s="1"/>
      <c r="R68" s="5">
        <f t="shared" si="44"/>
        <v>0.67682038834951463</v>
      </c>
      <c r="S68" s="1"/>
      <c r="T68" s="1">
        <f>SUM(OSRRefT22_13x_0)</f>
        <v>2992.8</v>
      </c>
      <c r="U68" s="1"/>
      <c r="V68" s="5">
        <f t="shared" si="45"/>
        <v>1.5957914785545528E-2</v>
      </c>
      <c r="W68" s="1"/>
      <c r="X68" s="1">
        <f t="shared" si="46"/>
        <v>-2435.1000000000004</v>
      </c>
      <c r="Y68" s="1"/>
      <c r="Z68" s="5">
        <f t="shared" si="47"/>
        <v>-0.81365276663993591</v>
      </c>
    </row>
    <row r="69" spans="1:26" s="24" customFormat="1" hidden="1" outlineLevel="2" x14ac:dyDescent="0.25">
      <c r="A69" s="29"/>
      <c r="B69" s="11" t="str">
        <f>CONCATENATE("          ", "6373", " - ", "MAINTENANCE CONTRACTS")</f>
        <v xml:space="preserve">          6373 - MAINTENANCE CONTRACTS</v>
      </c>
      <c r="C69" s="11"/>
      <c r="D69" s="7">
        <v>353.7</v>
      </c>
      <c r="E69" s="2"/>
      <c r="F69" s="6">
        <f t="shared" si="40"/>
        <v>0.42924757281553394</v>
      </c>
      <c r="G69" s="2"/>
      <c r="H69" s="7"/>
      <c r="I69" s="2"/>
      <c r="J69" s="6">
        <f t="shared" si="41"/>
        <v>0</v>
      </c>
      <c r="K69" s="2"/>
      <c r="L69" s="7">
        <f t="shared" si="42"/>
        <v>353.7</v>
      </c>
      <c r="M69" s="2"/>
      <c r="N69" s="6">
        <f t="shared" si="43"/>
        <v>0</v>
      </c>
      <c r="O69" s="11"/>
      <c r="P69" s="7">
        <v>353.7</v>
      </c>
      <c r="Q69" s="2"/>
      <c r="R69" s="6">
        <f t="shared" si="44"/>
        <v>0.42924757281553394</v>
      </c>
      <c r="S69" s="2"/>
      <c r="T69" s="7"/>
      <c r="U69" s="2"/>
      <c r="V69" s="6">
        <f t="shared" si="45"/>
        <v>0</v>
      </c>
      <c r="W69" s="2"/>
      <c r="X69" s="7">
        <f t="shared" si="46"/>
        <v>353.7</v>
      </c>
      <c r="Y69" s="2"/>
      <c r="Z69" s="6">
        <f t="shared" si="47"/>
        <v>0</v>
      </c>
    </row>
    <row r="70" spans="1:26" s="24" customFormat="1" hidden="1" outlineLevel="2" x14ac:dyDescent="0.25">
      <c r="A70" s="29"/>
      <c r="B70" s="11" t="str">
        <f>CONCATENATE("          ", "6375", " - ", "OUTSIDE REPAIRS &amp; MAINTENANCE")</f>
        <v xml:space="preserve">          6375 - OUTSIDE REPAIRS &amp; MAINTENANCE</v>
      </c>
      <c r="C70" s="11"/>
      <c r="D70" s="7">
        <v>90</v>
      </c>
      <c r="E70" s="2"/>
      <c r="F70" s="6">
        <f t="shared" si="40"/>
        <v>0.10922330097087378</v>
      </c>
      <c r="G70" s="2"/>
      <c r="H70" s="7">
        <v>1230.01</v>
      </c>
      <c r="I70" s="2"/>
      <c r="J70" s="6">
        <f t="shared" si="41"/>
        <v>9.5558240487215642E-3</v>
      </c>
      <c r="K70" s="2"/>
      <c r="L70" s="7">
        <f t="shared" si="42"/>
        <v>-1140.01</v>
      </c>
      <c r="M70" s="2"/>
      <c r="N70" s="6">
        <f t="shared" si="43"/>
        <v>-0.92682986317184413</v>
      </c>
      <c r="O70" s="11"/>
      <c r="P70" s="7">
        <v>204</v>
      </c>
      <c r="Q70" s="2"/>
      <c r="R70" s="6">
        <f t="shared" si="44"/>
        <v>0.24757281553398058</v>
      </c>
      <c r="S70" s="2"/>
      <c r="T70" s="7">
        <v>2992.8</v>
      </c>
      <c r="U70" s="2"/>
      <c r="V70" s="6">
        <f t="shared" si="45"/>
        <v>1.5957914785545528E-2</v>
      </c>
      <c r="W70" s="2"/>
      <c r="X70" s="7">
        <f t="shared" si="46"/>
        <v>-2788.8</v>
      </c>
      <c r="Y70" s="2"/>
      <c r="Z70" s="6">
        <f t="shared" si="47"/>
        <v>-0.93183640737770645</v>
      </c>
    </row>
    <row r="71" spans="1:26" s="28" customFormat="1" outlineLevel="1" collapsed="1" x14ac:dyDescent="0.25">
      <c r="A71" s="27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SUM(OSRRefD22_14x_0)</f>
        <v>-769.16</v>
      </c>
      <c r="E71" s="1"/>
      <c r="F71" s="5">
        <f t="shared" ref="F71:F75" si="48">IF(D$12=0,0,D71/D$12)</f>
        <v>-0.93344660194174756</v>
      </c>
      <c r="G71" s="1"/>
      <c r="H71" s="1">
        <f>SUM(OSRRefH22_14x_0)</f>
        <v>2000.58</v>
      </c>
      <c r="I71" s="1"/>
      <c r="J71" s="5">
        <f t="shared" ref="J71:J75" si="49">IF(H$12=0,0,H71/H$12)</f>
        <v>1.5542304920603399E-2</v>
      </c>
      <c r="K71" s="1"/>
      <c r="L71" s="1">
        <f t="shared" ref="L71:L75" si="50">+D71-H71</f>
        <v>-2769.74</v>
      </c>
      <c r="M71" s="1"/>
      <c r="N71" s="5">
        <f t="shared" ref="N71:N75" si="51">IF(H71=0,0,L71/H71)</f>
        <v>-1.3844685041338012</v>
      </c>
      <c r="O71" s="14"/>
      <c r="P71" s="1">
        <f>SUM(OSRRefP22_14x_0)</f>
        <v>-1573.76</v>
      </c>
      <c r="Q71" s="1"/>
      <c r="R71" s="5">
        <f t="shared" ref="R71:R75" si="52">IF(P$12=0,0,P71/P$12)</f>
        <v>-1.9099029126213591</v>
      </c>
      <c r="S71" s="1"/>
      <c r="T71" s="1">
        <f>SUM(OSRRefT22_14x_0)</f>
        <v>3453.02</v>
      </c>
      <c r="U71" s="1"/>
      <c r="V71" s="5">
        <f t="shared" ref="V71:V75" si="53">IF(T$12=0,0,T71/T$12)</f>
        <v>1.841185475567509E-2</v>
      </c>
      <c r="W71" s="1"/>
      <c r="X71" s="1">
        <f t="shared" ref="X71:X75" si="54">+P71-T71</f>
        <v>-5026.78</v>
      </c>
      <c r="Y71" s="1"/>
      <c r="Z71" s="5">
        <f t="shared" ref="Z71:Z75" si="55">IF(T71=0,0,X71/T71)</f>
        <v>-1.455763360768255</v>
      </c>
    </row>
    <row r="72" spans="1:26" s="24" customFormat="1" hidden="1" outlineLevel="2" x14ac:dyDescent="0.25">
      <c r="A72" s="29"/>
      <c r="B72" s="11" t="str">
        <f>CONCATENATE("          ", "6282", " - ", "JANITORIAL/EXTERMINATOR EXPENS")</f>
        <v xml:space="preserve">          6282 - JANITORIAL/EXTERMINATOR EXPENS</v>
      </c>
      <c r="C72" s="11"/>
      <c r="D72" s="7">
        <v>-769.16</v>
      </c>
      <c r="E72" s="2"/>
      <c r="F72" s="6">
        <f t="shared" si="48"/>
        <v>-0.93344660194174756</v>
      </c>
      <c r="G72" s="2"/>
      <c r="H72" s="7">
        <v>1046.83</v>
      </c>
      <c r="I72" s="2"/>
      <c r="J72" s="6">
        <f t="shared" si="49"/>
        <v>8.1327170420754259E-3</v>
      </c>
      <c r="K72" s="2"/>
      <c r="L72" s="7">
        <f t="shared" si="50"/>
        <v>-1815.9899999999998</v>
      </c>
      <c r="M72" s="2"/>
      <c r="N72" s="6">
        <f t="shared" si="51"/>
        <v>-1.7347515833516425</v>
      </c>
      <c r="O72" s="11"/>
      <c r="P72" s="7">
        <v>-769.16</v>
      </c>
      <c r="Q72" s="2"/>
      <c r="R72" s="6">
        <f t="shared" si="52"/>
        <v>-0.93344660194174756</v>
      </c>
      <c r="S72" s="2"/>
      <c r="T72" s="7">
        <v>1648.92</v>
      </c>
      <c r="U72" s="2"/>
      <c r="V72" s="6">
        <f t="shared" si="53"/>
        <v>8.7922095857330025E-3</v>
      </c>
      <c r="W72" s="2"/>
      <c r="X72" s="7">
        <f t="shared" si="54"/>
        <v>-2418.08</v>
      </c>
      <c r="Y72" s="2"/>
      <c r="Z72" s="6">
        <f t="shared" si="55"/>
        <v>-1.466462896926473</v>
      </c>
    </row>
    <row r="73" spans="1:26" s="24" customFormat="1" hidden="1" outlineLevel="2" x14ac:dyDescent="0.25">
      <c r="A73" s="29"/>
      <c r="B73" s="11" t="str">
        <f>CONCATENATE("          ", "6284", " - ", "TRASH REMOVAL EXPENSE")</f>
        <v xml:space="preserve">          6284 - TRASH REMOVAL EXPENSE</v>
      </c>
      <c r="C73" s="11"/>
      <c r="D73" s="7"/>
      <c r="E73" s="2"/>
      <c r="F73" s="6">
        <f t="shared" si="48"/>
        <v>0</v>
      </c>
      <c r="G73" s="2"/>
      <c r="H73" s="7"/>
      <c r="I73" s="2"/>
      <c r="J73" s="6">
        <f t="shared" si="49"/>
        <v>0</v>
      </c>
      <c r="K73" s="2"/>
      <c r="L73" s="7">
        <f t="shared" si="50"/>
        <v>0</v>
      </c>
      <c r="M73" s="2"/>
      <c r="N73" s="6">
        <f t="shared" si="51"/>
        <v>0</v>
      </c>
      <c r="O73" s="11"/>
      <c r="P73" s="7"/>
      <c r="Q73" s="2"/>
      <c r="R73" s="6">
        <f t="shared" si="52"/>
        <v>0</v>
      </c>
      <c r="S73" s="2"/>
      <c r="T73" s="7">
        <v>237</v>
      </c>
      <c r="U73" s="2"/>
      <c r="V73" s="6">
        <f t="shared" si="53"/>
        <v>1.2637081676604817E-3</v>
      </c>
      <c r="W73" s="2"/>
      <c r="X73" s="7">
        <f t="shared" si="54"/>
        <v>-237</v>
      </c>
      <c r="Y73" s="2"/>
      <c r="Z73" s="6">
        <f t="shared" si="55"/>
        <v>-1</v>
      </c>
    </row>
    <row r="74" spans="1:26" s="24" customFormat="1" hidden="1" outlineLevel="2" x14ac:dyDescent="0.25">
      <c r="A74" s="29"/>
      <c r="B74" s="11" t="str">
        <f>CONCATENATE("          ", "6285", " - ", "JANITORIAL SERVICES")</f>
        <v xml:space="preserve">          6285 - JANITORIAL SERVICES</v>
      </c>
      <c r="C74" s="11"/>
      <c r="D74" s="7"/>
      <c r="E74" s="2"/>
      <c r="F74" s="6">
        <f t="shared" si="48"/>
        <v>0</v>
      </c>
      <c r="G74" s="2"/>
      <c r="H74" s="7">
        <v>125.23</v>
      </c>
      <c r="I74" s="2"/>
      <c r="J74" s="6">
        <f t="shared" si="49"/>
        <v>9.7289928181185645E-4</v>
      </c>
      <c r="K74" s="2"/>
      <c r="L74" s="7">
        <f t="shared" si="50"/>
        <v>-125.23</v>
      </c>
      <c r="M74" s="2"/>
      <c r="N74" s="6">
        <f t="shared" si="51"/>
        <v>-1</v>
      </c>
      <c r="O74" s="11"/>
      <c r="P74" s="7">
        <v>-804.6</v>
      </c>
      <c r="Q74" s="2"/>
      <c r="R74" s="6">
        <f t="shared" si="52"/>
        <v>-0.97645631067961169</v>
      </c>
      <c r="S74" s="2"/>
      <c r="T74" s="7">
        <v>147.85</v>
      </c>
      <c r="U74" s="2"/>
      <c r="V74" s="6">
        <f t="shared" si="53"/>
        <v>7.8835127674515702E-4</v>
      </c>
      <c r="W74" s="2"/>
      <c r="X74" s="7">
        <f t="shared" si="54"/>
        <v>-952.45</v>
      </c>
      <c r="Y74" s="2"/>
      <c r="Z74" s="6">
        <f t="shared" si="55"/>
        <v>-6.4420020290835316</v>
      </c>
    </row>
    <row r="75" spans="1:26" s="24" customFormat="1" hidden="1" outlineLevel="2" x14ac:dyDescent="0.25">
      <c r="A75" s="29"/>
      <c r="B75" s="11" t="str">
        <f>CONCATENATE("          ", "6286", " - ", "LAUNDRY EXPENSE")</f>
        <v xml:space="preserve">          6286 - LAUNDRY EXPENSE</v>
      </c>
      <c r="C75" s="11"/>
      <c r="D75" s="7"/>
      <c r="E75" s="2"/>
      <c r="F75" s="6">
        <f t="shared" si="48"/>
        <v>0</v>
      </c>
      <c r="G75" s="2"/>
      <c r="H75" s="7">
        <v>828.52</v>
      </c>
      <c r="I75" s="2"/>
      <c r="J75" s="6">
        <f t="shared" si="49"/>
        <v>6.4366885967161161E-3</v>
      </c>
      <c r="K75" s="2"/>
      <c r="L75" s="7">
        <f t="shared" si="50"/>
        <v>-828.52</v>
      </c>
      <c r="M75" s="2"/>
      <c r="N75" s="6">
        <f t="shared" si="51"/>
        <v>-1</v>
      </c>
      <c r="O75" s="11"/>
      <c r="P75" s="7"/>
      <c r="Q75" s="2"/>
      <c r="R75" s="6">
        <f t="shared" si="52"/>
        <v>0</v>
      </c>
      <c r="S75" s="2"/>
      <c r="T75" s="7">
        <v>1419.25</v>
      </c>
      <c r="U75" s="2"/>
      <c r="V75" s="6">
        <f t="shared" si="53"/>
        <v>7.5675857255364503E-3</v>
      </c>
      <c r="W75" s="2"/>
      <c r="X75" s="7">
        <f t="shared" si="54"/>
        <v>-1419.25</v>
      </c>
      <c r="Y75" s="2"/>
      <c r="Z75" s="6">
        <f t="shared" si="55"/>
        <v>-1</v>
      </c>
    </row>
    <row r="76" spans="1:26" s="28" customFormat="1" outlineLevel="1" collapsed="1" x14ac:dyDescent="0.25">
      <c r="A76" s="27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SUM(OSRRefD22_15x_0)</f>
        <v>0</v>
      </c>
      <c r="E76" s="1"/>
      <c r="F76" s="5">
        <f t="shared" ref="F76:F84" si="56">IF(D$12=0,0,D76/D$12)</f>
        <v>0</v>
      </c>
      <c r="G76" s="1"/>
      <c r="H76" s="1">
        <f>SUM(OSRRefH22_15x_0)</f>
        <v>176.4</v>
      </c>
      <c r="I76" s="1"/>
      <c r="J76" s="5">
        <f t="shared" ref="J76:J84" si="57">IF(H$12=0,0,H76/H$12)</f>
        <v>1.370433868175449E-3</v>
      </c>
      <c r="K76" s="1"/>
      <c r="L76" s="1">
        <f t="shared" ref="L76:L84" si="58">+D76-H76</f>
        <v>-176.4</v>
      </c>
      <c r="M76" s="1"/>
      <c r="N76" s="5">
        <f t="shared" ref="N76:N84" si="59">IF(H76=0,0,L76/H76)</f>
        <v>-1</v>
      </c>
      <c r="O76" s="14"/>
      <c r="P76" s="1">
        <f>SUM(OSRRefP22_15x_0)</f>
        <v>0</v>
      </c>
      <c r="Q76" s="1"/>
      <c r="R76" s="5">
        <f t="shared" ref="R76:R84" si="60">IF(P$12=0,0,P76/P$12)</f>
        <v>0</v>
      </c>
      <c r="S76" s="1"/>
      <c r="T76" s="1">
        <f>SUM(OSRRefT22_15x_0)</f>
        <v>352.8</v>
      </c>
      <c r="U76" s="1"/>
      <c r="V76" s="5">
        <f t="shared" ref="V76:V84" si="61">IF(T$12=0,0,T76/T$12)</f>
        <v>1.881165576162945E-3</v>
      </c>
      <c r="W76" s="1"/>
      <c r="X76" s="1">
        <f t="shared" ref="X76:X84" si="62">+P76-T76</f>
        <v>-352.8</v>
      </c>
      <c r="Y76" s="1"/>
      <c r="Z76" s="5">
        <f t="shared" ref="Z76:Z84" si="63">IF(T76=0,0,X76/T76)</f>
        <v>-1</v>
      </c>
    </row>
    <row r="77" spans="1:26" s="24" customFormat="1" hidden="1" outlineLevel="2" x14ac:dyDescent="0.25">
      <c r="A77" s="29"/>
      <c r="B77" s="11" t="str">
        <f>CONCATENATE("          ", "6275", " - ", "SUBSCRIPTIONS")</f>
        <v xml:space="preserve">          6275 - SUBSCRIPTIONS</v>
      </c>
      <c r="C77" s="11"/>
      <c r="D77" s="7"/>
      <c r="E77" s="2"/>
      <c r="F77" s="6">
        <f t="shared" si="56"/>
        <v>0</v>
      </c>
      <c r="G77" s="2"/>
      <c r="H77" s="7">
        <v>176.4</v>
      </c>
      <c r="I77" s="2"/>
      <c r="J77" s="6">
        <f t="shared" si="57"/>
        <v>1.370433868175449E-3</v>
      </c>
      <c r="K77" s="2"/>
      <c r="L77" s="7">
        <f t="shared" si="58"/>
        <v>-176.4</v>
      </c>
      <c r="M77" s="2"/>
      <c r="N77" s="6">
        <f t="shared" si="59"/>
        <v>-1</v>
      </c>
      <c r="O77" s="11"/>
      <c r="P77" s="7"/>
      <c r="Q77" s="2"/>
      <c r="R77" s="6">
        <f t="shared" si="60"/>
        <v>0</v>
      </c>
      <c r="S77" s="2"/>
      <c r="T77" s="7">
        <v>352.8</v>
      </c>
      <c r="U77" s="2"/>
      <c r="V77" s="6">
        <f t="shared" si="61"/>
        <v>1.881165576162945E-3</v>
      </c>
      <c r="W77" s="2"/>
      <c r="X77" s="7">
        <f t="shared" si="62"/>
        <v>-352.8</v>
      </c>
      <c r="Y77" s="2"/>
      <c r="Z77" s="6">
        <f t="shared" si="63"/>
        <v>-1</v>
      </c>
    </row>
    <row r="78" spans="1:26" s="28" customFormat="1" outlineLevel="1" collapsed="1" x14ac:dyDescent="0.25">
      <c r="A78" s="27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SUM(OSRRefD22_16x_0)</f>
        <v>121.6</v>
      </c>
      <c r="E78" s="1"/>
      <c r="F78" s="5">
        <f t="shared" si="56"/>
        <v>0.14757281553398058</v>
      </c>
      <c r="G78" s="1"/>
      <c r="H78" s="1">
        <f>SUM(OSRRefH22_16x_0)</f>
        <v>10151.1</v>
      </c>
      <c r="I78" s="1"/>
      <c r="J78" s="5">
        <f t="shared" si="57"/>
        <v>7.8862875505871885E-2</v>
      </c>
      <c r="K78" s="1"/>
      <c r="L78" s="1">
        <f t="shared" si="58"/>
        <v>-10029.5</v>
      </c>
      <c r="M78" s="1"/>
      <c r="N78" s="5">
        <f t="shared" si="59"/>
        <v>-0.98802100264995907</v>
      </c>
      <c r="O78" s="14"/>
      <c r="P78" s="1">
        <f>SUM(OSRRefP22_16x_0)</f>
        <v>328.87</v>
      </c>
      <c r="Q78" s="1"/>
      <c r="R78" s="5">
        <f t="shared" si="60"/>
        <v>0.39911407766990292</v>
      </c>
      <c r="S78" s="1"/>
      <c r="T78" s="1">
        <f>SUM(OSRRefT22_16x_0)</f>
        <v>17553.25</v>
      </c>
      <c r="U78" s="1"/>
      <c r="V78" s="5">
        <f t="shared" si="61"/>
        <v>9.3595718961967722E-2</v>
      </c>
      <c r="W78" s="1"/>
      <c r="X78" s="1">
        <f t="shared" si="62"/>
        <v>-17224.38</v>
      </c>
      <c r="Y78" s="1"/>
      <c r="Z78" s="5">
        <f t="shared" si="63"/>
        <v>-0.98126443820944842</v>
      </c>
    </row>
    <row r="79" spans="1:26" s="24" customFormat="1" hidden="1" outlineLevel="2" x14ac:dyDescent="0.25">
      <c r="A79" s="29"/>
      <c r="B79" s="11" t="str">
        <f>CONCATENATE("          ", "6234", " - ", "EXPENDABLE SUPPLIES &amp; EQUIPMEN")</f>
        <v xml:space="preserve">          6234 - EXPENDABLE SUPPLIES &amp; EQUIPMEN</v>
      </c>
      <c r="C79" s="11"/>
      <c r="D79" s="7"/>
      <c r="E79" s="2"/>
      <c r="F79" s="6">
        <f t="shared" si="56"/>
        <v>0</v>
      </c>
      <c r="G79" s="2"/>
      <c r="H79" s="7">
        <v>1064.24</v>
      </c>
      <c r="I79" s="2"/>
      <c r="J79" s="6">
        <f t="shared" si="57"/>
        <v>8.2679735820126964E-3</v>
      </c>
      <c r="K79" s="2"/>
      <c r="L79" s="7">
        <f t="shared" si="58"/>
        <v>-1064.24</v>
      </c>
      <c r="M79" s="2"/>
      <c r="N79" s="6">
        <f t="shared" si="59"/>
        <v>-1</v>
      </c>
      <c r="O79" s="11"/>
      <c r="P79" s="7"/>
      <c r="Q79" s="2"/>
      <c r="R79" s="6">
        <f t="shared" si="60"/>
        <v>0</v>
      </c>
      <c r="S79" s="2"/>
      <c r="T79" s="7">
        <v>1064.24</v>
      </c>
      <c r="U79" s="2"/>
      <c r="V79" s="6">
        <f t="shared" si="61"/>
        <v>5.6746362040126204E-3</v>
      </c>
      <c r="W79" s="2"/>
      <c r="X79" s="7">
        <f t="shared" si="62"/>
        <v>-1064.24</v>
      </c>
      <c r="Y79" s="2"/>
      <c r="Z79" s="6">
        <f t="shared" si="63"/>
        <v>-1</v>
      </c>
    </row>
    <row r="80" spans="1:26" s="24" customFormat="1" hidden="1" outlineLevel="2" x14ac:dyDescent="0.25">
      <c r="A80" s="29"/>
      <c r="B80" s="11" t="str">
        <f>CONCATENATE("          ", "6235", " - ", "COVID-19 EXPENSES")</f>
        <v xml:space="preserve">          6235 - COVID-19 EXPENSES</v>
      </c>
      <c r="C80" s="11"/>
      <c r="D80" s="7"/>
      <c r="E80" s="2"/>
      <c r="F80" s="6">
        <f t="shared" si="56"/>
        <v>0</v>
      </c>
      <c r="G80" s="2"/>
      <c r="H80" s="7"/>
      <c r="I80" s="2"/>
      <c r="J80" s="6">
        <f t="shared" si="57"/>
        <v>0</v>
      </c>
      <c r="K80" s="2"/>
      <c r="L80" s="7">
        <f t="shared" si="58"/>
        <v>0</v>
      </c>
      <c r="M80" s="2"/>
      <c r="N80" s="6">
        <f t="shared" si="59"/>
        <v>0</v>
      </c>
      <c r="O80" s="11"/>
      <c r="P80" s="7">
        <v>207.27</v>
      </c>
      <c r="Q80" s="2"/>
      <c r="R80" s="6">
        <f t="shared" si="60"/>
        <v>0.25154126213592232</v>
      </c>
      <c r="S80" s="2"/>
      <c r="T80" s="7"/>
      <c r="U80" s="2"/>
      <c r="V80" s="6">
        <f t="shared" si="61"/>
        <v>0</v>
      </c>
      <c r="W80" s="2"/>
      <c r="X80" s="7">
        <f t="shared" si="62"/>
        <v>207.27</v>
      </c>
      <c r="Y80" s="2"/>
      <c r="Z80" s="6">
        <f t="shared" si="63"/>
        <v>0</v>
      </c>
    </row>
    <row r="81" spans="1:26" s="24" customFormat="1" hidden="1" outlineLevel="2" x14ac:dyDescent="0.25">
      <c r="A81" s="29"/>
      <c r="B81" s="11" t="str">
        <f>CONCATENATE("          ", "6237", " - ", "JANITORIAL SUPPLIES")</f>
        <v xml:space="preserve">          6237 - JANITORIAL SUPPLIES</v>
      </c>
      <c r="C81" s="11"/>
      <c r="D81" s="7"/>
      <c r="E81" s="2"/>
      <c r="F81" s="6">
        <f t="shared" si="56"/>
        <v>0</v>
      </c>
      <c r="G81" s="2"/>
      <c r="H81" s="7">
        <v>636.62</v>
      </c>
      <c r="I81" s="2"/>
      <c r="J81" s="6">
        <f t="shared" si="57"/>
        <v>4.9458367866091514E-3</v>
      </c>
      <c r="K81" s="2"/>
      <c r="L81" s="7">
        <f t="shared" si="58"/>
        <v>-636.62</v>
      </c>
      <c r="M81" s="2"/>
      <c r="N81" s="6">
        <f t="shared" si="59"/>
        <v>-1</v>
      </c>
      <c r="O81" s="11"/>
      <c r="P81" s="7"/>
      <c r="Q81" s="2"/>
      <c r="R81" s="6">
        <f t="shared" si="60"/>
        <v>0</v>
      </c>
      <c r="S81" s="2"/>
      <c r="T81" s="7">
        <v>1013.94</v>
      </c>
      <c r="U81" s="2"/>
      <c r="V81" s="6">
        <f t="shared" si="61"/>
        <v>5.4064314747580963E-3</v>
      </c>
      <c r="W81" s="2"/>
      <c r="X81" s="7">
        <f t="shared" si="62"/>
        <v>-1013.94</v>
      </c>
      <c r="Y81" s="2"/>
      <c r="Z81" s="6">
        <f t="shared" si="63"/>
        <v>-1</v>
      </c>
    </row>
    <row r="82" spans="1:26" s="24" customFormat="1" hidden="1" outlineLevel="2" x14ac:dyDescent="0.25">
      <c r="A82" s="29"/>
      <c r="B82" s="11" t="str">
        <f>CONCATENATE("          ", "6241", " - ", "OFFICE EXPENSE")</f>
        <v xml:space="preserve">          6241 - OFFICE EXPENSE</v>
      </c>
      <c r="C82" s="11"/>
      <c r="D82" s="7">
        <v>41.32</v>
      </c>
      <c r="E82" s="2"/>
      <c r="F82" s="6">
        <f t="shared" si="56"/>
        <v>5.0145631067961167E-2</v>
      </c>
      <c r="G82" s="2"/>
      <c r="H82" s="7">
        <v>456.83</v>
      </c>
      <c r="I82" s="2"/>
      <c r="J82" s="6">
        <f t="shared" si="57"/>
        <v>3.5490663491983578E-3</v>
      </c>
      <c r="K82" s="2"/>
      <c r="L82" s="7">
        <f t="shared" si="58"/>
        <v>-415.51</v>
      </c>
      <c r="M82" s="2"/>
      <c r="N82" s="6">
        <f t="shared" si="59"/>
        <v>-0.9095505986909791</v>
      </c>
      <c r="O82" s="11"/>
      <c r="P82" s="7">
        <v>41.32</v>
      </c>
      <c r="Q82" s="2"/>
      <c r="R82" s="6">
        <f t="shared" si="60"/>
        <v>5.0145631067961167E-2</v>
      </c>
      <c r="S82" s="2"/>
      <c r="T82" s="7">
        <v>730.57</v>
      </c>
      <c r="U82" s="2"/>
      <c r="V82" s="6">
        <f t="shared" si="61"/>
        <v>3.8954737385979671E-3</v>
      </c>
      <c r="W82" s="2"/>
      <c r="X82" s="7">
        <f t="shared" si="62"/>
        <v>-689.25</v>
      </c>
      <c r="Y82" s="2"/>
      <c r="Z82" s="6">
        <f t="shared" si="63"/>
        <v>-0.94344142245096285</v>
      </c>
    </row>
    <row r="83" spans="1:26" s="24" customFormat="1" hidden="1" outlineLevel="2" x14ac:dyDescent="0.25">
      <c r="A83" s="29"/>
      <c r="B83" s="11" t="str">
        <f>CONCATENATE("          ", "6243", " - ", "PAPER SUPPLIES")</f>
        <v xml:space="preserve">          6243 - PAPER SUPPLIES</v>
      </c>
      <c r="C83" s="11"/>
      <c r="D83" s="7"/>
      <c r="E83" s="2"/>
      <c r="F83" s="6">
        <f t="shared" si="56"/>
        <v>0</v>
      </c>
      <c r="G83" s="2"/>
      <c r="H83" s="7">
        <v>601.66999999999996</v>
      </c>
      <c r="I83" s="2"/>
      <c r="J83" s="6">
        <f t="shared" si="57"/>
        <v>4.6743137498022804E-3</v>
      </c>
      <c r="K83" s="2"/>
      <c r="L83" s="7">
        <f t="shared" si="58"/>
        <v>-601.66999999999996</v>
      </c>
      <c r="M83" s="2"/>
      <c r="N83" s="6">
        <f t="shared" si="59"/>
        <v>-1</v>
      </c>
      <c r="O83" s="11"/>
      <c r="P83" s="7"/>
      <c r="Q83" s="2"/>
      <c r="R83" s="6">
        <f t="shared" si="60"/>
        <v>0</v>
      </c>
      <c r="S83" s="2"/>
      <c r="T83" s="7">
        <v>601.66999999999996</v>
      </c>
      <c r="U83" s="2"/>
      <c r="V83" s="6">
        <f t="shared" si="61"/>
        <v>3.2081657942459154E-3</v>
      </c>
      <c r="W83" s="2"/>
      <c r="X83" s="7">
        <f t="shared" si="62"/>
        <v>-601.66999999999996</v>
      </c>
      <c r="Y83" s="2"/>
      <c r="Z83" s="6">
        <f t="shared" si="63"/>
        <v>-1</v>
      </c>
    </row>
    <row r="84" spans="1:26" s="24" customFormat="1" hidden="1" outlineLevel="2" x14ac:dyDescent="0.25">
      <c r="A84" s="29"/>
      <c r="B84" s="11" t="str">
        <f>CONCATENATE("          ", "6247", " - ", "STORE SUPPLIES")</f>
        <v xml:space="preserve">          6247 - STORE SUPPLIES</v>
      </c>
      <c r="C84" s="11"/>
      <c r="D84" s="7">
        <v>80.28</v>
      </c>
      <c r="E84" s="2"/>
      <c r="F84" s="6">
        <f t="shared" si="56"/>
        <v>9.7427184466019418E-2</v>
      </c>
      <c r="G84" s="2"/>
      <c r="H84" s="7">
        <v>7391.74</v>
      </c>
      <c r="I84" s="2"/>
      <c r="J84" s="6">
        <f t="shared" si="57"/>
        <v>5.7425685038249394E-2</v>
      </c>
      <c r="K84" s="2"/>
      <c r="L84" s="7">
        <f t="shared" si="58"/>
        <v>-7311.46</v>
      </c>
      <c r="M84" s="2"/>
      <c r="N84" s="6">
        <f t="shared" si="59"/>
        <v>-0.98913922838195067</v>
      </c>
      <c r="O84" s="11"/>
      <c r="P84" s="7">
        <v>80.28</v>
      </c>
      <c r="Q84" s="2"/>
      <c r="R84" s="6">
        <f t="shared" si="60"/>
        <v>9.7427184466019418E-2</v>
      </c>
      <c r="S84" s="2"/>
      <c r="T84" s="7">
        <v>14142.83</v>
      </c>
      <c r="U84" s="2"/>
      <c r="V84" s="6">
        <f t="shared" si="61"/>
        <v>7.5411011750353127E-2</v>
      </c>
      <c r="W84" s="2"/>
      <c r="X84" s="7">
        <f t="shared" si="62"/>
        <v>-14062.55</v>
      </c>
      <c r="Y84" s="2"/>
      <c r="Z84" s="6">
        <f t="shared" si="63"/>
        <v>-0.99432362546958419</v>
      </c>
    </row>
    <row r="85" spans="1:26" s="28" customFormat="1" outlineLevel="1" collapsed="1" x14ac:dyDescent="0.25">
      <c r="A85" s="27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SUM(OSRRefD22_17x_0)</f>
        <v>388.56</v>
      </c>
      <c r="E85" s="1"/>
      <c r="F85" s="5">
        <f t="shared" ref="F85:F88" si="64">IF(D$12=0,0,D85/D$12)</f>
        <v>0.47155339805825242</v>
      </c>
      <c r="G85" s="1"/>
      <c r="H85" s="1">
        <f>SUM(OSRRefH22_17x_0)</f>
        <v>344.76</v>
      </c>
      <c r="I85" s="1"/>
      <c r="J85" s="5">
        <f t="shared" ref="J85:J88" si="65">IF(H$12=0,0,H85/H$12)</f>
        <v>2.6784057845360984E-3</v>
      </c>
      <c r="K85" s="1"/>
      <c r="L85" s="1">
        <f t="shared" ref="L85:L88" si="66">+D85-H85</f>
        <v>43.800000000000011</v>
      </c>
      <c r="M85" s="1"/>
      <c r="N85" s="5">
        <f t="shared" ref="N85:N88" si="67">IF(H85=0,0,L85/H85)</f>
        <v>0.12704490080055694</v>
      </c>
      <c r="O85" s="14"/>
      <c r="P85" s="1">
        <f>SUM(OSRRefP22_17x_0)</f>
        <v>777.37</v>
      </c>
      <c r="Q85" s="1"/>
      <c r="R85" s="5">
        <f t="shared" ref="R85:R88" si="68">IF(P$12=0,0,P85/P$12)</f>
        <v>0.94341019417475724</v>
      </c>
      <c r="S85" s="1"/>
      <c r="T85" s="1">
        <f>SUM(OSRRefT22_17x_0)</f>
        <v>581.57000000000005</v>
      </c>
      <c r="U85" s="1"/>
      <c r="V85" s="5">
        <f t="shared" ref="V85:V88" si="69">IF(T$12=0,0,T85/T$12)</f>
        <v>3.1009905445835715E-3</v>
      </c>
      <c r="W85" s="1"/>
      <c r="X85" s="1">
        <f t="shared" ref="X85:X88" si="70">+P85-T85</f>
        <v>195.79999999999995</v>
      </c>
      <c r="Y85" s="1"/>
      <c r="Z85" s="5">
        <f t="shared" ref="Z85:Z88" si="71">IF(T85=0,0,X85/T85)</f>
        <v>0.33667486287119336</v>
      </c>
    </row>
    <row r="86" spans="1:26" s="24" customFormat="1" hidden="1" outlineLevel="2" x14ac:dyDescent="0.25">
      <c r="A86" s="29"/>
      <c r="B86" s="11" t="str">
        <f>CONCATENATE("          ", "6309", " - ", "TELEPHONE")</f>
        <v xml:space="preserve">          6309 - TELEPHONE</v>
      </c>
      <c r="C86" s="11"/>
      <c r="D86" s="7">
        <v>388.56</v>
      </c>
      <c r="E86" s="2"/>
      <c r="F86" s="6">
        <f t="shared" si="64"/>
        <v>0.47155339805825242</v>
      </c>
      <c r="G86" s="2"/>
      <c r="H86" s="7">
        <v>344.76</v>
      </c>
      <c r="I86" s="2"/>
      <c r="J86" s="6">
        <f t="shared" si="65"/>
        <v>2.6784057845360984E-3</v>
      </c>
      <c r="K86" s="2"/>
      <c r="L86" s="7">
        <f t="shared" si="66"/>
        <v>43.800000000000011</v>
      </c>
      <c r="M86" s="2"/>
      <c r="N86" s="6">
        <f t="shared" si="67"/>
        <v>0.12704490080055694</v>
      </c>
      <c r="O86" s="11"/>
      <c r="P86" s="7">
        <v>777.37</v>
      </c>
      <c r="Q86" s="2"/>
      <c r="R86" s="6">
        <f t="shared" si="68"/>
        <v>0.94341019417475724</v>
      </c>
      <c r="S86" s="2"/>
      <c r="T86" s="7">
        <v>581.57000000000005</v>
      </c>
      <c r="U86" s="2"/>
      <c r="V86" s="6">
        <f t="shared" si="69"/>
        <v>3.1009905445835715E-3</v>
      </c>
      <c r="W86" s="2"/>
      <c r="X86" s="7">
        <f t="shared" si="70"/>
        <v>195.79999999999995</v>
      </c>
      <c r="Y86" s="2"/>
      <c r="Z86" s="6">
        <f t="shared" si="71"/>
        <v>0.33667486287119336</v>
      </c>
    </row>
    <row r="87" spans="1:26" s="28" customFormat="1" outlineLevel="1" collapsed="1" x14ac:dyDescent="0.25">
      <c r="A87" s="27"/>
      <c r="B87" s="14" t="str">
        <f>CONCATENATE("     ","Utilities                                         ")</f>
        <v xml:space="preserve">     Utilities                                         </v>
      </c>
      <c r="C87" s="14"/>
      <c r="D87" s="1">
        <f>SUM(OSRRefD22_18x_0)</f>
        <v>50</v>
      </c>
      <c r="E87" s="1"/>
      <c r="F87" s="5">
        <f t="shared" si="64"/>
        <v>6.0679611650485438E-2</v>
      </c>
      <c r="G87" s="1"/>
      <c r="H87" s="1">
        <f>SUM(OSRRefH22_18x_0)</f>
        <v>-902.88</v>
      </c>
      <c r="I87" s="1"/>
      <c r="J87" s="5">
        <f t="shared" si="65"/>
        <v>-7.014383962008216E-3</v>
      </c>
      <c r="K87" s="1"/>
      <c r="L87" s="1">
        <f t="shared" si="66"/>
        <v>952.88</v>
      </c>
      <c r="M87" s="1"/>
      <c r="N87" s="5">
        <f t="shared" si="67"/>
        <v>-1.0553783448520291</v>
      </c>
      <c r="O87" s="14"/>
      <c r="P87" s="1">
        <f>SUM(OSRRefP22_18x_0)</f>
        <v>100</v>
      </c>
      <c r="Q87" s="1"/>
      <c r="R87" s="5">
        <f t="shared" si="68"/>
        <v>0.12135922330097088</v>
      </c>
      <c r="S87" s="1"/>
      <c r="T87" s="1">
        <f>SUM(OSRRefT22_18x_0)</f>
        <v>56.12</v>
      </c>
      <c r="U87" s="1"/>
      <c r="V87" s="5">
        <f t="shared" si="69"/>
        <v>2.9923756273884483E-4</v>
      </c>
      <c r="W87" s="1"/>
      <c r="X87" s="1">
        <f t="shared" si="70"/>
        <v>43.88</v>
      </c>
      <c r="Y87" s="1"/>
      <c r="Z87" s="5">
        <f t="shared" si="71"/>
        <v>0.78189593727726314</v>
      </c>
    </row>
    <row r="88" spans="1:26" s="24" customFormat="1" hidden="1" outlineLevel="2" x14ac:dyDescent="0.25">
      <c r="A88" s="29"/>
      <c r="B88" s="11" t="str">
        <f>CONCATENATE("          ", "6274", " - ", "UTILITIES")</f>
        <v xml:space="preserve">          6274 - UTILITIES</v>
      </c>
      <c r="C88" s="11"/>
      <c r="D88" s="7">
        <v>50</v>
      </c>
      <c r="E88" s="2"/>
      <c r="F88" s="6">
        <f t="shared" si="64"/>
        <v>6.0679611650485438E-2</v>
      </c>
      <c r="G88" s="2"/>
      <c r="H88" s="7">
        <v>-902.88</v>
      </c>
      <c r="I88" s="2"/>
      <c r="J88" s="6">
        <f t="shared" si="65"/>
        <v>-7.014383962008216E-3</v>
      </c>
      <c r="K88" s="2"/>
      <c r="L88" s="7">
        <f t="shared" si="66"/>
        <v>952.88</v>
      </c>
      <c r="M88" s="2"/>
      <c r="N88" s="6">
        <f t="shared" si="67"/>
        <v>-1.0553783448520291</v>
      </c>
      <c r="O88" s="11"/>
      <c r="P88" s="7">
        <v>100</v>
      </c>
      <c r="Q88" s="2"/>
      <c r="R88" s="6">
        <f t="shared" si="68"/>
        <v>0.12135922330097088</v>
      </c>
      <c r="S88" s="2"/>
      <c r="T88" s="7">
        <v>56.12</v>
      </c>
      <c r="U88" s="2"/>
      <c r="V88" s="6">
        <f t="shared" si="69"/>
        <v>2.9923756273884483E-4</v>
      </c>
      <c r="W88" s="2"/>
      <c r="X88" s="7">
        <f t="shared" si="70"/>
        <v>43.88</v>
      </c>
      <c r="Y88" s="2"/>
      <c r="Z88" s="6">
        <f t="shared" si="71"/>
        <v>0.78189593727726314</v>
      </c>
    </row>
    <row r="89" spans="1:26" s="52" customFormat="1" x14ac:dyDescent="0.25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x14ac:dyDescent="0.25">
      <c r="A90" s="10"/>
      <c r="B90" s="25" t="s">
        <v>0</v>
      </c>
      <c r="C90" s="10"/>
      <c r="D90" s="4">
        <f>SUM(0)</f>
        <v>0</v>
      </c>
      <c r="E90" s="4"/>
      <c r="F90" s="12">
        <f>IF(D$12=0,0,D90/D$12)</f>
        <v>0</v>
      </c>
      <c r="G90" s="4"/>
      <c r="H90" s="4">
        <f>SUM(0)</f>
        <v>0</v>
      </c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>
        <f>SUM(0)</f>
        <v>0</v>
      </c>
      <c r="Q90" s="4"/>
      <c r="R90" s="12">
        <f>IF(P$12=0,0,P90/P$12)</f>
        <v>0</v>
      </c>
      <c r="S90" s="4"/>
      <c r="T90" s="4">
        <f>SUM(0)</f>
        <v>0</v>
      </c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25">
      <c r="A92" s="10"/>
      <c r="B92" s="26" t="s">
        <v>3</v>
      </c>
      <c r="C92" s="26"/>
      <c r="D92" s="22">
        <f>+D26-D28+D90</f>
        <v>-27111.89</v>
      </c>
      <c r="E92" s="13"/>
      <c r="F92" s="21">
        <f>IF(D$12=0,0,D92/D$12)</f>
        <v>-32.902779126213595</v>
      </c>
      <c r="G92" s="13"/>
      <c r="H92" s="22">
        <f>+H26-H28+H90</f>
        <v>-25225.909999999974</v>
      </c>
      <c r="I92" s="13"/>
      <c r="J92" s="21">
        <f>IF(H$12=0,0,H92/H$12)</f>
        <v>-0.19597755906771941</v>
      </c>
      <c r="K92" s="16"/>
      <c r="L92" s="22">
        <f>+D92-H92</f>
        <v>-1885.980000000025</v>
      </c>
      <c r="M92" s="16"/>
      <c r="N92" s="21">
        <f>IF(H92=0,0,L92/H92)</f>
        <v>7.4763606149392703E-2</v>
      </c>
      <c r="O92" s="25"/>
      <c r="P92" s="22">
        <f>+P26-P28+P90</f>
        <v>-62160.100000000006</v>
      </c>
      <c r="Q92" s="13"/>
      <c r="R92" s="21">
        <f>IF(P$12=0,0,P92/P$12)</f>
        <v>-75.4370145631068</v>
      </c>
      <c r="S92" s="13"/>
      <c r="T92" s="22">
        <f>+T26-T28+T90</f>
        <v>-76390.969999999972</v>
      </c>
      <c r="U92" s="13"/>
      <c r="V92" s="21">
        <f>IF(T$12=0,0,T92/T$12)</f>
        <v>-0.40732444187555605</v>
      </c>
      <c r="W92" s="16"/>
      <c r="X92" s="22">
        <f>+P92-T92</f>
        <v>14230.869999999966</v>
      </c>
      <c r="Y92" s="16"/>
      <c r="Z92" s="21">
        <f>IF(T92=0,0,X92/T92)</f>
        <v>-0.18628995023888256</v>
      </c>
    </row>
    <row r="93" spans="1:26" x14ac:dyDescent="0.25">
      <c r="A93" s="9"/>
      <c r="B93" s="10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x14ac:dyDescent="0.25">
      <c r="A94" s="51"/>
      <c r="B94" s="10" t="s">
        <v>13</v>
      </c>
      <c r="C94" s="10"/>
      <c r="D94" s="4">
        <v>139.12</v>
      </c>
      <c r="E94" s="4"/>
      <c r="F94" s="12">
        <f>IF(D$12=0,0,D94/D$12)</f>
        <v>0.16883495145631069</v>
      </c>
      <c r="G94" s="4"/>
      <c r="H94" s="4">
        <v>11151.8</v>
      </c>
      <c r="I94" s="4"/>
      <c r="J94" s="12">
        <f>IF(H$12=0,0,H94/H$12)</f>
        <v>8.6637213214960151E-2</v>
      </c>
      <c r="K94" s="4"/>
      <c r="L94" s="4">
        <f>+D94-H94</f>
        <v>-11012.679999999998</v>
      </c>
      <c r="M94" s="4"/>
      <c r="N94" s="12">
        <f>IF(H94=0,0,L94/H94)</f>
        <v>-0.98752488387524873</v>
      </c>
      <c r="O94" s="10"/>
      <c r="P94" s="4">
        <v>139.12</v>
      </c>
      <c r="Q94" s="4"/>
      <c r="R94" s="12">
        <f>IF(P$12=0,0,P94/P$12)</f>
        <v>0.16883495145631069</v>
      </c>
      <c r="S94" s="4"/>
      <c r="T94" s="4">
        <v>23383.230000000003</v>
      </c>
      <c r="U94" s="4"/>
      <c r="V94" s="12">
        <f>IF(T$12=0,0,T94/T$12)</f>
        <v>0.12468176682398148</v>
      </c>
      <c r="W94" s="4"/>
      <c r="X94" s="4">
        <f>+P94-T94</f>
        <v>-23244.110000000004</v>
      </c>
      <c r="Y94" s="4"/>
      <c r="Z94" s="12">
        <f>IF(T94=0,0,X94/T94)</f>
        <v>-0.99405043700121842</v>
      </c>
    </row>
    <row r="95" spans="1:26" x14ac:dyDescent="0.25">
      <c r="A95" s="9"/>
      <c r="B95" s="10"/>
      <c r="C95" s="10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O95" s="10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s="23" customFormat="1" ht="15.75" thickBot="1" x14ac:dyDescent="0.3">
      <c r="A96" s="10"/>
      <c r="B96" s="26" t="s">
        <v>4</v>
      </c>
      <c r="C96" s="26"/>
      <c r="D96" s="36">
        <f>+D92-D94</f>
        <v>-27251.01</v>
      </c>
      <c r="E96" s="13"/>
      <c r="F96" s="34">
        <f>IF(D$12=0,0,D96/D$12)</f>
        <v>-33.071614077669899</v>
      </c>
      <c r="G96" s="13"/>
      <c r="H96" s="36">
        <f>+H92-H94</f>
        <v>-36377.709999999977</v>
      </c>
      <c r="I96" s="13"/>
      <c r="J96" s="34">
        <f>IF(H$12=0,0,H96/H$12)</f>
        <v>-0.28261477228267962</v>
      </c>
      <c r="K96" s="16"/>
      <c r="L96" s="36">
        <f>D96-H96</f>
        <v>9126.6999999999789</v>
      </c>
      <c r="M96" s="16"/>
      <c r="N96" s="34">
        <f>IF(H96=0,0,L96/H96)</f>
        <v>-0.25088715040061577</v>
      </c>
      <c r="O96" s="25"/>
      <c r="P96" s="36">
        <f>+P92-P94</f>
        <v>-62299.220000000008</v>
      </c>
      <c r="Q96" s="13"/>
      <c r="R96" s="34">
        <f>IF(P$12=0,0,P96/P$12)</f>
        <v>-75.605849514563118</v>
      </c>
      <c r="S96" s="13"/>
      <c r="T96" s="36">
        <f>+T92-T94</f>
        <v>-99774.199999999983</v>
      </c>
      <c r="U96" s="13"/>
      <c r="V96" s="34">
        <f>IF(T$12=0,0,T96/T$12)</f>
        <v>-0.53200620869953763</v>
      </c>
      <c r="W96" s="16"/>
      <c r="X96" s="36">
        <f>P96-T96</f>
        <v>37474.979999999974</v>
      </c>
      <c r="Y96" s="16"/>
      <c r="Z96" s="34">
        <f>IF(T96=0,0,X96/T96)</f>
        <v>-0.37559790005833155</v>
      </c>
    </row>
    <row r="97" spans="1:26" ht="15.75" thickTop="1" x14ac:dyDescent="0.25">
      <c r="A97" s="9"/>
      <c r="B97" s="9"/>
      <c r="C97" s="9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x14ac:dyDescent="0.25">
      <c r="A98" s="9"/>
      <c r="B98" s="9"/>
      <c r="C98" s="9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.75" thickBot="1" x14ac:dyDescent="0.3">
      <c r="A99" s="10"/>
      <c r="B99" s="26" t="s">
        <v>5</v>
      </c>
      <c r="C99" s="26"/>
      <c r="D99" s="30">
        <f>SUM(D96:D98)</f>
        <v>-27251.01</v>
      </c>
      <c r="E99" s="13"/>
      <c r="F99" s="31">
        <f>IF(D$12=0,0,D99/D$12)</f>
        <v>-33.071614077669899</v>
      </c>
      <c r="G99" s="13"/>
      <c r="H99" s="30">
        <f>SUM(H96:H98)</f>
        <v>-36377.709999999977</v>
      </c>
      <c r="I99" s="13"/>
      <c r="J99" s="31">
        <f>IF(H$12=0,0,H99/H$12)</f>
        <v>-0.28261477228267962</v>
      </c>
      <c r="K99" s="16"/>
      <c r="L99" s="30">
        <f>+D99-H99</f>
        <v>9126.6999999999789</v>
      </c>
      <c r="M99" s="16"/>
      <c r="N99" s="31">
        <f>IF(H99=0,0,L99/H99)</f>
        <v>-0.25088715040061577</v>
      </c>
      <c r="O99" s="25"/>
      <c r="P99" s="30">
        <f>SUM(P96:P98)</f>
        <v>-62299.220000000008</v>
      </c>
      <c r="Q99" s="13"/>
      <c r="R99" s="31">
        <f>IF(P$12=0,0,P99/P$12)</f>
        <v>-75.605849514563118</v>
      </c>
      <c r="S99" s="13"/>
      <c r="T99" s="30">
        <f>SUM(T96:T98)</f>
        <v>-99774.199999999983</v>
      </c>
      <c r="U99" s="13"/>
      <c r="V99" s="31">
        <f>IF(T$12=0,0,T99/T$12)</f>
        <v>-0.53200620869953763</v>
      </c>
      <c r="W99" s="16"/>
      <c r="X99" s="30">
        <f>+P99-T99</f>
        <v>37474.979999999974</v>
      </c>
      <c r="Y99" s="16"/>
      <c r="Z99" s="31">
        <f>IF(T99=0,0,X99/T99)</f>
        <v>-0.37559790005833155</v>
      </c>
    </row>
    <row r="100" spans="1:26" ht="15.75" thickTop="1" x14ac:dyDescent="0.25">
      <c r="A100" s="9"/>
      <c r="C100" s="9"/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  <row r="101" spans="1:26" x14ac:dyDescent="0.25">
      <c r="A101" s="9"/>
      <c r="B101" s="61">
        <v>44113.695706678242</v>
      </c>
      <c r="D101" s="18"/>
      <c r="E101" s="18"/>
      <c r="G101" s="18"/>
      <c r="H101" s="18"/>
      <c r="I101" s="18"/>
      <c r="J101" s="43"/>
      <c r="K101" s="18"/>
      <c r="L101" s="18"/>
      <c r="M101" s="18"/>
      <c r="P101" s="18"/>
      <c r="Q101" s="18"/>
      <c r="R101" s="43"/>
      <c r="S101" s="18"/>
      <c r="T101" s="18"/>
      <c r="U101" s="18"/>
      <c r="V101" s="43"/>
      <c r="W101" s="18"/>
      <c r="X101" s="18"/>
    </row>
    <row r="102" spans="1:26" x14ac:dyDescent="0.25">
      <c r="A102" s="9"/>
      <c r="B102" s="56" t="s">
        <v>313</v>
      </c>
      <c r="D102" s="18"/>
      <c r="E102" s="18"/>
      <c r="G102" s="18"/>
      <c r="H102" s="18"/>
      <c r="I102" s="18"/>
      <c r="J102" s="43"/>
      <c r="K102" s="18"/>
      <c r="L102" s="18"/>
      <c r="M102" s="18"/>
      <c r="P102" s="18"/>
      <c r="Q102" s="18"/>
      <c r="R102" s="43"/>
      <c r="S102" s="18"/>
      <c r="T102" s="18"/>
      <c r="U102" s="18"/>
      <c r="V102" s="43"/>
      <c r="W102" s="18"/>
      <c r="X102" s="18"/>
    </row>
    <row r="103" spans="1:26" x14ac:dyDescent="0.25">
      <c r="A103" s="9"/>
      <c r="B103" s="58"/>
      <c r="D103" s="18"/>
      <c r="E103" s="18"/>
      <c r="G103" s="18"/>
      <c r="H103" s="18"/>
      <c r="I103" s="18"/>
      <c r="J103" s="43"/>
      <c r="K103" s="18"/>
      <c r="L103" s="18"/>
      <c r="M103" s="18"/>
      <c r="P103" s="18"/>
      <c r="Q103" s="18"/>
      <c r="R103" s="43"/>
      <c r="S103" s="18"/>
      <c r="T103" s="18"/>
      <c r="U103" s="18"/>
      <c r="V103" s="43"/>
      <c r="W103" s="18"/>
      <c r="X103" s="18"/>
    </row>
    <row r="104" spans="1:26" x14ac:dyDescent="0.25">
      <c r="D104" s="18"/>
      <c r="E104" s="18"/>
      <c r="G104" s="18"/>
      <c r="H104" s="18"/>
      <c r="I104" s="18"/>
      <c r="J104" s="43"/>
      <c r="K104" s="18"/>
      <c r="L104" s="18"/>
      <c r="M104" s="18"/>
      <c r="P104" s="18"/>
      <c r="Q104" s="18"/>
      <c r="R104" s="43"/>
      <c r="S104" s="18"/>
      <c r="T104" s="18"/>
      <c r="U104" s="18"/>
      <c r="V104" s="43"/>
      <c r="W104" s="18"/>
      <c r="X104" s="18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","309", " - ", "Carts")</f>
        <v>Department 309 - Carts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15125.08</v>
      </c>
      <c r="I12" s="4"/>
      <c r="J12" s="12"/>
      <c r="K12" s="4"/>
      <c r="L12" s="4">
        <f t="shared" ref="L12:L14" si="0">+D12-H12</f>
        <v>-15125.08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19888.060000000001</v>
      </c>
      <c r="U12" s="4"/>
      <c r="V12" s="12"/>
      <c r="W12" s="4"/>
      <c r="X12" s="4">
        <f t="shared" ref="X12:X14" si="2">+P12-T12</f>
        <v>-19888.060000000001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--2793.27</f>
        <v>2793.27</v>
      </c>
      <c r="I13" s="2"/>
      <c r="J13" s="19"/>
      <c r="K13" s="2"/>
      <c r="L13" s="2">
        <f t="shared" si="0"/>
        <v>-2793.27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--3687.3</f>
        <v>3687.3</v>
      </c>
      <c r="U13" s="2"/>
      <c r="V13" s="19"/>
      <c r="W13" s="2"/>
      <c r="X13" s="2">
        <f t="shared" si="2"/>
        <v>-3687.3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--12331.81</f>
        <v>12331.81</v>
      </c>
      <c r="I14" s="2"/>
      <c r="J14" s="19"/>
      <c r="K14" s="2"/>
      <c r="L14" s="2">
        <f t="shared" si="0"/>
        <v>-12331.81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--16200.76</f>
        <v>16200.76</v>
      </c>
      <c r="U14" s="2"/>
      <c r="V14" s="19"/>
      <c r="W14" s="2"/>
      <c r="X14" s="2">
        <f t="shared" si="2"/>
        <v>-16200.76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7225.58</v>
      </c>
      <c r="I16" s="4"/>
      <c r="J16" s="12">
        <f t="shared" ref="J16:J18" si="7">IF(H$12=0,0,H16/H$12)</f>
        <v>0.47772177072782424</v>
      </c>
      <c r="K16" s="4"/>
      <c r="L16" s="4">
        <f t="shared" ref="L16:L18" si="8">+D16-H16</f>
        <v>-7225.58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9557.1899999999987</v>
      </c>
      <c r="U16" s="4"/>
      <c r="V16" s="12">
        <f t="shared" ref="V16:V18" si="11">IF(T$12=0,0,T16/T$12)</f>
        <v>0.48054913350020051</v>
      </c>
      <c r="W16" s="4"/>
      <c r="X16" s="4">
        <f t="shared" ref="X16:X18" si="12">+P16-T16</f>
        <v>-9557.1899999999987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12359.01</v>
      </c>
      <c r="I17" s="2"/>
      <c r="J17" s="19">
        <f t="shared" si="7"/>
        <v>0.81712030614052955</v>
      </c>
      <c r="K17" s="2"/>
      <c r="L17" s="2">
        <f t="shared" si="8"/>
        <v>-12359.01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15442.48</v>
      </c>
      <c r="U17" s="2"/>
      <c r="V17" s="19">
        <f t="shared" si="11"/>
        <v>0.7764699020417275</v>
      </c>
      <c r="W17" s="2"/>
      <c r="X17" s="2">
        <f t="shared" si="12"/>
        <v>-15442.48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-5133.43</v>
      </c>
      <c r="I18" s="2"/>
      <c r="J18" s="19">
        <f t="shared" si="7"/>
        <v>-0.33939853541270526</v>
      </c>
      <c r="K18" s="2"/>
      <c r="L18" s="2">
        <f t="shared" si="8"/>
        <v>5133.43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-5885.29</v>
      </c>
      <c r="U18" s="2"/>
      <c r="V18" s="19">
        <f t="shared" si="11"/>
        <v>-0.29592076854152688</v>
      </c>
      <c r="W18" s="2"/>
      <c r="X18" s="2">
        <f t="shared" si="12"/>
        <v>5885.29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7899.5</v>
      </c>
      <c r="I20" s="13"/>
      <c r="J20" s="21">
        <f>IF(H$12=0,0,H20/H$12)</f>
        <v>0.52227822927217571</v>
      </c>
      <c r="K20" s="16"/>
      <c r="L20" s="22">
        <f>+D20-H20</f>
        <v>-7899.5</v>
      </c>
      <c r="M20" s="16"/>
      <c r="N20" s="21">
        <f>IF(H20=0,0,L20/H20)</f>
        <v>-1</v>
      </c>
      <c r="O20" s="25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10330.870000000003</v>
      </c>
      <c r="U20" s="13"/>
      <c r="V20" s="21">
        <f>IF(T$12=0,0,T20/T$12)</f>
        <v>0.51945086649979944</v>
      </c>
      <c r="W20" s="16"/>
      <c r="X20" s="22">
        <f>+P20-T20</f>
        <v>-10330.870000000003</v>
      </c>
      <c r="Y20" s="16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603.72</v>
      </c>
      <c r="E22" s="20"/>
      <c r="F22" s="35">
        <f t="shared" ref="F22:F31" si="14">IF(D$12=0,0,D22/D$12)</f>
        <v>0</v>
      </c>
      <c r="G22" s="20"/>
      <c r="H22" s="20">
        <f>SUM(OSRRefH22x_0)</f>
        <v>11711.130000000003</v>
      </c>
      <c r="I22" s="20"/>
      <c r="J22" s="35">
        <f t="shared" ref="J22:J31" si="15">IF(H$12=0,0,H22/H$12)</f>
        <v>0.77428549138252512</v>
      </c>
      <c r="K22" s="4"/>
      <c r="L22" s="20">
        <f t="shared" ref="L22:L31" si="16">+D22-H22</f>
        <v>-11107.410000000003</v>
      </c>
      <c r="M22" s="4"/>
      <c r="N22" s="35">
        <f t="shared" ref="N22:N31" si="17">IF(H22=0,0,L22/H22)</f>
        <v>-0.94844903950344683</v>
      </c>
      <c r="O22" s="10"/>
      <c r="P22" s="20">
        <f>SUM(OSRRefP22x_0)</f>
        <v>951.12</v>
      </c>
      <c r="Q22" s="20"/>
      <c r="R22" s="35">
        <f t="shared" ref="R22:R31" si="18">IF(P$12=0,0,P22/P$12)</f>
        <v>0</v>
      </c>
      <c r="S22" s="20"/>
      <c r="T22" s="20">
        <f>SUM(OSRRefT22x_0)</f>
        <v>25945.360000000004</v>
      </c>
      <c r="U22" s="20"/>
      <c r="V22" s="35">
        <f t="shared" ref="V22:V31" si="19">IF(T$12=0,0,T22/T$12)</f>
        <v>1.3045696764792545</v>
      </c>
      <c r="W22" s="4"/>
      <c r="X22" s="20">
        <f t="shared" ref="X22:X31" si="20">+P22-T22</f>
        <v>-24994.240000000005</v>
      </c>
      <c r="Y22" s="4"/>
      <c r="Z22" s="35">
        <f t="shared" ref="Z22:Z31" si="21">IF(T22=0,0,X22/T22)</f>
        <v>-0.96334142212711638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1941.0900000000001</v>
      </c>
      <c r="I23" s="1"/>
      <c r="J23" s="5">
        <f t="shared" si="15"/>
        <v>0.12833585012442911</v>
      </c>
      <c r="K23" s="1"/>
      <c r="L23" s="1">
        <f t="shared" si="16"/>
        <v>-1941.0900000000001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4003.17</v>
      </c>
      <c r="U23" s="1"/>
      <c r="V23" s="5">
        <f t="shared" si="19"/>
        <v>0.20128509266363837</v>
      </c>
      <c r="W23" s="1"/>
      <c r="X23" s="1">
        <f t="shared" si="20"/>
        <v>-4003.17</v>
      </c>
      <c r="Y23" s="1"/>
      <c r="Z23" s="5">
        <f t="shared" si="21"/>
        <v>-1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398.55</v>
      </c>
      <c r="I24" s="2"/>
      <c r="J24" s="6">
        <f t="shared" si="15"/>
        <v>2.635027384979121E-2</v>
      </c>
      <c r="K24" s="2"/>
      <c r="L24" s="7">
        <f t="shared" si="16"/>
        <v>-398.55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703.63</v>
      </c>
      <c r="U24" s="2"/>
      <c r="V24" s="6">
        <f t="shared" si="19"/>
        <v>3.5379519168787704E-2</v>
      </c>
      <c r="W24" s="2"/>
      <c r="X24" s="7">
        <f t="shared" si="20"/>
        <v>-703.63</v>
      </c>
      <c r="Y24" s="2"/>
      <c r="Z24" s="6">
        <f t="shared" si="21"/>
        <v>-1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119.03</v>
      </c>
      <c r="I25" s="2"/>
      <c r="J25" s="6">
        <f t="shared" si="15"/>
        <v>7.8697104412009718E-3</v>
      </c>
      <c r="K25" s="2"/>
      <c r="L25" s="7">
        <f t="shared" si="16"/>
        <v>-119.03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286.77999999999997</v>
      </c>
      <c r="U25" s="2"/>
      <c r="V25" s="6">
        <f t="shared" si="19"/>
        <v>1.4419707100642293E-2</v>
      </c>
      <c r="W25" s="2"/>
      <c r="X25" s="7">
        <f t="shared" si="20"/>
        <v>-286.77999999999997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965.94</v>
      </c>
      <c r="I26" s="2"/>
      <c r="J26" s="6">
        <f t="shared" si="15"/>
        <v>6.3863463862670486E-2</v>
      </c>
      <c r="K26" s="2"/>
      <c r="L26" s="7">
        <f t="shared" si="16"/>
        <v>-965.94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1931.88</v>
      </c>
      <c r="U26" s="2"/>
      <c r="V26" s="6">
        <f t="shared" si="19"/>
        <v>9.7137679592680229E-2</v>
      </c>
      <c r="W26" s="2"/>
      <c r="X26" s="7">
        <f t="shared" si="20"/>
        <v>-1931.88</v>
      </c>
      <c r="Y26" s="2"/>
      <c r="Z26" s="6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10.98</v>
      </c>
      <c r="I27" s="2"/>
      <c r="J27" s="6">
        <f t="shared" si="15"/>
        <v>7.2594657350572695E-4</v>
      </c>
      <c r="K27" s="2"/>
      <c r="L27" s="7">
        <f t="shared" si="16"/>
        <v>-10.98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27.32</v>
      </c>
      <c r="U27" s="2"/>
      <c r="V27" s="6">
        <f t="shared" si="19"/>
        <v>1.3736885347288774E-3</v>
      </c>
      <c r="W27" s="2"/>
      <c r="X27" s="7">
        <f t="shared" si="20"/>
        <v>-27.32</v>
      </c>
      <c r="Y27" s="2"/>
      <c r="Z27" s="6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134.11000000000001</v>
      </c>
      <c r="I28" s="2"/>
      <c r="J28" s="6">
        <f t="shared" si="15"/>
        <v>8.8667299610977277E-3</v>
      </c>
      <c r="K28" s="2"/>
      <c r="L28" s="7">
        <f t="shared" si="16"/>
        <v>-134.11000000000001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268.22000000000003</v>
      </c>
      <c r="U28" s="2"/>
      <c r="V28" s="6">
        <f t="shared" si="19"/>
        <v>1.348648385010906E-2</v>
      </c>
      <c r="W28" s="2"/>
      <c r="X28" s="7">
        <f t="shared" si="20"/>
        <v>-268.22000000000003</v>
      </c>
      <c r="Y28" s="2"/>
      <c r="Z28" s="6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73.92</v>
      </c>
      <c r="I29" s="2"/>
      <c r="J29" s="6">
        <f t="shared" si="15"/>
        <v>4.8872468773718883E-3</v>
      </c>
      <c r="K29" s="2"/>
      <c r="L29" s="7">
        <f t="shared" si="16"/>
        <v>-73.92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221.76</v>
      </c>
      <c r="U29" s="2"/>
      <c r="V29" s="6">
        <f t="shared" si="19"/>
        <v>1.1150408838267784E-2</v>
      </c>
      <c r="W29" s="2"/>
      <c r="X29" s="7">
        <f t="shared" si="20"/>
        <v>-221.76</v>
      </c>
      <c r="Y29" s="2"/>
      <c r="Z29" s="6">
        <f t="shared" si="21"/>
        <v>-1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88.56</v>
      </c>
      <c r="I30" s="2"/>
      <c r="J30" s="6">
        <f t="shared" si="15"/>
        <v>5.8551756420461912E-3</v>
      </c>
      <c r="K30" s="2"/>
      <c r="L30" s="7">
        <f t="shared" si="16"/>
        <v>-88.56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265.68</v>
      </c>
      <c r="U30" s="2"/>
      <c r="V30" s="6">
        <f t="shared" si="19"/>
        <v>1.3358769030262377E-2</v>
      </c>
      <c r="W30" s="2"/>
      <c r="X30" s="7">
        <f t="shared" si="20"/>
        <v>-265.68</v>
      </c>
      <c r="Y30" s="2"/>
      <c r="Z30" s="6">
        <f t="shared" si="21"/>
        <v>-1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150</v>
      </c>
      <c r="I31" s="2"/>
      <c r="J31" s="6">
        <f t="shared" si="15"/>
        <v>9.9173029167449033E-3</v>
      </c>
      <c r="K31" s="2"/>
      <c r="L31" s="7">
        <f t="shared" si="16"/>
        <v>-150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297.89999999999998</v>
      </c>
      <c r="U31" s="2"/>
      <c r="V31" s="6">
        <f t="shared" si="19"/>
        <v>1.4978836548160049E-2</v>
      </c>
      <c r="W31" s="2"/>
      <c r="X31" s="7">
        <f t="shared" si="20"/>
        <v>-297.89999999999998</v>
      </c>
      <c r="Y31" s="2"/>
      <c r="Z31" s="6">
        <f t="shared" si="21"/>
        <v>-1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6" si="22">IF(D$12=0,0,D32/D$12)</f>
        <v>0</v>
      </c>
      <c r="G32" s="1"/>
      <c r="H32" s="1">
        <f>SUM(OSRRefH22_1x_0)</f>
        <v>6481.43</v>
      </c>
      <c r="I32" s="1"/>
      <c r="J32" s="5">
        <f t="shared" ref="J32:J36" si="23">IF(H$12=0,0,H32/H$12)</f>
        <v>0.4285220309578528</v>
      </c>
      <c r="K32" s="1"/>
      <c r="L32" s="1">
        <f t="shared" ref="L32:L36" si="24">+D32-H32</f>
        <v>-6481.43</v>
      </c>
      <c r="M32" s="1"/>
      <c r="N32" s="5">
        <f t="shared" ref="N32:N36" si="25">IF(H32=0,0,L32/H32)</f>
        <v>-1</v>
      </c>
      <c r="O32" s="14"/>
      <c r="P32" s="1">
        <f>SUM(OSRRefP22_1x_0)</f>
        <v>0</v>
      </c>
      <c r="Q32" s="1"/>
      <c r="R32" s="5">
        <f t="shared" ref="R32:R36" si="26">IF(P$12=0,0,P32/P$12)</f>
        <v>0</v>
      </c>
      <c r="S32" s="1"/>
      <c r="T32" s="1">
        <f>SUM(OSRRefT22_1x_0)</f>
        <v>11590.119999999999</v>
      </c>
      <c r="U32" s="1"/>
      <c r="V32" s="5">
        <f t="shared" ref="V32:V36" si="27">IF(T$12=0,0,T32/T$12)</f>
        <v>0.582767751102923</v>
      </c>
      <c r="W32" s="1"/>
      <c r="X32" s="1">
        <f t="shared" ref="X32:X36" si="28">+P32-T32</f>
        <v>-11590.119999999999</v>
      </c>
      <c r="Y32" s="1"/>
      <c r="Z32" s="5">
        <f t="shared" ref="Z32:Z36" si="29">IF(T32=0,0,X32/T32)</f>
        <v>-1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1728</v>
      </c>
      <c r="I33" s="2"/>
      <c r="J33" s="6">
        <f t="shared" si="23"/>
        <v>0.11424732960090128</v>
      </c>
      <c r="K33" s="2"/>
      <c r="L33" s="7">
        <f t="shared" si="24"/>
        <v>-1728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3936</v>
      </c>
      <c r="U33" s="2"/>
      <c r="V33" s="6">
        <f t="shared" si="27"/>
        <v>0.19790768933722042</v>
      </c>
      <c r="W33" s="2"/>
      <c r="X33" s="7">
        <f t="shared" si="28"/>
        <v>-3936</v>
      </c>
      <c r="Y33" s="2"/>
      <c r="Z33" s="6">
        <f t="shared" si="29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1862</v>
      </c>
      <c r="I34" s="2"/>
      <c r="J34" s="6">
        <f t="shared" si="23"/>
        <v>0.1231067868731934</v>
      </c>
      <c r="K34" s="2"/>
      <c r="L34" s="7">
        <f t="shared" si="24"/>
        <v>-1862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3493</v>
      </c>
      <c r="U34" s="2"/>
      <c r="V34" s="6">
        <f t="shared" si="27"/>
        <v>0.17563301800175582</v>
      </c>
      <c r="W34" s="2"/>
      <c r="X34" s="7">
        <f t="shared" si="28"/>
        <v>-3493</v>
      </c>
      <c r="Y34" s="2"/>
      <c r="Z34" s="6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>
        <v>72</v>
      </c>
      <c r="I35" s="2"/>
      <c r="J35" s="6">
        <f t="shared" si="23"/>
        <v>4.7603054000375537E-3</v>
      </c>
      <c r="K35" s="2"/>
      <c r="L35" s="7">
        <f t="shared" si="24"/>
        <v>-72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116.63</v>
      </c>
      <c r="U35" s="2"/>
      <c r="V35" s="6">
        <f t="shared" si="27"/>
        <v>5.8643226136687035E-3</v>
      </c>
      <c r="W35" s="2"/>
      <c r="X35" s="7">
        <f t="shared" si="28"/>
        <v>-116.63</v>
      </c>
      <c r="Y35" s="2"/>
      <c r="Z35" s="6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2819.43</v>
      </c>
      <c r="I36" s="2"/>
      <c r="J36" s="6">
        <f t="shared" si="23"/>
        <v>0.18640760908372053</v>
      </c>
      <c r="K36" s="2"/>
      <c r="L36" s="7">
        <f t="shared" si="24"/>
        <v>-2819.43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4044.49</v>
      </c>
      <c r="U36" s="2"/>
      <c r="V36" s="6">
        <f t="shared" si="27"/>
        <v>0.20336272115027809</v>
      </c>
      <c r="W36" s="2"/>
      <c r="X36" s="7">
        <f t="shared" si="28"/>
        <v>-4044.49</v>
      </c>
      <c r="Y36" s="2"/>
      <c r="Z36" s="6">
        <f t="shared" si="29"/>
        <v>-1</v>
      </c>
    </row>
    <row r="37" spans="1:26" s="28" customFormat="1" outlineLevel="1" collapsed="1" x14ac:dyDescent="0.25">
      <c r="A37" s="27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9" si="30">IF(D$12=0,0,D37/D$12)</f>
        <v>0</v>
      </c>
      <c r="G37" s="1"/>
      <c r="H37" s="1">
        <f>SUM(OSRRefH22_2x_0)</f>
        <v>0</v>
      </c>
      <c r="I37" s="1"/>
      <c r="J37" s="5">
        <f t="shared" ref="J37:J49" si="31">IF(H$12=0,0,H37/H$12)</f>
        <v>0</v>
      </c>
      <c r="K37" s="1"/>
      <c r="L37" s="1">
        <f t="shared" ref="L37:L49" si="32">+D37-H37</f>
        <v>0</v>
      </c>
      <c r="M37" s="1"/>
      <c r="N37" s="5">
        <f t="shared" ref="N37:N49" si="33">IF(H37=0,0,L37/H37)</f>
        <v>0</v>
      </c>
      <c r="O37" s="14"/>
      <c r="P37" s="1">
        <f>SUM(OSRRefP22_2x_0)</f>
        <v>0</v>
      </c>
      <c r="Q37" s="1"/>
      <c r="R37" s="5">
        <f t="shared" ref="R37:R49" si="34">IF(P$12=0,0,P37/P$12)</f>
        <v>0</v>
      </c>
      <c r="S37" s="1"/>
      <c r="T37" s="1">
        <f>SUM(OSRRefT22_2x_0)</f>
        <v>305</v>
      </c>
      <c r="U37" s="1"/>
      <c r="V37" s="5">
        <f t="shared" ref="V37:V49" si="35">IF(T$12=0,0,T37/T$12)</f>
        <v>1.5335834666629123E-2</v>
      </c>
      <c r="W37" s="1"/>
      <c r="X37" s="1">
        <f t="shared" ref="X37:X49" si="36">+P37-T37</f>
        <v>-305</v>
      </c>
      <c r="Y37" s="1"/>
      <c r="Z37" s="5">
        <f t="shared" ref="Z37:Z49" si="37">IF(T37=0,0,X37/T37)</f>
        <v>-1</v>
      </c>
    </row>
    <row r="38" spans="1:26" s="24" customFormat="1" hidden="1" outlineLevel="2" x14ac:dyDescent="0.25">
      <c r="A38" s="29"/>
      <c r="B38" s="11" t="str">
        <f>CONCATENATE("          ", "6362", " - ", "ADVERTISING EXPENSE")</f>
        <v xml:space="preserve">          6362 - ADVERTISING EXPENSE</v>
      </c>
      <c r="C38" s="11"/>
      <c r="D38" s="7"/>
      <c r="E38" s="2"/>
      <c r="F38" s="6">
        <f t="shared" si="30"/>
        <v>0</v>
      </c>
      <c r="G38" s="2"/>
      <c r="H38" s="7"/>
      <c r="I38" s="2"/>
      <c r="J38" s="6">
        <f t="shared" si="31"/>
        <v>0</v>
      </c>
      <c r="K38" s="2"/>
      <c r="L38" s="7">
        <f t="shared" si="32"/>
        <v>0</v>
      </c>
      <c r="M38" s="2"/>
      <c r="N38" s="6">
        <f t="shared" si="33"/>
        <v>0</v>
      </c>
      <c r="O38" s="11"/>
      <c r="P38" s="7"/>
      <c r="Q38" s="2"/>
      <c r="R38" s="6">
        <f t="shared" si="34"/>
        <v>0</v>
      </c>
      <c r="S38" s="2"/>
      <c r="T38" s="7">
        <v>305</v>
      </c>
      <c r="U38" s="2"/>
      <c r="V38" s="6">
        <f t="shared" si="35"/>
        <v>1.5335834666629123E-2</v>
      </c>
      <c r="W38" s="2"/>
      <c r="X38" s="7">
        <f t="shared" si="36"/>
        <v>-305</v>
      </c>
      <c r="Y38" s="2"/>
      <c r="Z38" s="6">
        <f t="shared" si="37"/>
        <v>-1</v>
      </c>
    </row>
    <row r="39" spans="1:26" s="28" customFormat="1" outlineLevel="1" collapsed="1" x14ac:dyDescent="0.25">
      <c r="A39" s="27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0</v>
      </c>
      <c r="E39" s="1"/>
      <c r="F39" s="5">
        <f t="shared" si="30"/>
        <v>0</v>
      </c>
      <c r="G39" s="1"/>
      <c r="H39" s="1">
        <f>SUM(OSRRefH22_3x_0)</f>
        <v>27.5</v>
      </c>
      <c r="I39" s="1"/>
      <c r="J39" s="5">
        <f t="shared" si="31"/>
        <v>1.8181722014032323E-3</v>
      </c>
      <c r="K39" s="1"/>
      <c r="L39" s="1">
        <f t="shared" si="32"/>
        <v>-27.5</v>
      </c>
      <c r="M39" s="1"/>
      <c r="N39" s="5">
        <f t="shared" si="33"/>
        <v>-1</v>
      </c>
      <c r="O39" s="14"/>
      <c r="P39" s="1">
        <f>SUM(OSRRefP22_3x_0)</f>
        <v>0</v>
      </c>
      <c r="Q39" s="1"/>
      <c r="R39" s="5">
        <f t="shared" si="34"/>
        <v>0</v>
      </c>
      <c r="S39" s="1"/>
      <c r="T39" s="1">
        <f>SUM(OSRRefT22_3x_0)</f>
        <v>24.89</v>
      </c>
      <c r="U39" s="1"/>
      <c r="V39" s="5">
        <f t="shared" si="35"/>
        <v>1.2515046716472093E-3</v>
      </c>
      <c r="W39" s="1"/>
      <c r="X39" s="1">
        <f t="shared" si="36"/>
        <v>-24.89</v>
      </c>
      <c r="Y39" s="1"/>
      <c r="Z39" s="5">
        <f t="shared" si="37"/>
        <v>-1</v>
      </c>
    </row>
    <row r="40" spans="1:26" s="24" customFormat="1" hidden="1" outlineLevel="2" x14ac:dyDescent="0.25">
      <c r="A40" s="29"/>
      <c r="B40" s="11" t="str">
        <f>CONCATENATE("          ", "6272", " - ", "CASH (OVER/SHORT)")</f>
        <v xml:space="preserve">          6272 - CASH (OVER/SHORT)</v>
      </c>
      <c r="C40" s="11"/>
      <c r="D40" s="7"/>
      <c r="E40" s="2"/>
      <c r="F40" s="6">
        <f t="shared" si="30"/>
        <v>0</v>
      </c>
      <c r="G40" s="2"/>
      <c r="H40" s="7">
        <v>27.5</v>
      </c>
      <c r="I40" s="2"/>
      <c r="J40" s="6">
        <f t="shared" si="31"/>
        <v>1.8181722014032323E-3</v>
      </c>
      <c r="K40" s="2"/>
      <c r="L40" s="7">
        <f t="shared" si="32"/>
        <v>-27.5</v>
      </c>
      <c r="M40" s="2"/>
      <c r="N40" s="6">
        <f t="shared" si="33"/>
        <v>-1</v>
      </c>
      <c r="O40" s="11"/>
      <c r="P40" s="7"/>
      <c r="Q40" s="2"/>
      <c r="R40" s="6">
        <f t="shared" si="34"/>
        <v>0</v>
      </c>
      <c r="S40" s="2"/>
      <c r="T40" s="7">
        <v>24.89</v>
      </c>
      <c r="U40" s="2"/>
      <c r="V40" s="6">
        <f t="shared" si="35"/>
        <v>1.2515046716472093E-3</v>
      </c>
      <c r="W40" s="2"/>
      <c r="X40" s="7">
        <f t="shared" si="36"/>
        <v>-24.89</v>
      </c>
      <c r="Y40" s="2"/>
      <c r="Z40" s="6">
        <f t="shared" si="37"/>
        <v>-1</v>
      </c>
    </row>
    <row r="41" spans="1:26" s="28" customFormat="1" outlineLevel="1" collapsed="1" x14ac:dyDescent="0.25">
      <c r="A41" s="27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0</v>
      </c>
      <c r="E41" s="1"/>
      <c r="F41" s="5">
        <f t="shared" si="30"/>
        <v>0</v>
      </c>
      <c r="G41" s="1"/>
      <c r="H41" s="1">
        <f>SUM(OSRRefH22_4x_0)</f>
        <v>471.1</v>
      </c>
      <c r="I41" s="1"/>
      <c r="J41" s="5">
        <f t="shared" si="31"/>
        <v>3.1146942693856827E-2</v>
      </c>
      <c r="K41" s="1"/>
      <c r="L41" s="1">
        <f t="shared" si="32"/>
        <v>-471.1</v>
      </c>
      <c r="M41" s="1"/>
      <c r="N41" s="5">
        <f t="shared" si="33"/>
        <v>-1</v>
      </c>
      <c r="O41" s="14"/>
      <c r="P41" s="1">
        <f>SUM(OSRRefP22_4x_0)</f>
        <v>0</v>
      </c>
      <c r="Q41" s="1"/>
      <c r="R41" s="5">
        <f t="shared" si="34"/>
        <v>0</v>
      </c>
      <c r="S41" s="1"/>
      <c r="T41" s="1">
        <f>SUM(OSRRefT22_4x_0)</f>
        <v>598.74</v>
      </c>
      <c r="U41" s="1"/>
      <c r="V41" s="5">
        <f t="shared" si="35"/>
        <v>3.0105500486221379E-2</v>
      </c>
      <c r="W41" s="1"/>
      <c r="X41" s="1">
        <f t="shared" si="36"/>
        <v>-598.74</v>
      </c>
      <c r="Y41" s="1"/>
      <c r="Z41" s="5">
        <f t="shared" si="37"/>
        <v>-1</v>
      </c>
    </row>
    <row r="42" spans="1:26" s="24" customFormat="1" hidden="1" outlineLevel="2" x14ac:dyDescent="0.25">
      <c r="A42" s="29"/>
      <c r="B42" s="11" t="str">
        <f>CONCATENATE("          ", "6381", " - ", "BANK/CREDIT CARD FEES")</f>
        <v xml:space="preserve">          6381 - BANK/CREDIT CARD FEES</v>
      </c>
      <c r="C42" s="11"/>
      <c r="D42" s="7"/>
      <c r="E42" s="2"/>
      <c r="F42" s="6">
        <f t="shared" si="30"/>
        <v>0</v>
      </c>
      <c r="G42" s="2"/>
      <c r="H42" s="7">
        <v>471.1</v>
      </c>
      <c r="I42" s="2"/>
      <c r="J42" s="6">
        <f t="shared" si="31"/>
        <v>3.1146942693856827E-2</v>
      </c>
      <c r="K42" s="2"/>
      <c r="L42" s="7">
        <f t="shared" si="32"/>
        <v>-471.1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598.74</v>
      </c>
      <c r="U42" s="2"/>
      <c r="V42" s="6">
        <f t="shared" si="35"/>
        <v>3.0105500486221379E-2</v>
      </c>
      <c r="W42" s="2"/>
      <c r="X42" s="7">
        <f t="shared" si="36"/>
        <v>-598.74</v>
      </c>
      <c r="Y42" s="2"/>
      <c r="Z42" s="6">
        <f t="shared" si="37"/>
        <v>-1</v>
      </c>
    </row>
    <row r="43" spans="1:26" s="28" customFormat="1" outlineLevel="1" collapsed="1" x14ac:dyDescent="0.25">
      <c r="A43" s="27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596.69000000000005</v>
      </c>
      <c r="E43" s="1"/>
      <c r="F43" s="5">
        <f t="shared" si="30"/>
        <v>0</v>
      </c>
      <c r="G43" s="1"/>
      <c r="H43" s="1">
        <f>SUM(OSRRefH22_5x_0)</f>
        <v>155.66999999999999</v>
      </c>
      <c r="I43" s="1"/>
      <c r="J43" s="5">
        <f t="shared" si="31"/>
        <v>1.029217696699786E-2</v>
      </c>
      <c r="K43" s="1"/>
      <c r="L43" s="1">
        <f t="shared" si="32"/>
        <v>441.0200000000001</v>
      </c>
      <c r="M43" s="1"/>
      <c r="N43" s="5">
        <f t="shared" si="33"/>
        <v>2.833044260294213</v>
      </c>
      <c r="O43" s="14"/>
      <c r="P43" s="1">
        <f>SUM(OSRRefP22_5x_0)</f>
        <v>912.12</v>
      </c>
      <c r="Q43" s="1"/>
      <c r="R43" s="5">
        <f t="shared" si="34"/>
        <v>0</v>
      </c>
      <c r="S43" s="1"/>
      <c r="T43" s="1">
        <f>SUM(OSRRefT22_5x_0)</f>
        <v>311.33999999999997</v>
      </c>
      <c r="U43" s="1"/>
      <c r="V43" s="5">
        <f t="shared" si="35"/>
        <v>1.565461890199446E-2</v>
      </c>
      <c r="W43" s="1"/>
      <c r="X43" s="1">
        <f t="shared" si="36"/>
        <v>600.78</v>
      </c>
      <c r="Y43" s="1"/>
      <c r="Z43" s="5">
        <f t="shared" si="37"/>
        <v>1.929658893813837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596.69000000000005</v>
      </c>
      <c r="E44" s="2"/>
      <c r="F44" s="6">
        <f t="shared" si="30"/>
        <v>0</v>
      </c>
      <c r="G44" s="2"/>
      <c r="H44" s="7">
        <v>155.66999999999999</v>
      </c>
      <c r="I44" s="2"/>
      <c r="J44" s="6">
        <f t="shared" si="31"/>
        <v>1.029217696699786E-2</v>
      </c>
      <c r="K44" s="2"/>
      <c r="L44" s="7">
        <f t="shared" si="32"/>
        <v>441.0200000000001</v>
      </c>
      <c r="M44" s="2"/>
      <c r="N44" s="6">
        <f t="shared" si="33"/>
        <v>2.833044260294213</v>
      </c>
      <c r="O44" s="11"/>
      <c r="P44" s="7">
        <v>912.12</v>
      </c>
      <c r="Q44" s="2"/>
      <c r="R44" s="6">
        <f t="shared" si="34"/>
        <v>0</v>
      </c>
      <c r="S44" s="2"/>
      <c r="T44" s="7">
        <v>311.33999999999997</v>
      </c>
      <c r="U44" s="2"/>
      <c r="V44" s="6">
        <f t="shared" si="35"/>
        <v>1.565461890199446E-2</v>
      </c>
      <c r="W44" s="2"/>
      <c r="X44" s="7">
        <f t="shared" si="36"/>
        <v>600.78</v>
      </c>
      <c r="Y44" s="2"/>
      <c r="Z44" s="6">
        <f t="shared" si="37"/>
        <v>1.929658893813837</v>
      </c>
    </row>
    <row r="45" spans="1:26" s="28" customFormat="1" outlineLevel="1" collapsed="1" x14ac:dyDescent="0.25">
      <c r="A45" s="27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0</v>
      </c>
      <c r="E45" s="1"/>
      <c r="F45" s="5">
        <f t="shared" si="30"/>
        <v>0</v>
      </c>
      <c r="G45" s="1"/>
      <c r="H45" s="1">
        <f>SUM(OSRRefH22_6x_0)</f>
        <v>18.940000000000001</v>
      </c>
      <c r="I45" s="1"/>
      <c r="J45" s="5">
        <f t="shared" si="31"/>
        <v>1.2522247816209899E-3</v>
      </c>
      <c r="K45" s="1"/>
      <c r="L45" s="1">
        <f t="shared" si="32"/>
        <v>-18.940000000000001</v>
      </c>
      <c r="M45" s="1"/>
      <c r="N45" s="5">
        <f t="shared" si="33"/>
        <v>-1</v>
      </c>
      <c r="O45" s="14"/>
      <c r="P45" s="1">
        <f>SUM(OSRRefP22_6x_0)</f>
        <v>0</v>
      </c>
      <c r="Q45" s="1"/>
      <c r="R45" s="5">
        <f t="shared" si="34"/>
        <v>0</v>
      </c>
      <c r="S45" s="1"/>
      <c r="T45" s="1">
        <f>SUM(OSRRefT22_6x_0)</f>
        <v>1477.84</v>
      </c>
      <c r="U45" s="1"/>
      <c r="V45" s="5">
        <f t="shared" si="35"/>
        <v>7.4307901323708792E-2</v>
      </c>
      <c r="W45" s="1"/>
      <c r="X45" s="1">
        <f t="shared" si="36"/>
        <v>-1477.84</v>
      </c>
      <c r="Y45" s="1"/>
      <c r="Z45" s="5">
        <f t="shared" si="37"/>
        <v>-1</v>
      </c>
    </row>
    <row r="46" spans="1:26" s="24" customFormat="1" hidden="1" outlineLevel="2" x14ac:dyDescent="0.25">
      <c r="A46" s="29"/>
      <c r="B46" s="11" t="str">
        <f>CONCATENATE("          ", "6279", " - ", "GENERAL EXPENSE")</f>
        <v xml:space="preserve">          6279 - GENERAL EXPENSE</v>
      </c>
      <c r="C46" s="11"/>
      <c r="D46" s="7"/>
      <c r="E46" s="2"/>
      <c r="F46" s="6">
        <f t="shared" si="30"/>
        <v>0</v>
      </c>
      <c r="G46" s="2"/>
      <c r="H46" s="7">
        <v>18.940000000000001</v>
      </c>
      <c r="I46" s="2"/>
      <c r="J46" s="6">
        <f t="shared" si="31"/>
        <v>1.2522247816209899E-3</v>
      </c>
      <c r="K46" s="2"/>
      <c r="L46" s="7">
        <f t="shared" si="32"/>
        <v>-18.940000000000001</v>
      </c>
      <c r="M46" s="2"/>
      <c r="N46" s="6">
        <f t="shared" si="33"/>
        <v>-1</v>
      </c>
      <c r="O46" s="11"/>
      <c r="P46" s="7"/>
      <c r="Q46" s="2"/>
      <c r="R46" s="6">
        <f t="shared" si="34"/>
        <v>0</v>
      </c>
      <c r="S46" s="2"/>
      <c r="T46" s="7">
        <v>1477.84</v>
      </c>
      <c r="U46" s="2"/>
      <c r="V46" s="6">
        <f t="shared" si="35"/>
        <v>7.4307901323708792E-2</v>
      </c>
      <c r="W46" s="2"/>
      <c r="X46" s="7">
        <f t="shared" si="36"/>
        <v>-1477.84</v>
      </c>
      <c r="Y46" s="2"/>
      <c r="Z46" s="6">
        <f t="shared" si="37"/>
        <v>-1</v>
      </c>
    </row>
    <row r="47" spans="1:26" s="28" customFormat="1" outlineLevel="1" collapsed="1" x14ac:dyDescent="0.25">
      <c r="A47" s="27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SUM(OSRRefD22_7x_0)</f>
        <v>117.9</v>
      </c>
      <c r="E47" s="1"/>
      <c r="F47" s="5">
        <f t="shared" si="30"/>
        <v>0</v>
      </c>
      <c r="G47" s="1"/>
      <c r="H47" s="1">
        <f>SUM(OSRRefH22_7x_0)</f>
        <v>817.24</v>
      </c>
      <c r="I47" s="1"/>
      <c r="J47" s="5">
        <f t="shared" si="31"/>
        <v>5.4032110904537363E-2</v>
      </c>
      <c r="K47" s="1"/>
      <c r="L47" s="1">
        <f t="shared" si="32"/>
        <v>-699.34</v>
      </c>
      <c r="M47" s="1"/>
      <c r="N47" s="5">
        <f t="shared" si="33"/>
        <v>-0.8557339337281582</v>
      </c>
      <c r="O47" s="14"/>
      <c r="P47" s="1">
        <f>SUM(OSRRefP22_7x_0)</f>
        <v>231.9</v>
      </c>
      <c r="Q47" s="1"/>
      <c r="R47" s="5">
        <f t="shared" si="34"/>
        <v>0</v>
      </c>
      <c r="S47" s="1"/>
      <c r="T47" s="1">
        <f>SUM(OSRRefT22_7x_0)</f>
        <v>1660.4</v>
      </c>
      <c r="U47" s="1"/>
      <c r="V47" s="5">
        <f t="shared" si="35"/>
        <v>8.3487278296626222E-2</v>
      </c>
      <c r="W47" s="1"/>
      <c r="X47" s="1">
        <f t="shared" si="36"/>
        <v>-1428.5</v>
      </c>
      <c r="Y47" s="1"/>
      <c r="Z47" s="5">
        <f t="shared" si="37"/>
        <v>-0.86033485907010354</v>
      </c>
    </row>
    <row r="48" spans="1:26" s="24" customFormat="1" hidden="1" outlineLevel="2" x14ac:dyDescent="0.25">
      <c r="A48" s="29"/>
      <c r="B48" s="11" t="str">
        <f>CONCATENATE("          ", "6373", " - ", "MAINTENANCE CONTRACTS")</f>
        <v xml:space="preserve">          6373 - MAINTENANCE CONTRACTS</v>
      </c>
      <c r="C48" s="11"/>
      <c r="D48" s="7">
        <v>117.9</v>
      </c>
      <c r="E48" s="2"/>
      <c r="F48" s="6">
        <f t="shared" si="30"/>
        <v>0</v>
      </c>
      <c r="G48" s="2"/>
      <c r="H48" s="7"/>
      <c r="I48" s="2"/>
      <c r="J48" s="6">
        <f t="shared" si="31"/>
        <v>0</v>
      </c>
      <c r="K48" s="2"/>
      <c r="L48" s="7">
        <f t="shared" si="32"/>
        <v>117.9</v>
      </c>
      <c r="M48" s="2"/>
      <c r="N48" s="6">
        <f t="shared" si="33"/>
        <v>0</v>
      </c>
      <c r="O48" s="11"/>
      <c r="P48" s="7">
        <v>117.9</v>
      </c>
      <c r="Q48" s="2"/>
      <c r="R48" s="6">
        <f t="shared" si="34"/>
        <v>0</v>
      </c>
      <c r="S48" s="2"/>
      <c r="T48" s="7"/>
      <c r="U48" s="2"/>
      <c r="V48" s="6">
        <f t="shared" si="35"/>
        <v>0</v>
      </c>
      <c r="W48" s="2"/>
      <c r="X48" s="7">
        <f t="shared" si="36"/>
        <v>117.9</v>
      </c>
      <c r="Y48" s="2"/>
      <c r="Z48" s="6">
        <f t="shared" si="37"/>
        <v>0</v>
      </c>
    </row>
    <row r="49" spans="1:26" s="24" customFormat="1" hidden="1" outlineLevel="2" x14ac:dyDescent="0.25">
      <c r="A49" s="29"/>
      <c r="B49" s="11" t="str">
        <f>CONCATENATE("          ", "6375", " - ", "OUTSIDE REPAIRS &amp; MAINTENANCE")</f>
        <v xml:space="preserve">          6375 - OUTSIDE REPAIRS &amp; MAINTENANCE</v>
      </c>
      <c r="C49" s="11"/>
      <c r="D49" s="7"/>
      <c r="E49" s="2"/>
      <c r="F49" s="6">
        <f t="shared" si="30"/>
        <v>0</v>
      </c>
      <c r="G49" s="2"/>
      <c r="H49" s="7">
        <v>817.24</v>
      </c>
      <c r="I49" s="2"/>
      <c r="J49" s="6">
        <f t="shared" si="31"/>
        <v>5.4032110904537363E-2</v>
      </c>
      <c r="K49" s="2"/>
      <c r="L49" s="7">
        <f t="shared" si="32"/>
        <v>-817.24</v>
      </c>
      <c r="M49" s="2"/>
      <c r="N49" s="6">
        <f t="shared" si="33"/>
        <v>-1</v>
      </c>
      <c r="O49" s="11"/>
      <c r="P49" s="7">
        <v>114</v>
      </c>
      <c r="Q49" s="2"/>
      <c r="R49" s="6">
        <f t="shared" si="34"/>
        <v>0</v>
      </c>
      <c r="S49" s="2"/>
      <c r="T49" s="7">
        <v>1660.4</v>
      </c>
      <c r="U49" s="2"/>
      <c r="V49" s="6">
        <f t="shared" si="35"/>
        <v>8.3487278296626222E-2</v>
      </c>
      <c r="W49" s="2"/>
      <c r="X49" s="7">
        <f t="shared" si="36"/>
        <v>-1546.4</v>
      </c>
      <c r="Y49" s="2"/>
      <c r="Z49" s="6">
        <f t="shared" si="37"/>
        <v>-0.93134184533847264</v>
      </c>
    </row>
    <row r="50" spans="1:26" s="28" customFormat="1" outlineLevel="1" collapsed="1" x14ac:dyDescent="0.25">
      <c r="A50" s="27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SUM(OSRRefD22_8x_0)</f>
        <v>-201.88</v>
      </c>
      <c r="E50" s="1"/>
      <c r="F50" s="5">
        <f t="shared" ref="F50:F52" si="38">IF(D$12=0,0,D50/D$12)</f>
        <v>0</v>
      </c>
      <c r="G50" s="1"/>
      <c r="H50" s="1">
        <f>SUM(OSRRefH22_8x_0)</f>
        <v>682.79</v>
      </c>
      <c r="I50" s="1"/>
      <c r="J50" s="5">
        <f t="shared" ref="J50:J52" si="39">IF(H$12=0,0,H50/H$12)</f>
        <v>4.5142901723495013E-2</v>
      </c>
      <c r="K50" s="1"/>
      <c r="L50" s="1">
        <f t="shared" ref="L50:L52" si="40">+D50-H50</f>
        <v>-884.67</v>
      </c>
      <c r="M50" s="1"/>
      <c r="N50" s="5">
        <f t="shared" ref="N50:N52" si="41">IF(H50=0,0,L50/H50)</f>
        <v>-1.2956692394440457</v>
      </c>
      <c r="O50" s="14"/>
      <c r="P50" s="1">
        <f>SUM(OSRRefP22_8x_0)</f>
        <v>-374.91999999999996</v>
      </c>
      <c r="Q50" s="1"/>
      <c r="R50" s="5">
        <f t="shared" ref="R50:R52" si="42">IF(P$12=0,0,P50/P$12)</f>
        <v>0</v>
      </c>
      <c r="S50" s="1"/>
      <c r="T50" s="1">
        <f>SUM(OSRRefT22_8x_0)</f>
        <v>1010.7199999999999</v>
      </c>
      <c r="U50" s="1"/>
      <c r="V50" s="5">
        <f t="shared" ref="V50:V52" si="43">IF(T$12=0,0,T50/T$12)</f>
        <v>5.0820442013952083E-2</v>
      </c>
      <c r="W50" s="1"/>
      <c r="X50" s="1">
        <f t="shared" ref="X50:X52" si="44">+P50-T50</f>
        <v>-1385.6399999999999</v>
      </c>
      <c r="Y50" s="1"/>
      <c r="Z50" s="5">
        <f t="shared" ref="Z50:Z52" si="45">IF(T50=0,0,X50/T50)</f>
        <v>-1.3709434858318823</v>
      </c>
    </row>
    <row r="51" spans="1:26" s="24" customFormat="1" hidden="1" outlineLevel="2" x14ac:dyDescent="0.25">
      <c r="A51" s="29"/>
      <c r="B51" s="11" t="str">
        <f>CONCATENATE("          ", "6282", " - ", "JANITORIAL/EXTERMINATOR EXPENS")</f>
        <v xml:space="preserve">          6282 - JANITORIAL/EXTERMINATOR EXPENS</v>
      </c>
      <c r="C51" s="11"/>
      <c r="D51" s="7">
        <v>-201.88</v>
      </c>
      <c r="E51" s="2"/>
      <c r="F51" s="6">
        <f t="shared" si="38"/>
        <v>0</v>
      </c>
      <c r="G51" s="2"/>
      <c r="H51" s="7">
        <v>655.86</v>
      </c>
      <c r="I51" s="2"/>
      <c r="J51" s="6">
        <f t="shared" si="39"/>
        <v>4.3362415273175414E-2</v>
      </c>
      <c r="K51" s="2"/>
      <c r="L51" s="7">
        <f t="shared" si="40"/>
        <v>-857.74</v>
      </c>
      <c r="M51" s="2"/>
      <c r="N51" s="6">
        <f t="shared" si="41"/>
        <v>-1.3078095935108103</v>
      </c>
      <c r="O51" s="11"/>
      <c r="P51" s="7">
        <v>-201.88</v>
      </c>
      <c r="Q51" s="2"/>
      <c r="R51" s="6">
        <f t="shared" si="42"/>
        <v>0</v>
      </c>
      <c r="S51" s="2"/>
      <c r="T51" s="7">
        <v>983.79</v>
      </c>
      <c r="U51" s="2"/>
      <c r="V51" s="6">
        <f t="shared" si="43"/>
        <v>4.9466363235026435E-2</v>
      </c>
      <c r="W51" s="2"/>
      <c r="X51" s="7">
        <f t="shared" si="44"/>
        <v>-1185.67</v>
      </c>
      <c r="Y51" s="2"/>
      <c r="Z51" s="6">
        <f t="shared" si="45"/>
        <v>-1.2052063956738737</v>
      </c>
    </row>
    <row r="52" spans="1:26" s="24" customFormat="1" hidden="1" outlineLevel="2" x14ac:dyDescent="0.25">
      <c r="A52" s="29"/>
      <c r="B52" s="11" t="str">
        <f>CONCATENATE("          ", "6285", " - ", "JANITORIAL SERVICES")</f>
        <v xml:space="preserve">          6285 - JANITORIAL SERVICES</v>
      </c>
      <c r="C52" s="11"/>
      <c r="D52" s="7"/>
      <c r="E52" s="2"/>
      <c r="F52" s="6">
        <f t="shared" si="38"/>
        <v>0</v>
      </c>
      <c r="G52" s="2"/>
      <c r="H52" s="7">
        <v>26.93</v>
      </c>
      <c r="I52" s="2"/>
      <c r="J52" s="6">
        <f t="shared" si="39"/>
        <v>1.7804864503196017E-3</v>
      </c>
      <c r="K52" s="2"/>
      <c r="L52" s="7">
        <f t="shared" si="40"/>
        <v>-26.93</v>
      </c>
      <c r="M52" s="2"/>
      <c r="N52" s="6">
        <f t="shared" si="41"/>
        <v>-1</v>
      </c>
      <c r="O52" s="11"/>
      <c r="P52" s="7">
        <v>-173.04</v>
      </c>
      <c r="Q52" s="2"/>
      <c r="R52" s="6">
        <f t="shared" si="42"/>
        <v>0</v>
      </c>
      <c r="S52" s="2"/>
      <c r="T52" s="7">
        <v>26.93</v>
      </c>
      <c r="U52" s="2"/>
      <c r="V52" s="6">
        <f t="shared" si="43"/>
        <v>1.3540787789256467E-3</v>
      </c>
      <c r="W52" s="2"/>
      <c r="X52" s="7">
        <f t="shared" si="44"/>
        <v>-199.97</v>
      </c>
      <c r="Y52" s="2"/>
      <c r="Z52" s="6">
        <f t="shared" si="45"/>
        <v>-7.4255477163015229</v>
      </c>
    </row>
    <row r="53" spans="1:26" s="28" customFormat="1" outlineLevel="1" collapsed="1" x14ac:dyDescent="0.25">
      <c r="A53" s="27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SUM(OSRRefD22_9x_0)</f>
        <v>0</v>
      </c>
      <c r="E53" s="1"/>
      <c r="F53" s="5">
        <f t="shared" ref="F53:F56" si="46">IF(D$12=0,0,D53/D$12)</f>
        <v>0</v>
      </c>
      <c r="G53" s="1"/>
      <c r="H53" s="1">
        <f>SUM(OSRRefH22_9x_0)</f>
        <v>1024.3599999999999</v>
      </c>
      <c r="I53" s="1"/>
      <c r="J53" s="5">
        <f t="shared" ref="J53:J56" si="47">IF(H$12=0,0,H53/H$12)</f>
        <v>6.7725922771978725E-2</v>
      </c>
      <c r="K53" s="1"/>
      <c r="L53" s="1">
        <f t="shared" ref="L53:L56" si="48">+D53-H53</f>
        <v>-1024.3599999999999</v>
      </c>
      <c r="M53" s="1"/>
      <c r="N53" s="5">
        <f t="shared" ref="N53:N56" si="49">IF(H53=0,0,L53/H53)</f>
        <v>-1</v>
      </c>
      <c r="O53" s="14"/>
      <c r="P53" s="1">
        <f>SUM(OSRRefP22_9x_0)</f>
        <v>0</v>
      </c>
      <c r="Q53" s="1"/>
      <c r="R53" s="5">
        <f t="shared" ref="R53:R56" si="50">IF(P$12=0,0,P53/P$12)</f>
        <v>0</v>
      </c>
      <c r="S53" s="1"/>
      <c r="T53" s="1">
        <f>SUM(OSRRefT22_9x_0)</f>
        <v>4803.12</v>
      </c>
      <c r="U53" s="1"/>
      <c r="V53" s="5">
        <f t="shared" ref="V53:V56" si="51">IF(T$12=0,0,T53/T$12)</f>
        <v>0.24150771870157267</v>
      </c>
      <c r="W53" s="1"/>
      <c r="X53" s="1">
        <f t="shared" ref="X53:X56" si="52">+P53-T53</f>
        <v>-4803.12</v>
      </c>
      <c r="Y53" s="1"/>
      <c r="Z53" s="5">
        <f t="shared" ref="Z53:Z56" si="53">IF(T53=0,0,X53/T53)</f>
        <v>-1</v>
      </c>
    </row>
    <row r="54" spans="1:26" s="24" customFormat="1" hidden="1" outlineLevel="2" x14ac:dyDescent="0.25">
      <c r="A54" s="29"/>
      <c r="B54" s="11" t="str">
        <f>CONCATENATE("          ", "6237", " - ", "JANITORIAL SUPPLIES")</f>
        <v xml:space="preserve">          6237 - JANITORIAL SUPPLIES</v>
      </c>
      <c r="C54" s="11"/>
      <c r="D54" s="7"/>
      <c r="E54" s="2"/>
      <c r="F54" s="6">
        <f t="shared" si="46"/>
        <v>0</v>
      </c>
      <c r="G54" s="2"/>
      <c r="H54" s="7">
        <v>189.12</v>
      </c>
      <c r="I54" s="2"/>
      <c r="J54" s="6">
        <f t="shared" si="47"/>
        <v>1.2503735517431974E-2</v>
      </c>
      <c r="K54" s="2"/>
      <c r="L54" s="7">
        <f t="shared" si="48"/>
        <v>-189.12</v>
      </c>
      <c r="M54" s="2"/>
      <c r="N54" s="6">
        <f t="shared" si="49"/>
        <v>-1</v>
      </c>
      <c r="O54" s="11"/>
      <c r="P54" s="7"/>
      <c r="Q54" s="2"/>
      <c r="R54" s="6">
        <f t="shared" si="50"/>
        <v>0</v>
      </c>
      <c r="S54" s="2"/>
      <c r="T54" s="7">
        <v>409.99</v>
      </c>
      <c r="U54" s="2"/>
      <c r="V54" s="6">
        <f t="shared" si="51"/>
        <v>2.0614881491709095E-2</v>
      </c>
      <c r="W54" s="2"/>
      <c r="X54" s="7">
        <f t="shared" si="52"/>
        <v>-409.99</v>
      </c>
      <c r="Y54" s="2"/>
      <c r="Z54" s="6">
        <f t="shared" si="53"/>
        <v>-1</v>
      </c>
    </row>
    <row r="55" spans="1:26" s="24" customFormat="1" hidden="1" outlineLevel="2" x14ac:dyDescent="0.25">
      <c r="A55" s="29"/>
      <c r="B55" s="11" t="str">
        <f>CONCATENATE("          ", "6243", " - ", "PAPER SUPPLIES")</f>
        <v xml:space="preserve">          6243 - PAPER SUPPLIES</v>
      </c>
      <c r="C55" s="11"/>
      <c r="D55" s="7"/>
      <c r="E55" s="2"/>
      <c r="F55" s="6">
        <f t="shared" si="46"/>
        <v>0</v>
      </c>
      <c r="G55" s="2"/>
      <c r="H55" s="7">
        <v>298.33</v>
      </c>
      <c r="I55" s="2"/>
      <c r="J55" s="6">
        <f t="shared" si="47"/>
        <v>1.9724193194350044E-2</v>
      </c>
      <c r="K55" s="2"/>
      <c r="L55" s="7">
        <f t="shared" si="48"/>
        <v>-298.33</v>
      </c>
      <c r="M55" s="2"/>
      <c r="N55" s="6">
        <f t="shared" si="49"/>
        <v>-1</v>
      </c>
      <c r="O55" s="11"/>
      <c r="P55" s="7"/>
      <c r="Q55" s="2"/>
      <c r="R55" s="6">
        <f t="shared" si="50"/>
        <v>0</v>
      </c>
      <c r="S55" s="2"/>
      <c r="T55" s="7">
        <v>298.33</v>
      </c>
      <c r="U55" s="2"/>
      <c r="V55" s="6">
        <f t="shared" si="51"/>
        <v>1.500045756096874E-2</v>
      </c>
      <c r="W55" s="2"/>
      <c r="X55" s="7">
        <f t="shared" si="52"/>
        <v>-298.33</v>
      </c>
      <c r="Y55" s="2"/>
      <c r="Z55" s="6">
        <f t="shared" si="53"/>
        <v>-1</v>
      </c>
    </row>
    <row r="56" spans="1:26" s="24" customFormat="1" hidden="1" outlineLevel="2" x14ac:dyDescent="0.25">
      <c r="A56" s="29"/>
      <c r="B56" s="11" t="str">
        <f>CONCATENATE("          ", "6247", " - ", "STORE SUPPLIES")</f>
        <v xml:space="preserve">          6247 - STORE SUPPLIES</v>
      </c>
      <c r="C56" s="11"/>
      <c r="D56" s="7"/>
      <c r="E56" s="2"/>
      <c r="F56" s="6">
        <f t="shared" si="46"/>
        <v>0</v>
      </c>
      <c r="G56" s="2"/>
      <c r="H56" s="7">
        <v>536.91</v>
      </c>
      <c r="I56" s="2"/>
      <c r="J56" s="6">
        <f t="shared" si="47"/>
        <v>3.5497994060196707E-2</v>
      </c>
      <c r="K56" s="2"/>
      <c r="L56" s="7">
        <f t="shared" si="48"/>
        <v>-536.91</v>
      </c>
      <c r="M56" s="2"/>
      <c r="N56" s="6">
        <f t="shared" si="49"/>
        <v>-1</v>
      </c>
      <c r="O56" s="11"/>
      <c r="P56" s="7"/>
      <c r="Q56" s="2"/>
      <c r="R56" s="6">
        <f t="shared" si="50"/>
        <v>0</v>
      </c>
      <c r="S56" s="2"/>
      <c r="T56" s="7">
        <v>4094.8</v>
      </c>
      <c r="U56" s="2"/>
      <c r="V56" s="6">
        <f t="shared" si="51"/>
        <v>0.20589237964889487</v>
      </c>
      <c r="W56" s="2"/>
      <c r="X56" s="7">
        <f t="shared" si="52"/>
        <v>-4094.8</v>
      </c>
      <c r="Y56" s="2"/>
      <c r="Z56" s="6">
        <f t="shared" si="53"/>
        <v>-1</v>
      </c>
    </row>
    <row r="57" spans="1:26" s="28" customFormat="1" outlineLevel="1" collapsed="1" x14ac:dyDescent="0.25">
      <c r="A57" s="27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91.01</v>
      </c>
      <c r="E57" s="1"/>
      <c r="F57" s="5">
        <f t="shared" ref="F57:F58" si="54">IF(D$12=0,0,D57/D$12)</f>
        <v>0</v>
      </c>
      <c r="G57" s="1"/>
      <c r="H57" s="1">
        <f>SUM(OSRRefH22_10x_0)</f>
        <v>91.01</v>
      </c>
      <c r="I57" s="1"/>
      <c r="J57" s="5">
        <f t="shared" ref="J57:J58" si="55">IF(H$12=0,0,H57/H$12)</f>
        <v>6.0171582563530246E-3</v>
      </c>
      <c r="K57" s="1"/>
      <c r="L57" s="1">
        <f t="shared" ref="L57:L58" si="56">+D57-H57</f>
        <v>0</v>
      </c>
      <c r="M57" s="1"/>
      <c r="N57" s="5">
        <f t="shared" ref="N57:N58" si="57">IF(H57=0,0,L57/H57)</f>
        <v>0</v>
      </c>
      <c r="O57" s="14"/>
      <c r="P57" s="1">
        <f>SUM(OSRRefP22_10x_0)</f>
        <v>182.02</v>
      </c>
      <c r="Q57" s="1"/>
      <c r="R57" s="5">
        <f t="shared" ref="R57:R58" si="58">IF(P$12=0,0,P57/P$12)</f>
        <v>0</v>
      </c>
      <c r="S57" s="1"/>
      <c r="T57" s="1">
        <f>SUM(OSRRefT22_10x_0)</f>
        <v>160.02000000000001</v>
      </c>
      <c r="U57" s="1"/>
      <c r="V57" s="5">
        <f t="shared" ref="V57:V58" si="59">IF(T$12=0,0,T57/T$12)</f>
        <v>8.0460336503409575E-3</v>
      </c>
      <c r="W57" s="1"/>
      <c r="X57" s="1">
        <f t="shared" ref="X57:X58" si="60">+P57-T57</f>
        <v>22</v>
      </c>
      <c r="Y57" s="1"/>
      <c r="Z57" s="5">
        <f t="shared" ref="Z57:Z58" si="61">IF(T57=0,0,X57/T57)</f>
        <v>0.13748281464816897</v>
      </c>
    </row>
    <row r="58" spans="1:26" s="24" customFormat="1" hidden="1" outlineLevel="2" x14ac:dyDescent="0.25">
      <c r="A58" s="29"/>
      <c r="B58" s="11" t="str">
        <f>CONCATENATE("          ", "6309", " - ", "TELEPHONE")</f>
        <v xml:space="preserve">          6309 - TELEPHONE</v>
      </c>
      <c r="C58" s="11"/>
      <c r="D58" s="7">
        <v>91.01</v>
      </c>
      <c r="E58" s="2"/>
      <c r="F58" s="6">
        <f t="shared" si="54"/>
        <v>0</v>
      </c>
      <c r="G58" s="2"/>
      <c r="H58" s="7">
        <v>91.01</v>
      </c>
      <c r="I58" s="2"/>
      <c r="J58" s="6">
        <f t="shared" si="55"/>
        <v>6.0171582563530246E-3</v>
      </c>
      <c r="K58" s="2"/>
      <c r="L58" s="7">
        <f t="shared" si="56"/>
        <v>0</v>
      </c>
      <c r="M58" s="2"/>
      <c r="N58" s="6">
        <f t="shared" si="57"/>
        <v>0</v>
      </c>
      <c r="O58" s="11"/>
      <c r="P58" s="7">
        <v>182.02</v>
      </c>
      <c r="Q58" s="2"/>
      <c r="R58" s="6">
        <f t="shared" si="58"/>
        <v>0</v>
      </c>
      <c r="S58" s="2"/>
      <c r="T58" s="7">
        <v>160.02000000000001</v>
      </c>
      <c r="U58" s="2"/>
      <c r="V58" s="6">
        <f t="shared" si="59"/>
        <v>8.0460336503409575E-3</v>
      </c>
      <c r="W58" s="2"/>
      <c r="X58" s="7">
        <f t="shared" si="60"/>
        <v>22</v>
      </c>
      <c r="Y58" s="2"/>
      <c r="Z58" s="6">
        <f t="shared" si="61"/>
        <v>0.13748281464816897</v>
      </c>
    </row>
    <row r="59" spans="1:26" s="52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x14ac:dyDescent="0.25">
      <c r="A60" s="10"/>
      <c r="B60" s="25" t="s">
        <v>0</v>
      </c>
      <c r="C60" s="10"/>
      <c r="D60" s="4">
        <f>SUM(0)</f>
        <v>0</v>
      </c>
      <c r="E60" s="4"/>
      <c r="F60" s="12">
        <f>IF(D$12=0,0,D60/D$12)</f>
        <v>0</v>
      </c>
      <c r="G60" s="4"/>
      <c r="H60" s="4">
        <f>SUM(0)</f>
        <v>0</v>
      </c>
      <c r="I60" s="4"/>
      <c r="J60" s="12">
        <f>IF(H$12=0,0,H60/H$12)</f>
        <v>0</v>
      </c>
      <c r="K60" s="4"/>
      <c r="L60" s="4">
        <f>+D60-H60</f>
        <v>0</v>
      </c>
      <c r="M60" s="4"/>
      <c r="N60" s="12">
        <f>IF(H60=0,0,L60/H60)</f>
        <v>0</v>
      </c>
      <c r="O60" s="10"/>
      <c r="P60" s="4">
        <f>SUM(0)</f>
        <v>0</v>
      </c>
      <c r="Q60" s="4"/>
      <c r="R60" s="12">
        <f>IF(P$12=0,0,P60/P$12)</f>
        <v>0</v>
      </c>
      <c r="S60" s="4"/>
      <c r="T60" s="4">
        <f>SUM(0)</f>
        <v>0</v>
      </c>
      <c r="U60" s="4"/>
      <c r="V60" s="12">
        <f>IF(T$12=0,0,T60/T$12)</f>
        <v>0</v>
      </c>
      <c r="W60" s="4"/>
      <c r="X60" s="4">
        <f>+P60-T60</f>
        <v>0</v>
      </c>
      <c r="Y60" s="4"/>
      <c r="Z60" s="12">
        <f>IF(T60=0,0,X60/T60)</f>
        <v>0</v>
      </c>
    </row>
    <row r="61" spans="1:26" x14ac:dyDescent="0.25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25">
      <c r="A62" s="10"/>
      <c r="B62" s="26" t="s">
        <v>3</v>
      </c>
      <c r="C62" s="26"/>
      <c r="D62" s="22">
        <f>+D20-D22+D60</f>
        <v>-603.72</v>
      </c>
      <c r="E62" s="13"/>
      <c r="F62" s="21">
        <f>IF(D$12=0,0,D62/D$12)</f>
        <v>0</v>
      </c>
      <c r="G62" s="13"/>
      <c r="H62" s="22">
        <f>+H20-H22+H60</f>
        <v>-3811.6300000000028</v>
      </c>
      <c r="I62" s="13"/>
      <c r="J62" s="21">
        <f>IF(H$12=0,0,H62/H$12)</f>
        <v>-0.25200726211034935</v>
      </c>
      <c r="K62" s="16"/>
      <c r="L62" s="22">
        <f>+D62-H62</f>
        <v>3207.9100000000026</v>
      </c>
      <c r="M62" s="16"/>
      <c r="N62" s="21">
        <f>IF(H62=0,0,L62/H62)</f>
        <v>-0.84161106928007179</v>
      </c>
      <c r="O62" s="25"/>
      <c r="P62" s="22">
        <f>+P20-P22+P60</f>
        <v>-951.12</v>
      </c>
      <c r="Q62" s="13"/>
      <c r="R62" s="21">
        <f>IF(P$12=0,0,P62/P$12)</f>
        <v>0</v>
      </c>
      <c r="S62" s="13"/>
      <c r="T62" s="22">
        <f>+T20-T22+T60</f>
        <v>-15614.490000000002</v>
      </c>
      <c r="U62" s="13"/>
      <c r="V62" s="21">
        <f>IF(T$12=0,0,T62/T$12)</f>
        <v>-0.78511880997945505</v>
      </c>
      <c r="W62" s="16"/>
      <c r="X62" s="22">
        <f>+P62-T62</f>
        <v>14663.37</v>
      </c>
      <c r="Y62" s="16"/>
      <c r="Z62" s="21">
        <f>IF(T62=0,0,X62/T62)</f>
        <v>-0.93908734771356606</v>
      </c>
    </row>
    <row r="63" spans="1:26" x14ac:dyDescent="0.25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51"/>
      <c r="B64" s="10" t="s">
        <v>13</v>
      </c>
      <c r="C64" s="10"/>
      <c r="D64" s="4"/>
      <c r="E64" s="4"/>
      <c r="F64" s="12">
        <f>IF(D$12=0,0,D64/D$12)</f>
        <v>0</v>
      </c>
      <c r="G64" s="4"/>
      <c r="H64" s="4">
        <v>1489.32</v>
      </c>
      <c r="I64" s="4"/>
      <c r="J64" s="12">
        <f>IF(H$12=0,0,H64/H$12)</f>
        <v>9.8466917199776793E-2</v>
      </c>
      <c r="K64" s="4"/>
      <c r="L64" s="4">
        <f>+D64-H64</f>
        <v>-1489.32</v>
      </c>
      <c r="M64" s="4"/>
      <c r="N64" s="12">
        <f>IF(H64=0,0,L64/H64)</f>
        <v>-1</v>
      </c>
      <c r="O64" s="10"/>
      <c r="P64" s="4"/>
      <c r="Q64" s="4"/>
      <c r="R64" s="12">
        <f>IF(P$12=0,0,P64/P$12)</f>
        <v>0</v>
      </c>
      <c r="S64" s="4"/>
      <c r="T64" s="4">
        <v>2479.6799999999998</v>
      </c>
      <c r="U64" s="4"/>
      <c r="V64" s="12">
        <f>IF(T$12=0,0,T64/T$12)</f>
        <v>0.12468184428244886</v>
      </c>
      <c r="W64" s="4"/>
      <c r="X64" s="4">
        <f>+P64-T64</f>
        <v>-2479.6799999999998</v>
      </c>
      <c r="Y64" s="4"/>
      <c r="Z64" s="12">
        <f>IF(T64=0,0,X64/T64)</f>
        <v>-1</v>
      </c>
    </row>
    <row r="65" spans="1:26" x14ac:dyDescent="0.25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.75" thickBot="1" x14ac:dyDescent="0.3">
      <c r="A66" s="10"/>
      <c r="B66" s="26" t="s">
        <v>4</v>
      </c>
      <c r="C66" s="26"/>
      <c r="D66" s="36">
        <f>+D62-D64</f>
        <v>-603.72</v>
      </c>
      <c r="E66" s="13"/>
      <c r="F66" s="34">
        <f>IF(D$12=0,0,D66/D$12)</f>
        <v>0</v>
      </c>
      <c r="G66" s="13"/>
      <c r="H66" s="36">
        <f>+H62-H64</f>
        <v>-5300.9500000000025</v>
      </c>
      <c r="I66" s="13"/>
      <c r="J66" s="34">
        <f>IF(H$12=0,0,H66/H$12)</f>
        <v>-0.35047417931012614</v>
      </c>
      <c r="K66" s="16"/>
      <c r="L66" s="36">
        <f>D66-H66</f>
        <v>4697.2300000000023</v>
      </c>
      <c r="M66" s="16"/>
      <c r="N66" s="34">
        <f>IF(H66=0,0,L66/H66)</f>
        <v>-0.88611098010733924</v>
      </c>
      <c r="O66" s="25"/>
      <c r="P66" s="36">
        <f>+P62-P64</f>
        <v>-951.12</v>
      </c>
      <c r="Q66" s="13"/>
      <c r="R66" s="34">
        <f>IF(P$12=0,0,P66/P$12)</f>
        <v>0</v>
      </c>
      <c r="S66" s="13"/>
      <c r="T66" s="36">
        <f>+T62-T64</f>
        <v>-18094.170000000002</v>
      </c>
      <c r="U66" s="13"/>
      <c r="V66" s="34">
        <f>IF(T$12=0,0,T66/T$12)</f>
        <v>-0.90980065426190393</v>
      </c>
      <c r="W66" s="16"/>
      <c r="X66" s="36">
        <f>P66-T66</f>
        <v>17143.050000000003</v>
      </c>
      <c r="Y66" s="16"/>
      <c r="Z66" s="34">
        <f>IF(T66=0,0,X66/T66)</f>
        <v>-0.94743500254501867</v>
      </c>
    </row>
    <row r="67" spans="1:26" ht="15.75" thickTop="1" x14ac:dyDescent="0.25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.75" thickBot="1" x14ac:dyDescent="0.3">
      <c r="A69" s="10"/>
      <c r="B69" s="26" t="s">
        <v>5</v>
      </c>
      <c r="C69" s="26"/>
      <c r="D69" s="30">
        <f>SUM(D66:D68)</f>
        <v>-603.72</v>
      </c>
      <c r="E69" s="13"/>
      <c r="F69" s="31">
        <f>IF(D$12=0,0,D69/D$12)</f>
        <v>0</v>
      </c>
      <c r="G69" s="13"/>
      <c r="H69" s="30">
        <f>SUM(H66:H68)</f>
        <v>-5300.9500000000025</v>
      </c>
      <c r="I69" s="13"/>
      <c r="J69" s="31">
        <f>IF(H$12=0,0,H69/H$12)</f>
        <v>-0.35047417931012614</v>
      </c>
      <c r="K69" s="16"/>
      <c r="L69" s="30">
        <f>+D69-H69</f>
        <v>4697.2300000000023</v>
      </c>
      <c r="M69" s="16"/>
      <c r="N69" s="31">
        <f>IF(H69=0,0,L69/H69)</f>
        <v>-0.88611098010733924</v>
      </c>
      <c r="O69" s="25"/>
      <c r="P69" s="30">
        <f>SUM(P66:P68)</f>
        <v>-951.12</v>
      </c>
      <c r="Q69" s="13"/>
      <c r="R69" s="31">
        <f>IF(P$12=0,0,P69/P$12)</f>
        <v>0</v>
      </c>
      <c r="S69" s="13"/>
      <c r="T69" s="30">
        <f>SUM(T66:T68)</f>
        <v>-18094.170000000002</v>
      </c>
      <c r="U69" s="13"/>
      <c r="V69" s="31">
        <f>IF(T$12=0,0,T69/T$12)</f>
        <v>-0.90980065426190393</v>
      </c>
      <c r="W69" s="16"/>
      <c r="X69" s="30">
        <f>+P69-T69</f>
        <v>17143.050000000003</v>
      </c>
      <c r="Y69" s="16"/>
      <c r="Z69" s="31">
        <f>IF(T69=0,0,X69/T69)</f>
        <v>-0.94743500254501867</v>
      </c>
    </row>
    <row r="70" spans="1:26" ht="15.75" thickTop="1" x14ac:dyDescent="0.25">
      <c r="A70" s="9"/>
      <c r="C70" s="9"/>
      <c r="D70" s="18"/>
      <c r="E70" s="18"/>
      <c r="G70" s="18"/>
      <c r="H70" s="18"/>
      <c r="I70" s="18"/>
      <c r="J70" s="43"/>
      <c r="K70" s="18"/>
      <c r="L70" s="18"/>
      <c r="M70" s="18"/>
      <c r="P70" s="18"/>
      <c r="Q70" s="18"/>
      <c r="R70" s="43"/>
      <c r="S70" s="18"/>
      <c r="T70" s="18"/>
      <c r="U70" s="18"/>
      <c r="V70" s="43"/>
      <c r="W70" s="18"/>
      <c r="X70" s="18"/>
    </row>
    <row r="71" spans="1:26" x14ac:dyDescent="0.25">
      <c r="A71" s="9"/>
      <c r="B71" s="61">
        <v>44113.696200266204</v>
      </c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56" t="s">
        <v>313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8"/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","313", " - ", "Convenience Store")</f>
        <v>Department 313 - Convenience 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31680.65</v>
      </c>
      <c r="I12" s="4"/>
      <c r="J12" s="12"/>
      <c r="K12" s="4"/>
      <c r="L12" s="4">
        <f t="shared" ref="L12:L17" si="0">+D12-H12</f>
        <v>-31680.65</v>
      </c>
      <c r="M12" s="4"/>
      <c r="N12" s="12">
        <f t="shared" ref="N12:N17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51250.95</v>
      </c>
      <c r="U12" s="4"/>
      <c r="V12" s="12"/>
      <c r="W12" s="4"/>
      <c r="X12" s="4">
        <f t="shared" ref="X12:X17" si="2">+P12-T12</f>
        <v>-51250.95</v>
      </c>
      <c r="Y12" s="4"/>
      <c r="Z12" s="12">
        <f t="shared" ref="Z12:Z17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7" si="4">0</f>
        <v>0</v>
      </c>
      <c r="E13" s="2"/>
      <c r="F13" s="19"/>
      <c r="G13" s="2"/>
      <c r="H13" s="2">
        <f>--6573.83</f>
        <v>6573.83</v>
      </c>
      <c r="I13" s="2"/>
      <c r="J13" s="19"/>
      <c r="K13" s="2"/>
      <c r="L13" s="2">
        <f t="shared" si="0"/>
        <v>-6573.83</v>
      </c>
      <c r="M13" s="2"/>
      <c r="N13" s="19">
        <f t="shared" si="1"/>
        <v>-1</v>
      </c>
      <c r="O13" s="11"/>
      <c r="P13" s="2">
        <f t="shared" ref="P13:P17" si="5">0</f>
        <v>0</v>
      </c>
      <c r="Q13" s="2"/>
      <c r="R13" s="19"/>
      <c r="S13" s="2"/>
      <c r="T13" s="2">
        <f>--10268.35</f>
        <v>10268.35</v>
      </c>
      <c r="U13" s="2"/>
      <c r="V13" s="19"/>
      <c r="W13" s="2"/>
      <c r="X13" s="2">
        <f t="shared" si="2"/>
        <v>-10268.35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 t="shared" si="4"/>
        <v>0</v>
      </c>
      <c r="E14" s="2"/>
      <c r="F14" s="19"/>
      <c r="G14" s="2"/>
      <c r="H14" s="2">
        <f>--357.65</f>
        <v>357.65</v>
      </c>
      <c r="I14" s="2"/>
      <c r="J14" s="19"/>
      <c r="K14" s="2"/>
      <c r="L14" s="2">
        <f t="shared" si="0"/>
        <v>-357.65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--646.4</f>
        <v>646.4</v>
      </c>
      <c r="U14" s="2"/>
      <c r="V14" s="19"/>
      <c r="W14" s="2"/>
      <c r="X14" s="2">
        <f t="shared" si="2"/>
        <v>-646.4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"4132", " - ", "NON-TAXABLE SALES-JUICE")</f>
        <v xml:space="preserve">          4132 - NON-TAXABLE SALES-JUICE</v>
      </c>
      <c r="C15" s="11"/>
      <c r="D15" s="2">
        <f t="shared" si="4"/>
        <v>0</v>
      </c>
      <c r="E15" s="2"/>
      <c r="F15" s="19"/>
      <c r="G15" s="2"/>
      <c r="H15" s="2">
        <f>--24576.15</f>
        <v>24576.15</v>
      </c>
      <c r="I15" s="2"/>
      <c r="J15" s="19"/>
      <c r="K15" s="2"/>
      <c r="L15" s="2">
        <f t="shared" si="0"/>
        <v>-24576.15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--39956.07</f>
        <v>39956.07</v>
      </c>
      <c r="U15" s="2"/>
      <c r="V15" s="19"/>
      <c r="W15" s="2"/>
      <c r="X15" s="2">
        <f t="shared" si="2"/>
        <v>-39956.07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"4134", " - ", "NON-TAXABLE SALES-SODA")</f>
        <v xml:space="preserve">          4134 - NON-TAXABLE SALES-SODA</v>
      </c>
      <c r="C16" s="11"/>
      <c r="D16" s="2">
        <f t="shared" si="4"/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-3.39</f>
        <v>-3.39</v>
      </c>
      <c r="U16" s="2"/>
      <c r="V16" s="19"/>
      <c r="W16" s="2"/>
      <c r="X16" s="2">
        <f t="shared" si="2"/>
        <v>3.39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"4137", " - ", "NON-TAXABLE SALES-WATER")</f>
        <v xml:space="preserve">          4137 - NON-TAXABLE SALES-WATER</v>
      </c>
      <c r="C17" s="11"/>
      <c r="D17" s="2">
        <f t="shared" si="4"/>
        <v>0</v>
      </c>
      <c r="E17" s="2"/>
      <c r="F17" s="19"/>
      <c r="G17" s="2"/>
      <c r="H17" s="2">
        <f>--173.02</f>
        <v>173.02</v>
      </c>
      <c r="I17" s="2"/>
      <c r="J17" s="19"/>
      <c r="K17" s="2"/>
      <c r="L17" s="2">
        <f t="shared" si="0"/>
        <v>-173.02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--383.52</f>
        <v>383.52</v>
      </c>
      <c r="U17" s="2"/>
      <c r="V17" s="19"/>
      <c r="W17" s="2"/>
      <c r="X17" s="2">
        <f t="shared" si="2"/>
        <v>-383.52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8</v>
      </c>
      <c r="C19" s="10"/>
      <c r="D19" s="4">
        <f>SUM(OSRRefD16x_0)</f>
        <v>-613.59</v>
      </c>
      <c r="E19" s="4"/>
      <c r="F19" s="12">
        <f t="shared" ref="F19:F21" si="6">IF(D$12=0,0,D19/D$12)</f>
        <v>0</v>
      </c>
      <c r="G19" s="4"/>
      <c r="H19" s="4">
        <f>SUM(OSRRefH16x_0)</f>
        <v>14807.23</v>
      </c>
      <c r="I19" s="4"/>
      <c r="J19" s="12">
        <f t="shared" ref="J19:J21" si="7">IF(H$12=0,0,H19/H$12)</f>
        <v>0.46739034710462063</v>
      </c>
      <c r="K19" s="4"/>
      <c r="L19" s="4">
        <f t="shared" ref="L19:L21" si="8">+D19-H19</f>
        <v>-15420.82</v>
      </c>
      <c r="M19" s="4"/>
      <c r="N19" s="12">
        <f t="shared" ref="N19:N21" si="9">IF(H19=0,0,L19/H19)</f>
        <v>-1.0414385404967708</v>
      </c>
      <c r="O19" s="10"/>
      <c r="P19" s="4">
        <f>SUM(OSRRefP16x_0)</f>
        <v>-613.59</v>
      </c>
      <c r="Q19" s="4"/>
      <c r="R19" s="12">
        <f t="shared" ref="R19:R21" si="10">IF(P$12=0,0,P19/P$12)</f>
        <v>0</v>
      </c>
      <c r="S19" s="4"/>
      <c r="T19" s="4">
        <f>SUM(OSRRefT16x_0)</f>
        <v>23875.54</v>
      </c>
      <c r="U19" s="4"/>
      <c r="V19" s="12">
        <f t="shared" ref="V19:V21" si="11">IF(T$12=0,0,T19/T$12)</f>
        <v>0.46585555975059978</v>
      </c>
      <c r="W19" s="4"/>
      <c r="X19" s="4">
        <f t="shared" ref="X19:X21" si="12">+P19-T19</f>
        <v>-24489.13</v>
      </c>
      <c r="Y19" s="4"/>
      <c r="Z19" s="12">
        <f t="shared" ref="Z19:Z21" si="13">IF(T19=0,0,X19/T19)</f>
        <v>-1.0256995234453337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-613.59</v>
      </c>
      <c r="E20" s="2"/>
      <c r="F20" s="19">
        <f t="shared" si="6"/>
        <v>0</v>
      </c>
      <c r="G20" s="2"/>
      <c r="H20" s="2">
        <v>22428.28</v>
      </c>
      <c r="I20" s="2"/>
      <c r="J20" s="19">
        <f t="shared" si="7"/>
        <v>0.70794885837253962</v>
      </c>
      <c r="K20" s="2"/>
      <c r="L20" s="2">
        <f t="shared" si="8"/>
        <v>-23041.87</v>
      </c>
      <c r="M20" s="2"/>
      <c r="N20" s="19">
        <f t="shared" si="9"/>
        <v>-1.0273578714016411</v>
      </c>
      <c r="O20" s="11"/>
      <c r="P20" s="2">
        <v>-613.59</v>
      </c>
      <c r="Q20" s="2"/>
      <c r="R20" s="19">
        <f t="shared" si="10"/>
        <v>0</v>
      </c>
      <c r="S20" s="2"/>
      <c r="T20" s="2">
        <v>36585.07</v>
      </c>
      <c r="U20" s="2"/>
      <c r="V20" s="19">
        <f t="shared" si="11"/>
        <v>0.71384179220092514</v>
      </c>
      <c r="W20" s="2"/>
      <c r="X20" s="2">
        <f t="shared" si="12"/>
        <v>-37198.659999999996</v>
      </c>
      <c r="Y20" s="2"/>
      <c r="Z20" s="19">
        <f t="shared" si="13"/>
        <v>-1.0167715956263033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/>
      <c r="E21" s="2"/>
      <c r="F21" s="19">
        <f t="shared" si="6"/>
        <v>0</v>
      </c>
      <c r="G21" s="2"/>
      <c r="H21" s="2">
        <v>-7621.05</v>
      </c>
      <c r="I21" s="2"/>
      <c r="J21" s="19">
        <f t="shared" si="7"/>
        <v>-0.24055851126791905</v>
      </c>
      <c r="K21" s="2"/>
      <c r="L21" s="2">
        <f t="shared" si="8"/>
        <v>7621.05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-12709.53</v>
      </c>
      <c r="U21" s="2"/>
      <c r="V21" s="19">
        <f t="shared" si="11"/>
        <v>-0.24798623245032533</v>
      </c>
      <c r="W21" s="2"/>
      <c r="X21" s="2">
        <f t="shared" si="12"/>
        <v>12709.53</v>
      </c>
      <c r="Y21" s="2"/>
      <c r="Z21" s="19">
        <f t="shared" si="13"/>
        <v>-1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2">
        <f>D12-D19</f>
        <v>613.59</v>
      </c>
      <c r="E23" s="13"/>
      <c r="F23" s="21">
        <f>IF(D$12=0,0,D23/D$12)</f>
        <v>0</v>
      </c>
      <c r="G23" s="13"/>
      <c r="H23" s="22">
        <f>H12-H19</f>
        <v>16873.420000000002</v>
      </c>
      <c r="I23" s="13"/>
      <c r="J23" s="21">
        <f>IF(H$12=0,0,H23/H$12)</f>
        <v>0.53260965289537943</v>
      </c>
      <c r="K23" s="16"/>
      <c r="L23" s="22">
        <f>+D23-H23</f>
        <v>-16259.830000000002</v>
      </c>
      <c r="M23" s="16"/>
      <c r="N23" s="21">
        <f>IF(H23=0,0,L23/H23)</f>
        <v>-0.96363570633576356</v>
      </c>
      <c r="O23" s="25"/>
      <c r="P23" s="22">
        <f>P12-P19</f>
        <v>613.59</v>
      </c>
      <c r="Q23" s="13"/>
      <c r="R23" s="21">
        <f>IF(P$12=0,0,P23/P$12)</f>
        <v>0</v>
      </c>
      <c r="S23" s="13"/>
      <c r="T23" s="22">
        <f>T12-T19</f>
        <v>27375.409999999996</v>
      </c>
      <c r="U23" s="13"/>
      <c r="V23" s="21">
        <f>IF(T$12=0,0,T23/T$12)</f>
        <v>0.53414444024940022</v>
      </c>
      <c r="W23" s="16"/>
      <c r="X23" s="22">
        <f>+P23-T23</f>
        <v>-26761.819999999996</v>
      </c>
      <c r="Y23" s="16"/>
      <c r="Z23" s="21">
        <f>IF(T23=0,0,X23/T23)</f>
        <v>-0.97758608912158762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9678.07</v>
      </c>
      <c r="E25" s="20"/>
      <c r="F25" s="35">
        <f t="shared" ref="F25:F34" si="14">IF(D$12=0,0,D25/D$12)</f>
        <v>0</v>
      </c>
      <c r="G25" s="20"/>
      <c r="H25" s="20">
        <f>SUM(OSRRefH22x_0)</f>
        <v>17394.499999999996</v>
      </c>
      <c r="I25" s="20"/>
      <c r="J25" s="35">
        <f t="shared" ref="J25:J34" si="15">IF(H$12=0,0,H25/H$12)</f>
        <v>0.54905754774602145</v>
      </c>
      <c r="K25" s="4"/>
      <c r="L25" s="20">
        <f t="shared" ref="L25:L34" si="16">+D25-H25</f>
        <v>-7716.4299999999967</v>
      </c>
      <c r="M25" s="4"/>
      <c r="N25" s="35">
        <f t="shared" ref="N25:N34" si="17">IF(H25=0,0,L25/H25)</f>
        <v>-0.44361321107246532</v>
      </c>
      <c r="O25" s="10"/>
      <c r="P25" s="20">
        <f>SUM(OSRRefP22x_0)</f>
        <v>19355.23</v>
      </c>
      <c r="Q25" s="20"/>
      <c r="R25" s="35">
        <f t="shared" ref="R25:R34" si="18">IF(P$12=0,0,P25/P$12)</f>
        <v>0</v>
      </c>
      <c r="S25" s="20"/>
      <c r="T25" s="20">
        <f>SUM(OSRRefT22x_0)</f>
        <v>34083.740000000005</v>
      </c>
      <c r="U25" s="20"/>
      <c r="V25" s="35">
        <f t="shared" ref="V25:V34" si="19">IF(T$12=0,0,T25/T$12)</f>
        <v>0.6650362578644885</v>
      </c>
      <c r="W25" s="4"/>
      <c r="X25" s="20">
        <f t="shared" ref="X25:X34" si="20">+P25-T25</f>
        <v>-14728.510000000006</v>
      </c>
      <c r="Y25" s="4"/>
      <c r="Z25" s="35">
        <f t="shared" ref="Z25:Z34" si="21">IF(T25=0,0,X25/T25)</f>
        <v>-0.43212716679566276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3925.4199999999996</v>
      </c>
      <c r="E26" s="1"/>
      <c r="F26" s="5">
        <f t="shared" si="14"/>
        <v>0</v>
      </c>
      <c r="G26" s="1"/>
      <c r="H26" s="1">
        <f>SUM(OSRRefH22_0x_0)</f>
        <v>4094.5999999999995</v>
      </c>
      <c r="I26" s="1"/>
      <c r="J26" s="5">
        <f t="shared" si="15"/>
        <v>0.12924608554433067</v>
      </c>
      <c r="K26" s="1"/>
      <c r="L26" s="1">
        <f t="shared" si="16"/>
        <v>-169.17999999999984</v>
      </c>
      <c r="M26" s="1"/>
      <c r="N26" s="5">
        <f t="shared" si="17"/>
        <v>-4.1317833243784463E-2</v>
      </c>
      <c r="O26" s="14"/>
      <c r="P26" s="1">
        <f>SUM(OSRRefP22_0x_0)</f>
        <v>8027.25</v>
      </c>
      <c r="Q26" s="1"/>
      <c r="R26" s="5">
        <f t="shared" si="18"/>
        <v>0</v>
      </c>
      <c r="S26" s="1"/>
      <c r="T26" s="1">
        <f>SUM(OSRRefT22_0x_0)</f>
        <v>8761.93</v>
      </c>
      <c r="U26" s="1"/>
      <c r="V26" s="5">
        <f t="shared" si="19"/>
        <v>0.17096131876579851</v>
      </c>
      <c r="W26" s="1"/>
      <c r="X26" s="1">
        <f t="shared" si="20"/>
        <v>-734.68000000000029</v>
      </c>
      <c r="Y26" s="1"/>
      <c r="Z26" s="5">
        <f t="shared" si="21"/>
        <v>-8.3849106304204696E-2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357.68</v>
      </c>
      <c r="E27" s="2"/>
      <c r="F27" s="6">
        <f t="shared" si="14"/>
        <v>0</v>
      </c>
      <c r="G27" s="2"/>
      <c r="H27" s="7">
        <v>508.04</v>
      </c>
      <c r="I27" s="2"/>
      <c r="J27" s="6">
        <f t="shared" si="15"/>
        <v>1.6036287134260186E-2</v>
      </c>
      <c r="K27" s="2"/>
      <c r="L27" s="7">
        <f t="shared" si="16"/>
        <v>-150.36000000000001</v>
      </c>
      <c r="M27" s="2"/>
      <c r="N27" s="6">
        <f t="shared" si="17"/>
        <v>-0.29596094795685379</v>
      </c>
      <c r="O27" s="11"/>
      <c r="P27" s="7">
        <v>741.5</v>
      </c>
      <c r="Q27" s="2"/>
      <c r="R27" s="6">
        <f t="shared" si="18"/>
        <v>0</v>
      </c>
      <c r="S27" s="2"/>
      <c r="T27" s="7">
        <v>904.1</v>
      </c>
      <c r="U27" s="2"/>
      <c r="V27" s="6">
        <f t="shared" si="19"/>
        <v>1.7640648612367187E-2</v>
      </c>
      <c r="W27" s="2"/>
      <c r="X27" s="7">
        <f t="shared" si="20"/>
        <v>-162.60000000000002</v>
      </c>
      <c r="Y27" s="2"/>
      <c r="Z27" s="6">
        <f t="shared" si="21"/>
        <v>-0.17984736201747598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86.5</v>
      </c>
      <c r="E28" s="2"/>
      <c r="F28" s="6">
        <f t="shared" si="14"/>
        <v>0</v>
      </c>
      <c r="G28" s="2"/>
      <c r="H28" s="7">
        <v>161.97999999999999</v>
      </c>
      <c r="I28" s="2"/>
      <c r="J28" s="6">
        <f t="shared" si="15"/>
        <v>5.1129001456725158E-3</v>
      </c>
      <c r="K28" s="2"/>
      <c r="L28" s="7">
        <f t="shared" si="16"/>
        <v>-75.47999999999999</v>
      </c>
      <c r="M28" s="2"/>
      <c r="N28" s="6">
        <f t="shared" si="17"/>
        <v>-0.46598345474749964</v>
      </c>
      <c r="O28" s="11"/>
      <c r="P28" s="7">
        <v>179.32</v>
      </c>
      <c r="Q28" s="2"/>
      <c r="R28" s="6">
        <f t="shared" si="18"/>
        <v>0</v>
      </c>
      <c r="S28" s="2"/>
      <c r="T28" s="7">
        <v>298.5</v>
      </c>
      <c r="U28" s="2"/>
      <c r="V28" s="6">
        <f t="shared" si="19"/>
        <v>5.8242822815967321E-3</v>
      </c>
      <c r="W28" s="2"/>
      <c r="X28" s="7">
        <f t="shared" si="20"/>
        <v>-119.18</v>
      </c>
      <c r="Y28" s="2"/>
      <c r="Z28" s="6">
        <f t="shared" si="21"/>
        <v>-0.39926298157453938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2021.26</v>
      </c>
      <c r="E29" s="2"/>
      <c r="F29" s="6">
        <f t="shared" si="14"/>
        <v>0</v>
      </c>
      <c r="G29" s="2"/>
      <c r="H29" s="7">
        <v>2019.97</v>
      </c>
      <c r="I29" s="2"/>
      <c r="J29" s="6">
        <f t="shared" si="15"/>
        <v>6.3760371078244921E-2</v>
      </c>
      <c r="K29" s="2"/>
      <c r="L29" s="7">
        <f t="shared" si="16"/>
        <v>1.2899999999999636</v>
      </c>
      <c r="M29" s="2"/>
      <c r="N29" s="6">
        <f t="shared" si="17"/>
        <v>6.3862334589125764E-4</v>
      </c>
      <c r="O29" s="11"/>
      <c r="P29" s="7">
        <v>4042.52</v>
      </c>
      <c r="Q29" s="2"/>
      <c r="R29" s="6">
        <f t="shared" si="18"/>
        <v>0</v>
      </c>
      <c r="S29" s="2"/>
      <c r="T29" s="7">
        <v>4039.94</v>
      </c>
      <c r="U29" s="2"/>
      <c r="V29" s="6">
        <f t="shared" si="19"/>
        <v>7.882663638430118E-2</v>
      </c>
      <c r="W29" s="2"/>
      <c r="X29" s="7">
        <f t="shared" si="20"/>
        <v>2.5799999999999272</v>
      </c>
      <c r="Y29" s="2"/>
      <c r="Z29" s="6">
        <f t="shared" si="21"/>
        <v>6.3862334589125764E-4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12.16</v>
      </c>
      <c r="E30" s="2"/>
      <c r="F30" s="6">
        <f t="shared" si="14"/>
        <v>0</v>
      </c>
      <c r="G30" s="2"/>
      <c r="H30" s="7">
        <v>21.82</v>
      </c>
      <c r="I30" s="2"/>
      <c r="J30" s="6">
        <f t="shared" si="15"/>
        <v>6.8874849474363689E-4</v>
      </c>
      <c r="K30" s="2"/>
      <c r="L30" s="7">
        <f t="shared" si="16"/>
        <v>-9.66</v>
      </c>
      <c r="M30" s="2"/>
      <c r="N30" s="6">
        <f t="shared" si="17"/>
        <v>-0.44271310724106322</v>
      </c>
      <c r="O30" s="11"/>
      <c r="P30" s="7">
        <v>25.2</v>
      </c>
      <c r="Q30" s="2"/>
      <c r="R30" s="6">
        <f t="shared" si="18"/>
        <v>0</v>
      </c>
      <c r="S30" s="2"/>
      <c r="T30" s="7">
        <v>40.5</v>
      </c>
      <c r="U30" s="2"/>
      <c r="V30" s="6">
        <f t="shared" si="19"/>
        <v>7.9022925428699374E-4</v>
      </c>
      <c r="W30" s="2"/>
      <c r="X30" s="7">
        <f t="shared" si="20"/>
        <v>-15.3</v>
      </c>
      <c r="Y30" s="2"/>
      <c r="Z30" s="6">
        <f t="shared" si="21"/>
        <v>-0.37777777777777777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614.05999999999995</v>
      </c>
      <c r="E31" s="2"/>
      <c r="F31" s="6">
        <f t="shared" si="14"/>
        <v>0</v>
      </c>
      <c r="G31" s="2"/>
      <c r="H31" s="7">
        <v>568.97</v>
      </c>
      <c r="I31" s="2"/>
      <c r="J31" s="6">
        <f t="shared" si="15"/>
        <v>1.795954312806082E-2</v>
      </c>
      <c r="K31" s="2"/>
      <c r="L31" s="7">
        <f t="shared" si="16"/>
        <v>45.089999999999918</v>
      </c>
      <c r="M31" s="2"/>
      <c r="N31" s="6">
        <f t="shared" si="17"/>
        <v>7.9248466527233274E-2</v>
      </c>
      <c r="O31" s="11"/>
      <c r="P31" s="7">
        <v>1535.15</v>
      </c>
      <c r="Q31" s="2"/>
      <c r="R31" s="6">
        <f t="shared" si="18"/>
        <v>0</v>
      </c>
      <c r="S31" s="2"/>
      <c r="T31" s="7">
        <v>1137.94</v>
      </c>
      <c r="U31" s="2"/>
      <c r="V31" s="6">
        <f t="shared" si="19"/>
        <v>2.2203295743786215E-2</v>
      </c>
      <c r="W31" s="2"/>
      <c r="X31" s="7">
        <f t="shared" si="20"/>
        <v>397.21000000000004</v>
      </c>
      <c r="Y31" s="2"/>
      <c r="Z31" s="6">
        <f t="shared" si="21"/>
        <v>0.34906058315904182</v>
      </c>
    </row>
    <row r="32" spans="1:26" s="24" customFormat="1" hidden="1" outlineLevel="2" x14ac:dyDescent="0.25">
      <c r="A32" s="29"/>
      <c r="B32" s="11" t="str">
        <f>CONCATENATE("          ", "6118", " - ", "VACATION")</f>
        <v xml:space="preserve">          6118 - VACATION</v>
      </c>
      <c r="C32" s="11"/>
      <c r="D32" s="7">
        <v>407.06</v>
      </c>
      <c r="E32" s="2"/>
      <c r="F32" s="6">
        <f t="shared" si="14"/>
        <v>0</v>
      </c>
      <c r="G32" s="2"/>
      <c r="H32" s="7">
        <v>407.06</v>
      </c>
      <c r="I32" s="2"/>
      <c r="J32" s="6">
        <f t="shared" si="15"/>
        <v>1.2848852533013053E-2</v>
      </c>
      <c r="K32" s="2"/>
      <c r="L32" s="7">
        <f t="shared" si="16"/>
        <v>0</v>
      </c>
      <c r="M32" s="2"/>
      <c r="N32" s="6">
        <f t="shared" si="17"/>
        <v>0</v>
      </c>
      <c r="O32" s="11"/>
      <c r="P32" s="7">
        <v>814.12</v>
      </c>
      <c r="Q32" s="2"/>
      <c r="R32" s="6">
        <f t="shared" si="18"/>
        <v>0</v>
      </c>
      <c r="S32" s="2"/>
      <c r="T32" s="7">
        <v>1123.01</v>
      </c>
      <c r="U32" s="2"/>
      <c r="V32" s="6">
        <f t="shared" si="19"/>
        <v>2.1911984070539181E-2</v>
      </c>
      <c r="W32" s="2"/>
      <c r="X32" s="7">
        <f t="shared" si="20"/>
        <v>-308.89</v>
      </c>
      <c r="Y32" s="2"/>
      <c r="Z32" s="6">
        <f t="shared" si="21"/>
        <v>-0.27505543138529487</v>
      </c>
    </row>
    <row r="33" spans="1:26" s="24" customFormat="1" hidden="1" outlineLevel="2" x14ac:dyDescent="0.25">
      <c r="A33" s="29"/>
      <c r="B33" s="11" t="str">
        <f>CONCATENATE("          ", "6119", " - ", "SICK LEAVE")</f>
        <v xml:space="preserve">          6119 - SICK LEAVE</v>
      </c>
      <c r="C33" s="11"/>
      <c r="D33" s="7">
        <v>256.76</v>
      </c>
      <c r="E33" s="2"/>
      <c r="F33" s="6">
        <f t="shared" si="14"/>
        <v>0</v>
      </c>
      <c r="G33" s="2"/>
      <c r="H33" s="7">
        <v>256.76</v>
      </c>
      <c r="I33" s="2"/>
      <c r="J33" s="6">
        <f t="shared" si="15"/>
        <v>8.1046316915846101E-3</v>
      </c>
      <c r="K33" s="2"/>
      <c r="L33" s="7">
        <f t="shared" si="16"/>
        <v>0</v>
      </c>
      <c r="M33" s="2"/>
      <c r="N33" s="6">
        <f t="shared" si="17"/>
        <v>0</v>
      </c>
      <c r="O33" s="11"/>
      <c r="P33" s="7">
        <v>513.52</v>
      </c>
      <c r="Q33" s="2"/>
      <c r="R33" s="6">
        <f t="shared" si="18"/>
        <v>0</v>
      </c>
      <c r="S33" s="2"/>
      <c r="T33" s="7">
        <v>917.94</v>
      </c>
      <c r="U33" s="2"/>
      <c r="V33" s="6">
        <f t="shared" si="19"/>
        <v>1.7910692387165507E-2</v>
      </c>
      <c r="W33" s="2"/>
      <c r="X33" s="7">
        <f t="shared" si="20"/>
        <v>-404.42000000000007</v>
      </c>
      <c r="Y33" s="2"/>
      <c r="Z33" s="6">
        <f t="shared" si="21"/>
        <v>-0.4405734579602153</v>
      </c>
    </row>
    <row r="34" spans="1:26" s="24" customFormat="1" hidden="1" outlineLevel="2" x14ac:dyDescent="0.25">
      <c r="A34" s="29"/>
      <c r="B34" s="11" t="str">
        <f>CONCATENATE("          ", "6156", " - ", "EMPLOYEE MEALS")</f>
        <v xml:space="preserve">          6156 - EMPLOYEE MEALS</v>
      </c>
      <c r="C34" s="11"/>
      <c r="D34" s="7">
        <v>169.94</v>
      </c>
      <c r="E34" s="2"/>
      <c r="F34" s="6">
        <f t="shared" si="14"/>
        <v>0</v>
      </c>
      <c r="G34" s="2"/>
      <c r="H34" s="7">
        <v>150</v>
      </c>
      <c r="I34" s="2"/>
      <c r="J34" s="6">
        <f t="shared" si="15"/>
        <v>4.7347513387509411E-3</v>
      </c>
      <c r="K34" s="2"/>
      <c r="L34" s="7">
        <f t="shared" si="16"/>
        <v>19.939999999999998</v>
      </c>
      <c r="M34" s="2"/>
      <c r="N34" s="6">
        <f t="shared" si="17"/>
        <v>0.13293333333333332</v>
      </c>
      <c r="O34" s="11"/>
      <c r="P34" s="7">
        <v>175.92</v>
      </c>
      <c r="Q34" s="2"/>
      <c r="R34" s="6">
        <f t="shared" si="18"/>
        <v>0</v>
      </c>
      <c r="S34" s="2"/>
      <c r="T34" s="7">
        <v>300</v>
      </c>
      <c r="U34" s="2"/>
      <c r="V34" s="6">
        <f t="shared" si="19"/>
        <v>5.8535500317555096E-3</v>
      </c>
      <c r="W34" s="2"/>
      <c r="X34" s="7">
        <f t="shared" si="20"/>
        <v>-124.08000000000001</v>
      </c>
      <c r="Y34" s="2"/>
      <c r="Z34" s="6">
        <f t="shared" si="21"/>
        <v>-0.41360000000000002</v>
      </c>
    </row>
    <row r="35" spans="1:26" s="28" customFormat="1" outlineLevel="1" collapsed="1" x14ac:dyDescent="0.25">
      <c r="A35" s="27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5566.66</v>
      </c>
      <c r="E35" s="1"/>
      <c r="F35" s="5">
        <f t="shared" ref="F35:F40" si="22">IF(D$12=0,0,D35/D$12)</f>
        <v>0</v>
      </c>
      <c r="G35" s="1"/>
      <c r="H35" s="1">
        <f>SUM(OSRRefH22_1x_0)</f>
        <v>10231.36</v>
      </c>
      <c r="I35" s="1"/>
      <c r="J35" s="5">
        <f t="shared" ref="J35:J40" si="23">IF(H$12=0,0,H35/H$12)</f>
        <v>0.32295296971495219</v>
      </c>
      <c r="K35" s="1"/>
      <c r="L35" s="1">
        <f t="shared" ref="L35:L40" si="24">+D35-H35</f>
        <v>-4664.7000000000007</v>
      </c>
      <c r="M35" s="1"/>
      <c r="N35" s="5">
        <f t="shared" ref="N35:N40" si="25">IF(H35=0,0,L35/H35)</f>
        <v>-0.45592179338817129</v>
      </c>
      <c r="O35" s="14"/>
      <c r="P35" s="1">
        <f>SUM(OSRRefP22_1x_0)</f>
        <v>10959.69</v>
      </c>
      <c r="Q35" s="1"/>
      <c r="R35" s="5">
        <f t="shared" ref="R35:R40" si="26">IF(P$12=0,0,P35/P$12)</f>
        <v>0</v>
      </c>
      <c r="S35" s="1"/>
      <c r="T35" s="1">
        <f>SUM(OSRRefT22_1x_0)</f>
        <v>19237.060000000001</v>
      </c>
      <c r="U35" s="1"/>
      <c r="V35" s="5">
        <f t="shared" ref="V35:V40" si="27">IF(T$12=0,0,T35/T$12)</f>
        <v>0.37535031057960883</v>
      </c>
      <c r="W35" s="1"/>
      <c r="X35" s="1">
        <f t="shared" ref="X35:X40" si="28">+P35-T35</f>
        <v>-8277.3700000000008</v>
      </c>
      <c r="Y35" s="1"/>
      <c r="Z35" s="5">
        <f t="shared" ref="Z35:Z40" si="29">IF(T35=0,0,X35/T35)</f>
        <v>-0.43028248599318192</v>
      </c>
    </row>
    <row r="36" spans="1:26" s="24" customFormat="1" hidden="1" outlineLevel="2" x14ac:dyDescent="0.25">
      <c r="A36" s="29"/>
      <c r="B36" s="11" t="str">
        <f>CONCATENATE("          ", "6002", " - ", "STAFF SALARIES")</f>
        <v xml:space="preserve">          6002 - STAFF SALARIES</v>
      </c>
      <c r="C36" s="11"/>
      <c r="D36" s="7">
        <v>5566.66</v>
      </c>
      <c r="E36" s="2"/>
      <c r="F36" s="6">
        <f t="shared" si="22"/>
        <v>0</v>
      </c>
      <c r="G36" s="2"/>
      <c r="H36" s="7">
        <v>5566.66</v>
      </c>
      <c r="I36" s="2"/>
      <c r="J36" s="6">
        <f t="shared" si="23"/>
        <v>0.17571167258247541</v>
      </c>
      <c r="K36" s="2"/>
      <c r="L36" s="7">
        <f t="shared" si="24"/>
        <v>0</v>
      </c>
      <c r="M36" s="2"/>
      <c r="N36" s="6">
        <f t="shared" si="25"/>
        <v>0</v>
      </c>
      <c r="O36" s="11"/>
      <c r="P36" s="7">
        <v>10959.69</v>
      </c>
      <c r="Q36" s="2"/>
      <c r="R36" s="6">
        <f t="shared" si="26"/>
        <v>0</v>
      </c>
      <c r="S36" s="2"/>
      <c r="T36" s="7">
        <v>11794.7</v>
      </c>
      <c r="U36" s="2"/>
      <c r="V36" s="6">
        <f t="shared" si="27"/>
        <v>0.2301362218651557</v>
      </c>
      <c r="W36" s="2"/>
      <c r="X36" s="7">
        <f t="shared" si="28"/>
        <v>-835.01000000000022</v>
      </c>
      <c r="Y36" s="2"/>
      <c r="Z36" s="6">
        <f t="shared" si="29"/>
        <v>-7.079535723672499E-2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2"/>
        <v>0</v>
      </c>
      <c r="G37" s="2"/>
      <c r="H37" s="7">
        <v>158.62</v>
      </c>
      <c r="I37" s="2"/>
      <c r="J37" s="6">
        <f t="shared" si="23"/>
        <v>5.0068417156844949E-3</v>
      </c>
      <c r="K37" s="2"/>
      <c r="L37" s="7">
        <f t="shared" si="24"/>
        <v>-158.62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158.62</v>
      </c>
      <c r="U37" s="2"/>
      <c r="V37" s="6">
        <f t="shared" si="27"/>
        <v>3.0949670201235297E-3</v>
      </c>
      <c r="W37" s="2"/>
      <c r="X37" s="7">
        <f t="shared" si="28"/>
        <v>-158.62</v>
      </c>
      <c r="Y37" s="2"/>
      <c r="Z37" s="6">
        <f t="shared" si="29"/>
        <v>-1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2"/>
        <v>0</v>
      </c>
      <c r="G38" s="2"/>
      <c r="H38" s="7">
        <v>156.19</v>
      </c>
      <c r="I38" s="2"/>
      <c r="J38" s="6">
        <f t="shared" si="23"/>
        <v>4.9301387439967294E-3</v>
      </c>
      <c r="K38" s="2"/>
      <c r="L38" s="7">
        <f t="shared" si="24"/>
        <v>-156.19</v>
      </c>
      <c r="M38" s="2"/>
      <c r="N38" s="6">
        <f t="shared" si="25"/>
        <v>-1</v>
      </c>
      <c r="O38" s="11"/>
      <c r="P38" s="7"/>
      <c r="Q38" s="2"/>
      <c r="R38" s="6">
        <f t="shared" si="26"/>
        <v>0</v>
      </c>
      <c r="S38" s="2"/>
      <c r="T38" s="7">
        <v>156.19</v>
      </c>
      <c r="U38" s="2"/>
      <c r="V38" s="6">
        <f t="shared" si="27"/>
        <v>3.04755326486631E-3</v>
      </c>
      <c r="W38" s="2"/>
      <c r="X38" s="7">
        <f t="shared" si="28"/>
        <v>-156.19</v>
      </c>
      <c r="Y38" s="2"/>
      <c r="Z38" s="6">
        <f t="shared" si="29"/>
        <v>-1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/>
      <c r="E39" s="2"/>
      <c r="F39" s="6">
        <f t="shared" si="22"/>
        <v>0</v>
      </c>
      <c r="G39" s="2"/>
      <c r="H39" s="7">
        <v>2724.26</v>
      </c>
      <c r="I39" s="2"/>
      <c r="J39" s="6">
        <f t="shared" si="23"/>
        <v>8.5991291214037591E-2</v>
      </c>
      <c r="K39" s="2"/>
      <c r="L39" s="7">
        <f t="shared" si="24"/>
        <v>-2724.26</v>
      </c>
      <c r="M39" s="2"/>
      <c r="N39" s="6">
        <f t="shared" si="25"/>
        <v>-1</v>
      </c>
      <c r="O39" s="11"/>
      <c r="P39" s="7"/>
      <c r="Q39" s="2"/>
      <c r="R39" s="6">
        <f t="shared" si="26"/>
        <v>0</v>
      </c>
      <c r="S39" s="2"/>
      <c r="T39" s="7">
        <v>3817.32</v>
      </c>
      <c r="U39" s="2"/>
      <c r="V39" s="6">
        <f t="shared" si="27"/>
        <v>7.44829120240698E-2</v>
      </c>
      <c r="W39" s="2"/>
      <c r="X39" s="7">
        <f t="shared" si="28"/>
        <v>-3817.32</v>
      </c>
      <c r="Y39" s="2"/>
      <c r="Z39" s="6">
        <f t="shared" si="29"/>
        <v>-1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2"/>
        <v>0</v>
      </c>
      <c r="G40" s="2"/>
      <c r="H40" s="7">
        <v>1625.63</v>
      </c>
      <c r="I40" s="2"/>
      <c r="J40" s="6">
        <f t="shared" si="23"/>
        <v>5.1313025458757947E-2</v>
      </c>
      <c r="K40" s="2"/>
      <c r="L40" s="7">
        <f t="shared" si="24"/>
        <v>-1625.63</v>
      </c>
      <c r="M40" s="2"/>
      <c r="N40" s="6">
        <f t="shared" si="25"/>
        <v>-1</v>
      </c>
      <c r="O40" s="11"/>
      <c r="P40" s="7"/>
      <c r="Q40" s="2"/>
      <c r="R40" s="6">
        <f t="shared" si="26"/>
        <v>0</v>
      </c>
      <c r="S40" s="2"/>
      <c r="T40" s="7">
        <v>3310.23</v>
      </c>
      <c r="U40" s="2"/>
      <c r="V40" s="6">
        <f t="shared" si="27"/>
        <v>6.4588656405393463E-2</v>
      </c>
      <c r="W40" s="2"/>
      <c r="X40" s="7">
        <f t="shared" si="28"/>
        <v>-3310.23</v>
      </c>
      <c r="Y40" s="2"/>
      <c r="Z40" s="6">
        <f t="shared" si="29"/>
        <v>-1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1" si="30">IF(D$12=0,0,D41/D$12)</f>
        <v>0</v>
      </c>
      <c r="G41" s="1"/>
      <c r="H41" s="1">
        <f>SUM(OSRRefH22_2x_0)</f>
        <v>52.61</v>
      </c>
      <c r="I41" s="1"/>
      <c r="J41" s="5">
        <f t="shared" ref="J41:J61" si="31">IF(H$12=0,0,H41/H$12)</f>
        <v>1.6606351195445799E-3</v>
      </c>
      <c r="K41" s="1"/>
      <c r="L41" s="1">
        <f t="shared" ref="L41:L61" si="32">+D41-H41</f>
        <v>-52.61</v>
      </c>
      <c r="M41" s="1"/>
      <c r="N41" s="5">
        <f t="shared" ref="N41:N61" si="33">IF(H41=0,0,L41/H41)</f>
        <v>-1</v>
      </c>
      <c r="O41" s="14"/>
      <c r="P41" s="1">
        <f>SUM(OSRRefP22_2x_0)</f>
        <v>0</v>
      </c>
      <c r="Q41" s="1"/>
      <c r="R41" s="5">
        <f t="shared" ref="R41:R61" si="34">IF(P$12=0,0,P41/P$12)</f>
        <v>0</v>
      </c>
      <c r="S41" s="1"/>
      <c r="T41" s="1">
        <f>SUM(OSRRefT22_2x_0)</f>
        <v>147.22999999999999</v>
      </c>
      <c r="U41" s="1"/>
      <c r="V41" s="5">
        <f t="shared" ref="V41:V61" si="35">IF(T$12=0,0,T41/T$12)</f>
        <v>2.872727237251212E-3</v>
      </c>
      <c r="W41" s="1"/>
      <c r="X41" s="1">
        <f t="shared" ref="X41:X61" si="36">+P41-T41</f>
        <v>-147.22999999999999</v>
      </c>
      <c r="Y41" s="1"/>
      <c r="Z41" s="5">
        <f t="shared" ref="Z41:Z61" si="37">IF(T41=0,0,X41/T41)</f>
        <v>-1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30"/>
        <v>0</v>
      </c>
      <c r="G42" s="2"/>
      <c r="H42" s="7">
        <v>52.61</v>
      </c>
      <c r="I42" s="2"/>
      <c r="J42" s="6">
        <f t="shared" si="31"/>
        <v>1.6606351195445799E-3</v>
      </c>
      <c r="K42" s="2"/>
      <c r="L42" s="7">
        <f t="shared" si="32"/>
        <v>-52.61</v>
      </c>
      <c r="M42" s="2"/>
      <c r="N42" s="6">
        <f t="shared" si="33"/>
        <v>-1</v>
      </c>
      <c r="O42" s="11"/>
      <c r="P42" s="7"/>
      <c r="Q42" s="2"/>
      <c r="R42" s="6">
        <f t="shared" si="34"/>
        <v>0</v>
      </c>
      <c r="S42" s="2"/>
      <c r="T42" s="7">
        <v>147.22999999999999</v>
      </c>
      <c r="U42" s="2"/>
      <c r="V42" s="6">
        <f t="shared" si="35"/>
        <v>2.872727237251212E-3</v>
      </c>
      <c r="W42" s="2"/>
      <c r="X42" s="7">
        <f t="shared" si="36"/>
        <v>-147.22999999999999</v>
      </c>
      <c r="Y42" s="2"/>
      <c r="Z42" s="6">
        <f t="shared" si="37"/>
        <v>-1</v>
      </c>
    </row>
    <row r="43" spans="1:26" s="28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30"/>
        <v>0</v>
      </c>
      <c r="G43" s="1"/>
      <c r="H43" s="1">
        <f>SUM(OSRRefH22_3x_0)</f>
        <v>-27.84</v>
      </c>
      <c r="I43" s="1"/>
      <c r="J43" s="5">
        <f t="shared" si="31"/>
        <v>-8.7876984847217463E-4</v>
      </c>
      <c r="K43" s="1"/>
      <c r="L43" s="1">
        <f t="shared" si="32"/>
        <v>27.84</v>
      </c>
      <c r="M43" s="1"/>
      <c r="N43" s="5">
        <f t="shared" si="33"/>
        <v>-1</v>
      </c>
      <c r="O43" s="14"/>
      <c r="P43" s="1">
        <f>SUM(OSRRefP22_3x_0)</f>
        <v>0</v>
      </c>
      <c r="Q43" s="1"/>
      <c r="R43" s="5">
        <f t="shared" si="34"/>
        <v>0</v>
      </c>
      <c r="S43" s="1"/>
      <c r="T43" s="1">
        <f>SUM(OSRRefT22_3x_0)</f>
        <v>-12.73</v>
      </c>
      <c r="U43" s="1"/>
      <c r="V43" s="5">
        <f t="shared" si="35"/>
        <v>-2.4838563968082545E-4</v>
      </c>
      <c r="W43" s="1"/>
      <c r="X43" s="1">
        <f t="shared" si="36"/>
        <v>12.73</v>
      </c>
      <c r="Y43" s="1"/>
      <c r="Z43" s="5">
        <f t="shared" si="37"/>
        <v>-1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30"/>
        <v>0</v>
      </c>
      <c r="G44" s="2"/>
      <c r="H44" s="7">
        <v>-27.84</v>
      </c>
      <c r="I44" s="2"/>
      <c r="J44" s="6">
        <f t="shared" si="31"/>
        <v>-8.7876984847217463E-4</v>
      </c>
      <c r="K44" s="2"/>
      <c r="L44" s="7">
        <f t="shared" si="32"/>
        <v>27.84</v>
      </c>
      <c r="M44" s="2"/>
      <c r="N44" s="6">
        <f t="shared" si="33"/>
        <v>-1</v>
      </c>
      <c r="O44" s="11"/>
      <c r="P44" s="7"/>
      <c r="Q44" s="2"/>
      <c r="R44" s="6">
        <f t="shared" si="34"/>
        <v>0</v>
      </c>
      <c r="S44" s="2"/>
      <c r="T44" s="7">
        <v>-12.73</v>
      </c>
      <c r="U44" s="2"/>
      <c r="V44" s="6">
        <f t="shared" si="35"/>
        <v>-2.4838563968082545E-4</v>
      </c>
      <c r="W44" s="2"/>
      <c r="X44" s="7">
        <f t="shared" si="36"/>
        <v>12.73</v>
      </c>
      <c r="Y44" s="2"/>
      <c r="Z44" s="6">
        <f t="shared" si="37"/>
        <v>-1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60</v>
      </c>
      <c r="E45" s="1"/>
      <c r="F45" s="5">
        <f t="shared" si="30"/>
        <v>0</v>
      </c>
      <c r="G45" s="1"/>
      <c r="H45" s="1">
        <f>SUM(OSRRefH22_4x_0)</f>
        <v>1087.81</v>
      </c>
      <c r="I45" s="1"/>
      <c r="J45" s="5">
        <f t="shared" si="31"/>
        <v>3.433673235871107E-2</v>
      </c>
      <c r="K45" s="1"/>
      <c r="L45" s="1">
        <f t="shared" si="32"/>
        <v>-1027.81</v>
      </c>
      <c r="M45" s="1"/>
      <c r="N45" s="5">
        <f t="shared" si="33"/>
        <v>-0.94484330903374669</v>
      </c>
      <c r="O45" s="14"/>
      <c r="P45" s="1">
        <f>SUM(OSRRefP22_4x_0)</f>
        <v>120</v>
      </c>
      <c r="Q45" s="1"/>
      <c r="R45" s="5">
        <f t="shared" si="34"/>
        <v>0</v>
      </c>
      <c r="S45" s="1"/>
      <c r="T45" s="1">
        <f>SUM(OSRRefT22_4x_0)</f>
        <v>1558.9</v>
      </c>
      <c r="U45" s="1"/>
      <c r="V45" s="5">
        <f t="shared" si="35"/>
        <v>3.0416997148345545E-2</v>
      </c>
      <c r="W45" s="1"/>
      <c r="X45" s="1">
        <f t="shared" si="36"/>
        <v>-1438.9</v>
      </c>
      <c r="Y45" s="1"/>
      <c r="Z45" s="5">
        <f t="shared" si="37"/>
        <v>-0.92302264417217272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>
        <v>60</v>
      </c>
      <c r="E46" s="2"/>
      <c r="F46" s="6">
        <f t="shared" si="30"/>
        <v>0</v>
      </c>
      <c r="G46" s="2"/>
      <c r="H46" s="7">
        <v>1087.81</v>
      </c>
      <c r="I46" s="2"/>
      <c r="J46" s="6">
        <f t="shared" si="31"/>
        <v>3.433673235871107E-2</v>
      </c>
      <c r="K46" s="2"/>
      <c r="L46" s="7">
        <f t="shared" si="32"/>
        <v>-1027.81</v>
      </c>
      <c r="M46" s="2"/>
      <c r="N46" s="6">
        <f t="shared" si="33"/>
        <v>-0.94484330903374669</v>
      </c>
      <c r="O46" s="11"/>
      <c r="P46" s="7">
        <v>120</v>
      </c>
      <c r="Q46" s="2"/>
      <c r="R46" s="6">
        <f t="shared" si="34"/>
        <v>0</v>
      </c>
      <c r="S46" s="2"/>
      <c r="T46" s="7">
        <v>1558.9</v>
      </c>
      <c r="U46" s="2"/>
      <c r="V46" s="6">
        <f t="shared" si="35"/>
        <v>3.0416997148345545E-2</v>
      </c>
      <c r="W46" s="2"/>
      <c r="X46" s="7">
        <f t="shared" si="36"/>
        <v>-1438.9</v>
      </c>
      <c r="Y46" s="2"/>
      <c r="Z46" s="6">
        <f t="shared" si="37"/>
        <v>-0.92302264417217272</v>
      </c>
    </row>
    <row r="47" spans="1:26" s="28" customFormat="1" outlineLevel="1" collapsed="1" x14ac:dyDescent="0.25">
      <c r="A47" s="27"/>
      <c r="B47" s="14" t="str">
        <f>CONCATENATE("     ","Discounts and Markdowns                           ")</f>
        <v xml:space="preserve">     Discounts and Markdowns                           </v>
      </c>
      <c r="C47" s="14"/>
      <c r="D47" s="1">
        <f>SUM(OSRRefD22_5x_0)</f>
        <v>0</v>
      </c>
      <c r="E47" s="1"/>
      <c r="F47" s="5">
        <f t="shared" si="30"/>
        <v>0</v>
      </c>
      <c r="G47" s="1"/>
      <c r="H47" s="1">
        <f>SUM(OSRRefH22_5x_0)</f>
        <v>6.18</v>
      </c>
      <c r="I47" s="1"/>
      <c r="J47" s="5">
        <f t="shared" si="31"/>
        <v>1.9507175515653876E-4</v>
      </c>
      <c r="K47" s="1"/>
      <c r="L47" s="1">
        <f t="shared" si="32"/>
        <v>-6.18</v>
      </c>
      <c r="M47" s="1"/>
      <c r="N47" s="5">
        <f t="shared" si="33"/>
        <v>-1</v>
      </c>
      <c r="O47" s="14"/>
      <c r="P47" s="1">
        <f>SUM(OSRRefP22_5x_0)</f>
        <v>0</v>
      </c>
      <c r="Q47" s="1"/>
      <c r="R47" s="5">
        <f t="shared" si="34"/>
        <v>0</v>
      </c>
      <c r="S47" s="1"/>
      <c r="T47" s="1">
        <f>SUM(OSRRefT22_5x_0)</f>
        <v>20.09</v>
      </c>
      <c r="U47" s="1"/>
      <c r="V47" s="5">
        <f t="shared" si="35"/>
        <v>3.9199273379322727E-4</v>
      </c>
      <c r="W47" s="1"/>
      <c r="X47" s="1">
        <f t="shared" si="36"/>
        <v>-20.09</v>
      </c>
      <c r="Y47" s="1"/>
      <c r="Z47" s="5">
        <f t="shared" si="37"/>
        <v>-1</v>
      </c>
    </row>
    <row r="48" spans="1:26" s="24" customFormat="1" hidden="1" outlineLevel="2" x14ac:dyDescent="0.25">
      <c r="A48" s="29"/>
      <c r="B48" s="11" t="str">
        <f>CONCATENATE("          ", "6382", " - ", "DISCOUNTS/MARK DOWNS")</f>
        <v xml:space="preserve">          6382 - DISCOUNTS/MARK DOWNS</v>
      </c>
      <c r="C48" s="11"/>
      <c r="D48" s="7"/>
      <c r="E48" s="2"/>
      <c r="F48" s="6">
        <f t="shared" si="30"/>
        <v>0</v>
      </c>
      <c r="G48" s="2"/>
      <c r="H48" s="7">
        <v>6.18</v>
      </c>
      <c r="I48" s="2"/>
      <c r="J48" s="6">
        <f t="shared" si="31"/>
        <v>1.9507175515653876E-4</v>
      </c>
      <c r="K48" s="2"/>
      <c r="L48" s="7">
        <f t="shared" si="32"/>
        <v>-6.18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20.09</v>
      </c>
      <c r="U48" s="2"/>
      <c r="V48" s="6">
        <f t="shared" si="35"/>
        <v>3.9199273379322727E-4</v>
      </c>
      <c r="W48" s="2"/>
      <c r="X48" s="7">
        <f t="shared" si="36"/>
        <v>-20.09</v>
      </c>
      <c r="Y48" s="2"/>
      <c r="Z48" s="6">
        <f t="shared" si="37"/>
        <v>-1</v>
      </c>
    </row>
    <row r="49" spans="1:26" s="28" customFormat="1" outlineLevel="1" collapsed="1" x14ac:dyDescent="0.25">
      <c r="A49" s="27"/>
      <c r="B49" s="14" t="str">
        <f>CONCATENATE("     ","Freight out/Postage                               ")</f>
        <v xml:space="preserve">     Freight out/Postage                               </v>
      </c>
      <c r="C49" s="14"/>
      <c r="D49" s="1">
        <f>SUM(OSRRefD22_6x_0)</f>
        <v>3.94</v>
      </c>
      <c r="E49" s="1"/>
      <c r="F49" s="5">
        <f t="shared" si="30"/>
        <v>0</v>
      </c>
      <c r="G49" s="1"/>
      <c r="H49" s="1">
        <f>SUM(OSRRefH22_6x_0)</f>
        <v>44.96</v>
      </c>
      <c r="I49" s="1"/>
      <c r="J49" s="5">
        <f t="shared" si="31"/>
        <v>1.419162801268282E-3</v>
      </c>
      <c r="K49" s="1"/>
      <c r="L49" s="1">
        <f t="shared" si="32"/>
        <v>-41.02</v>
      </c>
      <c r="M49" s="1"/>
      <c r="N49" s="5">
        <f t="shared" si="33"/>
        <v>-0.91236654804270467</v>
      </c>
      <c r="O49" s="14"/>
      <c r="P49" s="1">
        <f>SUM(OSRRefP22_6x_0)</f>
        <v>3.94</v>
      </c>
      <c r="Q49" s="1"/>
      <c r="R49" s="5">
        <f t="shared" si="34"/>
        <v>0</v>
      </c>
      <c r="S49" s="1"/>
      <c r="T49" s="1">
        <f>SUM(OSRRefT22_6x_0)</f>
        <v>116.65</v>
      </c>
      <c r="U49" s="1"/>
      <c r="V49" s="5">
        <f t="shared" si="35"/>
        <v>2.2760553706809338E-3</v>
      </c>
      <c r="W49" s="1"/>
      <c r="X49" s="1">
        <f t="shared" si="36"/>
        <v>-112.71000000000001</v>
      </c>
      <c r="Y49" s="1"/>
      <c r="Z49" s="5">
        <f t="shared" si="37"/>
        <v>-0.96622374624946428</v>
      </c>
    </row>
    <row r="50" spans="1:26" s="24" customFormat="1" hidden="1" outlineLevel="2" x14ac:dyDescent="0.25">
      <c r="A50" s="29"/>
      <c r="B50" s="11" t="str">
        <f>CONCATENATE("          ", "6305", " - ", "FREIGHT OUT")</f>
        <v xml:space="preserve">          6305 - FREIGHT OUT</v>
      </c>
      <c r="C50" s="11"/>
      <c r="D50" s="7">
        <v>3.94</v>
      </c>
      <c r="E50" s="2"/>
      <c r="F50" s="6">
        <f t="shared" si="30"/>
        <v>0</v>
      </c>
      <c r="G50" s="2"/>
      <c r="H50" s="7">
        <v>44.96</v>
      </c>
      <c r="I50" s="2"/>
      <c r="J50" s="6">
        <f t="shared" si="31"/>
        <v>1.419162801268282E-3</v>
      </c>
      <c r="K50" s="2"/>
      <c r="L50" s="7">
        <f t="shared" si="32"/>
        <v>-41.02</v>
      </c>
      <c r="M50" s="2"/>
      <c r="N50" s="6">
        <f t="shared" si="33"/>
        <v>-0.91236654804270467</v>
      </c>
      <c r="O50" s="11"/>
      <c r="P50" s="7">
        <v>3.94</v>
      </c>
      <c r="Q50" s="2"/>
      <c r="R50" s="6">
        <f t="shared" si="34"/>
        <v>0</v>
      </c>
      <c r="S50" s="2"/>
      <c r="T50" s="7">
        <v>116.65</v>
      </c>
      <c r="U50" s="2"/>
      <c r="V50" s="6">
        <f t="shared" si="35"/>
        <v>2.2760553706809338E-3</v>
      </c>
      <c r="W50" s="2"/>
      <c r="X50" s="7">
        <f t="shared" si="36"/>
        <v>-112.71000000000001</v>
      </c>
      <c r="Y50" s="2"/>
      <c r="Z50" s="6">
        <f t="shared" si="37"/>
        <v>-0.96622374624946428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SUM(OSRRefD22_7x_0)</f>
        <v>0</v>
      </c>
      <c r="E51" s="1"/>
      <c r="F51" s="5">
        <f t="shared" si="30"/>
        <v>0</v>
      </c>
      <c r="G51" s="1"/>
      <c r="H51" s="1">
        <f>SUM(OSRRefH22_7x_0)</f>
        <v>59.05</v>
      </c>
      <c r="I51" s="1"/>
      <c r="J51" s="5">
        <f t="shared" si="31"/>
        <v>1.8639137770216203E-3</v>
      </c>
      <c r="K51" s="1"/>
      <c r="L51" s="1">
        <f t="shared" si="32"/>
        <v>-59.05</v>
      </c>
      <c r="M51" s="1"/>
      <c r="N51" s="5">
        <f t="shared" si="33"/>
        <v>-1</v>
      </c>
      <c r="O51" s="14"/>
      <c r="P51" s="1">
        <f>SUM(OSRRefP22_7x_0)</f>
        <v>0</v>
      </c>
      <c r="Q51" s="1"/>
      <c r="R51" s="5">
        <f t="shared" si="34"/>
        <v>0</v>
      </c>
      <c r="S51" s="1"/>
      <c r="T51" s="1">
        <f>SUM(OSRRefT22_7x_0)</f>
        <v>809.8</v>
      </c>
      <c r="U51" s="1"/>
      <c r="V51" s="5">
        <f t="shared" si="35"/>
        <v>1.5800682719052037E-2</v>
      </c>
      <c r="W51" s="1"/>
      <c r="X51" s="1">
        <f t="shared" si="36"/>
        <v>-809.8</v>
      </c>
      <c r="Y51" s="1"/>
      <c r="Z51" s="5">
        <f t="shared" si="37"/>
        <v>-1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30"/>
        <v>0</v>
      </c>
      <c r="G52" s="2"/>
      <c r="H52" s="7">
        <v>59.05</v>
      </c>
      <c r="I52" s="2"/>
      <c r="J52" s="6">
        <f t="shared" si="31"/>
        <v>1.8639137770216203E-3</v>
      </c>
      <c r="K52" s="2"/>
      <c r="L52" s="7">
        <f t="shared" si="32"/>
        <v>-59.05</v>
      </c>
      <c r="M52" s="2"/>
      <c r="N52" s="6">
        <f t="shared" si="33"/>
        <v>-1</v>
      </c>
      <c r="O52" s="11"/>
      <c r="P52" s="7"/>
      <c r="Q52" s="2"/>
      <c r="R52" s="6">
        <f t="shared" si="34"/>
        <v>0</v>
      </c>
      <c r="S52" s="2"/>
      <c r="T52" s="7">
        <v>809.8</v>
      </c>
      <c r="U52" s="2"/>
      <c r="V52" s="6">
        <f t="shared" si="35"/>
        <v>1.5800682719052037E-2</v>
      </c>
      <c r="W52" s="2"/>
      <c r="X52" s="7">
        <f t="shared" si="36"/>
        <v>-809.8</v>
      </c>
      <c r="Y52" s="2"/>
      <c r="Z52" s="6">
        <f t="shared" si="37"/>
        <v>-1</v>
      </c>
    </row>
    <row r="53" spans="1:26" s="28" customFormat="1" outlineLevel="1" collapsed="1" x14ac:dyDescent="0.25">
      <c r="A53" s="27"/>
      <c r="B53" s="14" t="str">
        <f>CONCATENATE("     ","Repair and Maintenance                            ")</f>
        <v xml:space="preserve">     Repair and Maintenance                            </v>
      </c>
      <c r="C53" s="14"/>
      <c r="D53" s="1">
        <f>SUM(OSRRefD22_8x_0)</f>
        <v>0</v>
      </c>
      <c r="E53" s="1"/>
      <c r="F53" s="5">
        <f t="shared" si="30"/>
        <v>0</v>
      </c>
      <c r="G53" s="1"/>
      <c r="H53" s="1">
        <f>SUM(OSRRefH22_8x_0)</f>
        <v>337.5</v>
      </c>
      <c r="I53" s="1"/>
      <c r="J53" s="5">
        <f t="shared" si="31"/>
        <v>1.0653190512189617E-2</v>
      </c>
      <c r="K53" s="1"/>
      <c r="L53" s="1">
        <f t="shared" si="32"/>
        <v>-337.5</v>
      </c>
      <c r="M53" s="1"/>
      <c r="N53" s="5">
        <f t="shared" si="33"/>
        <v>-1</v>
      </c>
      <c r="O53" s="14"/>
      <c r="P53" s="1">
        <f>SUM(OSRRefP22_8x_0)</f>
        <v>0</v>
      </c>
      <c r="Q53" s="1"/>
      <c r="R53" s="5">
        <f t="shared" si="34"/>
        <v>0</v>
      </c>
      <c r="S53" s="1"/>
      <c r="T53" s="1">
        <f>SUM(OSRRefT22_8x_0)</f>
        <v>580.58000000000004</v>
      </c>
      <c r="U53" s="1"/>
      <c r="V53" s="5">
        <f t="shared" si="35"/>
        <v>1.1328180258122047E-2</v>
      </c>
      <c r="W53" s="1"/>
      <c r="X53" s="1">
        <f t="shared" si="36"/>
        <v>-580.58000000000004</v>
      </c>
      <c r="Y53" s="1"/>
      <c r="Z53" s="5">
        <f t="shared" si="37"/>
        <v>-1</v>
      </c>
    </row>
    <row r="54" spans="1:26" s="24" customFormat="1" hidden="1" outlineLevel="2" x14ac:dyDescent="0.25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30"/>
        <v>0</v>
      </c>
      <c r="G54" s="2"/>
      <c r="H54" s="7">
        <v>337.5</v>
      </c>
      <c r="I54" s="2"/>
      <c r="J54" s="6">
        <f t="shared" si="31"/>
        <v>1.0653190512189617E-2</v>
      </c>
      <c r="K54" s="2"/>
      <c r="L54" s="7">
        <f t="shared" si="32"/>
        <v>-337.5</v>
      </c>
      <c r="M54" s="2"/>
      <c r="N54" s="6">
        <f t="shared" si="33"/>
        <v>-1</v>
      </c>
      <c r="O54" s="11"/>
      <c r="P54" s="7"/>
      <c r="Q54" s="2"/>
      <c r="R54" s="6">
        <f t="shared" si="34"/>
        <v>0</v>
      </c>
      <c r="S54" s="2"/>
      <c r="T54" s="7">
        <v>580.58000000000004</v>
      </c>
      <c r="U54" s="2"/>
      <c r="V54" s="6">
        <f t="shared" si="35"/>
        <v>1.1328180258122047E-2</v>
      </c>
      <c r="W54" s="2"/>
      <c r="X54" s="7">
        <f t="shared" si="36"/>
        <v>-580.58000000000004</v>
      </c>
      <c r="Y54" s="2"/>
      <c r="Z54" s="6">
        <f t="shared" si="37"/>
        <v>-1</v>
      </c>
    </row>
    <row r="55" spans="1:26" s="28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SUM(OSRRefD22_9x_0)</f>
        <v>0</v>
      </c>
      <c r="E55" s="1"/>
      <c r="F55" s="5">
        <f t="shared" si="30"/>
        <v>0</v>
      </c>
      <c r="G55" s="1"/>
      <c r="H55" s="1">
        <f>SUM(OSRRefH22_9x_0)</f>
        <v>162.71</v>
      </c>
      <c r="I55" s="1"/>
      <c r="J55" s="5">
        <f t="shared" si="31"/>
        <v>5.1359426021877711E-3</v>
      </c>
      <c r="K55" s="1"/>
      <c r="L55" s="1">
        <f t="shared" si="32"/>
        <v>-162.71</v>
      </c>
      <c r="M55" s="1"/>
      <c r="N55" s="5">
        <f t="shared" si="33"/>
        <v>-1</v>
      </c>
      <c r="O55" s="14"/>
      <c r="P55" s="1">
        <f>SUM(OSRRefP22_9x_0)</f>
        <v>0</v>
      </c>
      <c r="Q55" s="1"/>
      <c r="R55" s="5">
        <f t="shared" si="34"/>
        <v>0</v>
      </c>
      <c r="S55" s="1"/>
      <c r="T55" s="1">
        <f>SUM(OSRRefT22_9x_0)</f>
        <v>319.06</v>
      </c>
      <c r="U55" s="1"/>
      <c r="V55" s="5">
        <f t="shared" si="35"/>
        <v>6.2254455771063762E-3</v>
      </c>
      <c r="W55" s="1"/>
      <c r="X55" s="1">
        <f t="shared" si="36"/>
        <v>-319.06</v>
      </c>
      <c r="Y55" s="1"/>
      <c r="Z55" s="5">
        <f t="shared" si="37"/>
        <v>-1</v>
      </c>
    </row>
    <row r="56" spans="1:26" s="24" customFormat="1" hidden="1" outlineLevel="2" x14ac:dyDescent="0.25">
      <c r="A56" s="29"/>
      <c r="B56" s="11" t="str">
        <f>CONCATENATE("          ", "6286", " - ", "LAUNDRY EXPENSE")</f>
        <v xml:space="preserve">          6286 - LAUNDRY EXPENSE</v>
      </c>
      <c r="C56" s="11"/>
      <c r="D56" s="7"/>
      <c r="E56" s="2"/>
      <c r="F56" s="6">
        <f t="shared" si="30"/>
        <v>0</v>
      </c>
      <c r="G56" s="2"/>
      <c r="H56" s="7">
        <v>162.71</v>
      </c>
      <c r="I56" s="2"/>
      <c r="J56" s="6">
        <f t="shared" si="31"/>
        <v>5.1359426021877711E-3</v>
      </c>
      <c r="K56" s="2"/>
      <c r="L56" s="7">
        <f t="shared" si="32"/>
        <v>-162.71</v>
      </c>
      <c r="M56" s="2"/>
      <c r="N56" s="6">
        <f t="shared" si="33"/>
        <v>-1</v>
      </c>
      <c r="O56" s="11"/>
      <c r="P56" s="7"/>
      <c r="Q56" s="2"/>
      <c r="R56" s="6">
        <f t="shared" si="34"/>
        <v>0</v>
      </c>
      <c r="S56" s="2"/>
      <c r="T56" s="7">
        <v>319.06</v>
      </c>
      <c r="U56" s="2"/>
      <c r="V56" s="6">
        <f t="shared" si="35"/>
        <v>6.2254455771063762E-3</v>
      </c>
      <c r="W56" s="2"/>
      <c r="X56" s="7">
        <f t="shared" si="36"/>
        <v>-319.06</v>
      </c>
      <c r="Y56" s="2"/>
      <c r="Z56" s="6">
        <f t="shared" si="37"/>
        <v>-1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SUM(OSRRefD22_10x_0)</f>
        <v>0</v>
      </c>
      <c r="E57" s="1"/>
      <c r="F57" s="5">
        <f t="shared" si="30"/>
        <v>0</v>
      </c>
      <c r="G57" s="1"/>
      <c r="H57" s="1">
        <f>SUM(OSRRefH22_10x_0)</f>
        <v>1220.51</v>
      </c>
      <c r="I57" s="1"/>
      <c r="J57" s="5">
        <f t="shared" si="31"/>
        <v>3.8525409043059407E-2</v>
      </c>
      <c r="K57" s="1"/>
      <c r="L57" s="1">
        <f t="shared" si="32"/>
        <v>-1220.51</v>
      </c>
      <c r="M57" s="1"/>
      <c r="N57" s="5">
        <f t="shared" si="33"/>
        <v>-1</v>
      </c>
      <c r="O57" s="14"/>
      <c r="P57" s="1">
        <f>SUM(OSRRefP22_10x_0)</f>
        <v>0</v>
      </c>
      <c r="Q57" s="1"/>
      <c r="R57" s="5">
        <f t="shared" si="34"/>
        <v>0</v>
      </c>
      <c r="S57" s="1"/>
      <c r="T57" s="1">
        <f>SUM(OSRRefT22_10x_0)</f>
        <v>2346.5699999999997</v>
      </c>
      <c r="U57" s="1"/>
      <c r="V57" s="5">
        <f t="shared" si="35"/>
        <v>4.5785882993388413E-2</v>
      </c>
      <c r="W57" s="1"/>
      <c r="X57" s="1">
        <f t="shared" si="36"/>
        <v>-2346.5699999999997</v>
      </c>
      <c r="Y57" s="1"/>
      <c r="Z57" s="5">
        <f t="shared" si="37"/>
        <v>-1</v>
      </c>
    </row>
    <row r="58" spans="1:26" s="24" customFormat="1" hidden="1" outlineLevel="2" x14ac:dyDescent="0.25">
      <c r="A58" s="29"/>
      <c r="B58" s="11" t="str">
        <f>CONCATENATE("          ", "6234", " - ", "EXPENDABLE SUPPLIES &amp; EQUIPMEN")</f>
        <v xml:space="preserve">          6234 - EXPENDABLE SUPPLIES &amp; EQUIPMEN</v>
      </c>
      <c r="C58" s="11"/>
      <c r="D58" s="7"/>
      <c r="E58" s="2"/>
      <c r="F58" s="6">
        <f t="shared" si="30"/>
        <v>0</v>
      </c>
      <c r="G58" s="2"/>
      <c r="H58" s="7">
        <v>354.82</v>
      </c>
      <c r="I58" s="2"/>
      <c r="J58" s="6">
        <f t="shared" si="31"/>
        <v>1.1199896466770725E-2</v>
      </c>
      <c r="K58" s="2"/>
      <c r="L58" s="7">
        <f t="shared" si="32"/>
        <v>-354.82</v>
      </c>
      <c r="M58" s="2"/>
      <c r="N58" s="6">
        <f t="shared" si="33"/>
        <v>-1</v>
      </c>
      <c r="O58" s="11"/>
      <c r="P58" s="7"/>
      <c r="Q58" s="2"/>
      <c r="R58" s="6">
        <f t="shared" si="34"/>
        <v>0</v>
      </c>
      <c r="S58" s="2"/>
      <c r="T58" s="7">
        <v>354.82</v>
      </c>
      <c r="U58" s="2"/>
      <c r="V58" s="6">
        <f t="shared" si="35"/>
        <v>6.9231887408916322E-3</v>
      </c>
      <c r="W58" s="2"/>
      <c r="X58" s="7">
        <f t="shared" si="36"/>
        <v>-354.82</v>
      </c>
      <c r="Y58" s="2"/>
      <c r="Z58" s="6">
        <f t="shared" si="37"/>
        <v>-1</v>
      </c>
    </row>
    <row r="59" spans="1:26" s="24" customFormat="1" hidden="1" outlineLevel="2" x14ac:dyDescent="0.25">
      <c r="A59" s="29"/>
      <c r="B59" s="11" t="str">
        <f>CONCATENATE("          ", "6237", " - ", "JANITORIAL SUPPLIES")</f>
        <v xml:space="preserve">          6237 - JANITORIAL SUPPLIES</v>
      </c>
      <c r="C59" s="11"/>
      <c r="D59" s="7"/>
      <c r="E59" s="2"/>
      <c r="F59" s="6">
        <f t="shared" si="30"/>
        <v>0</v>
      </c>
      <c r="G59" s="2"/>
      <c r="H59" s="7"/>
      <c r="I59" s="2"/>
      <c r="J59" s="6">
        <f t="shared" si="31"/>
        <v>0</v>
      </c>
      <c r="K59" s="2"/>
      <c r="L59" s="7">
        <f t="shared" si="32"/>
        <v>0</v>
      </c>
      <c r="M59" s="2"/>
      <c r="N59" s="6">
        <f t="shared" si="33"/>
        <v>0</v>
      </c>
      <c r="O59" s="11"/>
      <c r="P59" s="7"/>
      <c r="Q59" s="2"/>
      <c r="R59" s="6">
        <f t="shared" si="34"/>
        <v>0</v>
      </c>
      <c r="S59" s="2"/>
      <c r="T59" s="7">
        <v>111.27</v>
      </c>
      <c r="U59" s="2"/>
      <c r="V59" s="6">
        <f t="shared" si="35"/>
        <v>2.1710817067781183E-3</v>
      </c>
      <c r="W59" s="2"/>
      <c r="X59" s="7">
        <f t="shared" si="36"/>
        <v>-111.27</v>
      </c>
      <c r="Y59" s="2"/>
      <c r="Z59" s="6">
        <f t="shared" si="37"/>
        <v>-1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30"/>
        <v>0</v>
      </c>
      <c r="G60" s="2"/>
      <c r="H60" s="7">
        <v>29.21</v>
      </c>
      <c r="I60" s="2"/>
      <c r="J60" s="6">
        <f t="shared" si="31"/>
        <v>9.2201391069943325E-4</v>
      </c>
      <c r="K60" s="2"/>
      <c r="L60" s="7">
        <f t="shared" si="32"/>
        <v>-29.21</v>
      </c>
      <c r="M60" s="2"/>
      <c r="N60" s="6">
        <f t="shared" si="33"/>
        <v>-1</v>
      </c>
      <c r="O60" s="11"/>
      <c r="P60" s="7"/>
      <c r="Q60" s="2"/>
      <c r="R60" s="6">
        <f t="shared" si="34"/>
        <v>0</v>
      </c>
      <c r="S60" s="2"/>
      <c r="T60" s="7">
        <v>107.74</v>
      </c>
      <c r="U60" s="2"/>
      <c r="V60" s="6">
        <f t="shared" si="35"/>
        <v>2.1022049347377953E-3</v>
      </c>
      <c r="W60" s="2"/>
      <c r="X60" s="7">
        <f t="shared" si="36"/>
        <v>-107.74</v>
      </c>
      <c r="Y60" s="2"/>
      <c r="Z60" s="6">
        <f t="shared" si="37"/>
        <v>-1</v>
      </c>
    </row>
    <row r="61" spans="1:26" s="24" customFormat="1" hidden="1" outlineLevel="2" x14ac:dyDescent="0.25">
      <c r="A61" s="29"/>
      <c r="B61" s="11" t="str">
        <f>CONCATENATE("          ", "6247", " - ", "STORE SUPPLIES")</f>
        <v xml:space="preserve">          6247 - STORE SUPPLIES</v>
      </c>
      <c r="C61" s="11"/>
      <c r="D61" s="7"/>
      <c r="E61" s="2"/>
      <c r="F61" s="6">
        <f t="shared" si="30"/>
        <v>0</v>
      </c>
      <c r="G61" s="2"/>
      <c r="H61" s="7">
        <v>836.48</v>
      </c>
      <c r="I61" s="2"/>
      <c r="J61" s="6">
        <f t="shared" si="31"/>
        <v>2.6403498665589248E-2</v>
      </c>
      <c r="K61" s="2"/>
      <c r="L61" s="7">
        <f t="shared" si="32"/>
        <v>-836.48</v>
      </c>
      <c r="M61" s="2"/>
      <c r="N61" s="6">
        <f t="shared" si="33"/>
        <v>-1</v>
      </c>
      <c r="O61" s="11"/>
      <c r="P61" s="7"/>
      <c r="Q61" s="2"/>
      <c r="R61" s="6">
        <f t="shared" si="34"/>
        <v>0</v>
      </c>
      <c r="S61" s="2"/>
      <c r="T61" s="7">
        <v>1772.74</v>
      </c>
      <c r="U61" s="2"/>
      <c r="V61" s="6">
        <f t="shared" si="35"/>
        <v>3.4589407610980873E-2</v>
      </c>
      <c r="W61" s="2"/>
      <c r="X61" s="7">
        <f t="shared" si="36"/>
        <v>-1772.74</v>
      </c>
      <c r="Y61" s="2"/>
      <c r="Z61" s="6">
        <f t="shared" si="37"/>
        <v>-1</v>
      </c>
    </row>
    <row r="62" spans="1:26" s="28" customFormat="1" outlineLevel="1" collapsed="1" x14ac:dyDescent="0.25">
      <c r="A62" s="27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122.05</v>
      </c>
      <c r="E62" s="1"/>
      <c r="F62" s="5">
        <f t="shared" ref="F62:F63" si="38">IF(D$12=0,0,D62/D$12)</f>
        <v>0</v>
      </c>
      <c r="G62" s="1"/>
      <c r="H62" s="1">
        <f>SUM(OSRRefH22_11x_0)</f>
        <v>125.05</v>
      </c>
      <c r="I62" s="1"/>
      <c r="J62" s="5">
        <f t="shared" ref="J62:J63" si="39">IF(H$12=0,0,H62/H$12)</f>
        <v>3.947204366072034E-3</v>
      </c>
      <c r="K62" s="1"/>
      <c r="L62" s="1">
        <f t="shared" ref="L62:L63" si="40">+D62-H62</f>
        <v>-3</v>
      </c>
      <c r="M62" s="1"/>
      <c r="N62" s="5">
        <f t="shared" ref="N62:N63" si="41">IF(H62=0,0,L62/H62)</f>
        <v>-2.3990403838464614E-2</v>
      </c>
      <c r="O62" s="14"/>
      <c r="P62" s="1">
        <f>SUM(OSRRefP22_11x_0)</f>
        <v>244.35</v>
      </c>
      <c r="Q62" s="1"/>
      <c r="R62" s="5">
        <f t="shared" ref="R62:R63" si="42">IF(P$12=0,0,P62/P$12)</f>
        <v>0</v>
      </c>
      <c r="S62" s="1"/>
      <c r="T62" s="1">
        <f>SUM(OSRRefT22_11x_0)</f>
        <v>198.6</v>
      </c>
      <c r="U62" s="1"/>
      <c r="V62" s="5">
        <f t="shared" ref="V62:V63" si="43">IF(T$12=0,0,T62/T$12)</f>
        <v>3.8750501210221468E-3</v>
      </c>
      <c r="W62" s="1"/>
      <c r="X62" s="1">
        <f t="shared" ref="X62:X63" si="44">+P62-T62</f>
        <v>45.75</v>
      </c>
      <c r="Y62" s="1"/>
      <c r="Z62" s="5">
        <f t="shared" ref="Z62:Z63" si="45">IF(T62=0,0,X62/T62)</f>
        <v>0.23036253776435045</v>
      </c>
    </row>
    <row r="63" spans="1:26" s="24" customFormat="1" hidden="1" outlineLevel="2" x14ac:dyDescent="0.25">
      <c r="A63" s="29"/>
      <c r="B63" s="11" t="str">
        <f>CONCATENATE("          ", "6309", " - ", "TELEPHONE")</f>
        <v xml:space="preserve">          6309 - TELEPHONE</v>
      </c>
      <c r="C63" s="11"/>
      <c r="D63" s="7">
        <v>122.05</v>
      </c>
      <c r="E63" s="2"/>
      <c r="F63" s="6">
        <f t="shared" si="38"/>
        <v>0</v>
      </c>
      <c r="G63" s="2"/>
      <c r="H63" s="7">
        <v>125.05</v>
      </c>
      <c r="I63" s="2"/>
      <c r="J63" s="6">
        <f t="shared" si="39"/>
        <v>3.947204366072034E-3</v>
      </c>
      <c r="K63" s="2"/>
      <c r="L63" s="7">
        <f t="shared" si="40"/>
        <v>-3</v>
      </c>
      <c r="M63" s="2"/>
      <c r="N63" s="6">
        <f t="shared" si="41"/>
        <v>-2.3990403838464614E-2</v>
      </c>
      <c r="O63" s="11"/>
      <c r="P63" s="7">
        <v>244.35</v>
      </c>
      <c r="Q63" s="2"/>
      <c r="R63" s="6">
        <f t="shared" si="42"/>
        <v>0</v>
      </c>
      <c r="S63" s="2"/>
      <c r="T63" s="7">
        <v>198.6</v>
      </c>
      <c r="U63" s="2"/>
      <c r="V63" s="6">
        <f t="shared" si="43"/>
        <v>3.8750501210221468E-3</v>
      </c>
      <c r="W63" s="2"/>
      <c r="X63" s="7">
        <f t="shared" si="44"/>
        <v>45.75</v>
      </c>
      <c r="Y63" s="2"/>
      <c r="Z63" s="6">
        <f t="shared" si="45"/>
        <v>0.23036253776435045</v>
      </c>
    </row>
    <row r="64" spans="1:26" s="52" customFormat="1" x14ac:dyDescent="0.25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25">
      <c r="A65" s="10"/>
      <c r="B65" s="25" t="s">
        <v>0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25">
      <c r="A67" s="10"/>
      <c r="B67" s="26" t="s">
        <v>3</v>
      </c>
      <c r="C67" s="26"/>
      <c r="D67" s="22">
        <f>+D23-D25+D65</f>
        <v>-9064.48</v>
      </c>
      <c r="E67" s="13"/>
      <c r="F67" s="21">
        <f>IF(D$12=0,0,D67/D$12)</f>
        <v>0</v>
      </c>
      <c r="G67" s="13"/>
      <c r="H67" s="22">
        <f>+H23-H25+H65</f>
        <v>-521.07999999999447</v>
      </c>
      <c r="I67" s="13"/>
      <c r="J67" s="21">
        <f>IF(H$12=0,0,H67/H$12)</f>
        <v>-1.6447894850642093E-2</v>
      </c>
      <c r="K67" s="16"/>
      <c r="L67" s="22">
        <f>+D67-H67</f>
        <v>-8543.4000000000051</v>
      </c>
      <c r="M67" s="16"/>
      <c r="N67" s="21">
        <f>IF(H67=0,0,L67/H67)</f>
        <v>16.395563061334336</v>
      </c>
      <c r="O67" s="25"/>
      <c r="P67" s="22">
        <f>+P23-P25+P65</f>
        <v>-18741.64</v>
      </c>
      <c r="Q67" s="13"/>
      <c r="R67" s="21">
        <f>IF(P$12=0,0,P67/P$12)</f>
        <v>0</v>
      </c>
      <c r="S67" s="13"/>
      <c r="T67" s="22">
        <f>+T23-T25+T65</f>
        <v>-6708.330000000009</v>
      </c>
      <c r="U67" s="13"/>
      <c r="V67" s="21">
        <f>IF(T$12=0,0,T67/T$12)</f>
        <v>-0.13089181761508831</v>
      </c>
      <c r="W67" s="16"/>
      <c r="X67" s="22">
        <f>+P67-T67</f>
        <v>-12033.30999999999</v>
      </c>
      <c r="Y67" s="16"/>
      <c r="Z67" s="21">
        <f>IF(T67=0,0,X67/T67)</f>
        <v>1.7937862329372547</v>
      </c>
    </row>
    <row r="68" spans="1:26" x14ac:dyDescent="0.25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51"/>
      <c r="B69" s="10" t="s">
        <v>13</v>
      </c>
      <c r="C69" s="10"/>
      <c r="D69" s="4"/>
      <c r="E69" s="4"/>
      <c r="F69" s="12">
        <f>IF(D$12=0,0,D69/D$12)</f>
        <v>0</v>
      </c>
      <c r="G69" s="4"/>
      <c r="H69" s="4">
        <v>2320.8200000000002</v>
      </c>
      <c r="I69" s="4"/>
      <c r="J69" s="12">
        <f>IF(H$12=0,0,H69/H$12)</f>
        <v>7.3256704013333063E-2</v>
      </c>
      <c r="K69" s="4"/>
      <c r="L69" s="4">
        <f>+D69-H69</f>
        <v>-2320.8200000000002</v>
      </c>
      <c r="M69" s="4"/>
      <c r="N69" s="12">
        <f>IF(H69=0,0,L69/H69)</f>
        <v>-1</v>
      </c>
      <c r="O69" s="10"/>
      <c r="P69" s="4"/>
      <c r="Q69" s="4"/>
      <c r="R69" s="12">
        <f>IF(P$12=0,0,P69/P$12)</f>
        <v>0</v>
      </c>
      <c r="S69" s="4"/>
      <c r="T69" s="4">
        <v>6390.06</v>
      </c>
      <c r="U69" s="4"/>
      <c r="V69" s="12">
        <f>IF(T$12=0,0,T69/T$12)</f>
        <v>0.12468178638639871</v>
      </c>
      <c r="W69" s="4"/>
      <c r="X69" s="4">
        <f>+P69-T69</f>
        <v>-6390.06</v>
      </c>
      <c r="Y69" s="4"/>
      <c r="Z69" s="12">
        <f>IF(T69=0,0,X69/T69)</f>
        <v>-1</v>
      </c>
    </row>
    <row r="70" spans="1:26" x14ac:dyDescent="0.25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6" t="s">
        <v>4</v>
      </c>
      <c r="C71" s="26"/>
      <c r="D71" s="36">
        <f>+D67-D69</f>
        <v>-9064.48</v>
      </c>
      <c r="E71" s="13"/>
      <c r="F71" s="34">
        <f>IF(D$12=0,0,D71/D$12)</f>
        <v>0</v>
      </c>
      <c r="G71" s="13"/>
      <c r="H71" s="36">
        <f>+H67-H69</f>
        <v>-2841.8999999999946</v>
      </c>
      <c r="I71" s="13"/>
      <c r="J71" s="34">
        <f>IF(H$12=0,0,H71/H$12)</f>
        <v>-8.9704598863975152E-2</v>
      </c>
      <c r="K71" s="16"/>
      <c r="L71" s="36">
        <f>D71-H71</f>
        <v>-6222.5800000000054</v>
      </c>
      <c r="M71" s="16"/>
      <c r="N71" s="34">
        <f>IF(H71=0,0,L71/H71)</f>
        <v>2.1895844329497933</v>
      </c>
      <c r="O71" s="25"/>
      <c r="P71" s="36">
        <f>+P67-P69</f>
        <v>-18741.64</v>
      </c>
      <c r="Q71" s="13"/>
      <c r="R71" s="34">
        <f>IF(P$12=0,0,P71/P$12)</f>
        <v>0</v>
      </c>
      <c r="S71" s="13"/>
      <c r="T71" s="36">
        <f>+T67-T69</f>
        <v>-13098.39000000001</v>
      </c>
      <c r="U71" s="13"/>
      <c r="V71" s="34">
        <f>IF(T$12=0,0,T71/T$12)</f>
        <v>-0.25557360400148704</v>
      </c>
      <c r="W71" s="16"/>
      <c r="X71" s="36">
        <f>P71-T71</f>
        <v>-5643.2499999999891</v>
      </c>
      <c r="Y71" s="16"/>
      <c r="Z71" s="34">
        <f>IF(T71=0,0,X71/T71)</f>
        <v>0.43083539274674099</v>
      </c>
    </row>
    <row r="72" spans="1:26" ht="15.75" thickTop="1" x14ac:dyDescent="0.25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5</v>
      </c>
      <c r="C74" s="26"/>
      <c r="D74" s="30">
        <f>SUM(D71:D73)</f>
        <v>-9064.48</v>
      </c>
      <c r="E74" s="13"/>
      <c r="F74" s="31">
        <f>IF(D$12=0,0,D74/D$12)</f>
        <v>0</v>
      </c>
      <c r="G74" s="13"/>
      <c r="H74" s="30">
        <f>SUM(H71:H73)</f>
        <v>-2841.8999999999946</v>
      </c>
      <c r="I74" s="13"/>
      <c r="J74" s="31">
        <f>IF(H$12=0,0,H74/H$12)</f>
        <v>-8.9704598863975152E-2</v>
      </c>
      <c r="K74" s="16"/>
      <c r="L74" s="30">
        <f>+D74-H74</f>
        <v>-6222.5800000000054</v>
      </c>
      <c r="M74" s="16"/>
      <c r="N74" s="31">
        <f>IF(H74=0,0,L74/H74)</f>
        <v>2.1895844329497933</v>
      </c>
      <c r="O74" s="25"/>
      <c r="P74" s="30">
        <f>SUM(P71:P73)</f>
        <v>-18741.64</v>
      </c>
      <c r="Q74" s="13"/>
      <c r="R74" s="31">
        <f>IF(P$12=0,0,P74/P$12)</f>
        <v>0</v>
      </c>
      <c r="S74" s="13"/>
      <c r="T74" s="30">
        <f>SUM(T71:T73)</f>
        <v>-13098.39000000001</v>
      </c>
      <c r="U74" s="13"/>
      <c r="V74" s="31">
        <f>IF(T$12=0,0,T74/T$12)</f>
        <v>-0.25557360400148704</v>
      </c>
      <c r="W74" s="16"/>
      <c r="X74" s="30">
        <f>+P74-T74</f>
        <v>-5643.2499999999891</v>
      </c>
      <c r="Y74" s="16"/>
      <c r="Z74" s="31">
        <f>IF(T74=0,0,X74/T74)</f>
        <v>0.43083539274674099</v>
      </c>
    </row>
    <row r="75" spans="1:26" ht="15.75" thickTop="1" x14ac:dyDescent="0.25">
      <c r="A75" s="9"/>
      <c r="C75" s="9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A76" s="9"/>
      <c r="B76" s="61">
        <v>44113.696253009257</v>
      </c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56" t="s">
        <v>313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8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","321", " - ", "Student Union C-Store")</f>
        <v>Department 321 - Student Union C-Store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714</v>
      </c>
      <c r="E12" s="4"/>
      <c r="F12" s="12"/>
      <c r="G12" s="4"/>
      <c r="H12" s="4">
        <f>SUM(OSRRefH13x_0)</f>
        <v>17114.38</v>
      </c>
      <c r="I12" s="4"/>
      <c r="J12" s="12"/>
      <c r="K12" s="4"/>
      <c r="L12" s="4">
        <f t="shared" ref="L12:L14" si="0">+D12-H12</f>
        <v>-16400.38</v>
      </c>
      <c r="M12" s="4"/>
      <c r="N12" s="12">
        <f t="shared" ref="N12:N14" si="1">IF(H12=0,0,L12/H12)</f>
        <v>-0.95828069728497323</v>
      </c>
      <c r="O12" s="10"/>
      <c r="P12" s="4">
        <f>SUM(OSRRefP13x_0)</f>
        <v>714</v>
      </c>
      <c r="Q12" s="4"/>
      <c r="R12" s="12"/>
      <c r="S12" s="4"/>
      <c r="T12" s="4">
        <f>SUM(OSRRefT13x_0)</f>
        <v>22516.13</v>
      </c>
      <c r="U12" s="4"/>
      <c r="V12" s="12"/>
      <c r="W12" s="4"/>
      <c r="X12" s="4">
        <f t="shared" ref="X12:X14" si="2">+P12-T12</f>
        <v>-21802.13</v>
      </c>
      <c r="Y12" s="4"/>
      <c r="Z12" s="12">
        <f t="shared" ref="Z12:Z14" si="3">IF(T12=0,0,X12/T12)</f>
        <v>-0.96828939964372207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--88.2</f>
        <v>88.2</v>
      </c>
      <c r="E13" s="2"/>
      <c r="F13" s="19"/>
      <c r="G13" s="2"/>
      <c r="H13" s="2">
        <f>--4305.47</f>
        <v>4305.47</v>
      </c>
      <c r="I13" s="2"/>
      <c r="J13" s="19"/>
      <c r="K13" s="2"/>
      <c r="L13" s="2">
        <f t="shared" si="0"/>
        <v>-4217.2700000000004</v>
      </c>
      <c r="M13" s="2"/>
      <c r="N13" s="19">
        <f t="shared" si="1"/>
        <v>-0.97951443164160945</v>
      </c>
      <c r="O13" s="11"/>
      <c r="P13" s="2">
        <f>--88.2</f>
        <v>88.2</v>
      </c>
      <c r="Q13" s="2"/>
      <c r="R13" s="19"/>
      <c r="S13" s="2"/>
      <c r="T13" s="2">
        <f>--5358.84</f>
        <v>5358.84</v>
      </c>
      <c r="U13" s="2"/>
      <c r="V13" s="19"/>
      <c r="W13" s="2"/>
      <c r="X13" s="2">
        <f t="shared" si="2"/>
        <v>-5270.64</v>
      </c>
      <c r="Y13" s="2"/>
      <c r="Z13" s="19">
        <f t="shared" si="3"/>
        <v>-0.98354121414335938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>--625.8</f>
        <v>625.79999999999995</v>
      </c>
      <c r="E14" s="2"/>
      <c r="F14" s="19"/>
      <c r="G14" s="2"/>
      <c r="H14" s="2">
        <f>--12808.91</f>
        <v>12808.91</v>
      </c>
      <c r="I14" s="2"/>
      <c r="J14" s="19"/>
      <c r="K14" s="2"/>
      <c r="L14" s="2">
        <f t="shared" si="0"/>
        <v>-12183.11</v>
      </c>
      <c r="M14" s="2"/>
      <c r="N14" s="19">
        <f t="shared" si="1"/>
        <v>-0.95114338378519336</v>
      </c>
      <c r="O14" s="11"/>
      <c r="P14" s="2">
        <f>--625.8</f>
        <v>625.79999999999995</v>
      </c>
      <c r="Q14" s="2"/>
      <c r="R14" s="19"/>
      <c r="S14" s="2"/>
      <c r="T14" s="2">
        <f>--17157.29</f>
        <v>17157.29</v>
      </c>
      <c r="U14" s="2"/>
      <c r="V14" s="19"/>
      <c r="W14" s="2"/>
      <c r="X14" s="2">
        <f t="shared" si="2"/>
        <v>-16531.490000000002</v>
      </c>
      <c r="Y14" s="2"/>
      <c r="Z14" s="19">
        <f t="shared" si="3"/>
        <v>-0.96352570831407525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186.33</v>
      </c>
      <c r="E16" s="4"/>
      <c r="F16" s="12">
        <f t="shared" ref="F16:F18" si="4">IF(D$12=0,0,D16/D$12)</f>
        <v>0.26096638655462184</v>
      </c>
      <c r="G16" s="4"/>
      <c r="H16" s="4">
        <f>SUM(OSRRefH16x_0)</f>
        <v>8063.8000000000011</v>
      </c>
      <c r="I16" s="4"/>
      <c r="J16" s="12">
        <f t="shared" ref="J16:J18" si="5">IF(H$12=0,0,H16/H$12)</f>
        <v>0.47117102693758117</v>
      </c>
      <c r="K16" s="4"/>
      <c r="L16" s="4">
        <f t="shared" ref="L16:L18" si="6">+D16-H16</f>
        <v>-7877.4700000000012</v>
      </c>
      <c r="M16" s="4"/>
      <c r="N16" s="12">
        <f t="shared" ref="N16:N18" si="7">IF(H16=0,0,L16/H16)</f>
        <v>-0.9768930281008954</v>
      </c>
      <c r="O16" s="10"/>
      <c r="P16" s="4">
        <f>SUM(OSRRefP16x_0)</f>
        <v>186.33</v>
      </c>
      <c r="Q16" s="4"/>
      <c r="R16" s="12">
        <f t="shared" ref="R16:R18" si="8">IF(P$12=0,0,P16/P$12)</f>
        <v>0.26096638655462184</v>
      </c>
      <c r="S16" s="4"/>
      <c r="T16" s="4">
        <f>SUM(OSRRefT16x_0)</f>
        <v>10759.530000000002</v>
      </c>
      <c r="U16" s="4"/>
      <c r="V16" s="12">
        <f t="shared" ref="V16:V18" si="9">IF(T$12=0,0,T16/T$12)</f>
        <v>0.4778587616966149</v>
      </c>
      <c r="W16" s="4"/>
      <c r="X16" s="4">
        <f t="shared" ref="X16:X18" si="10">+P16-T16</f>
        <v>-10573.200000000003</v>
      </c>
      <c r="Y16" s="4"/>
      <c r="Z16" s="12">
        <f t="shared" ref="Z16:Z18" si="11">IF(T16=0,0,X16/T16)</f>
        <v>-0.98268232906084185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186.33</v>
      </c>
      <c r="E17" s="2"/>
      <c r="F17" s="19">
        <f t="shared" si="4"/>
        <v>0.26096638655462184</v>
      </c>
      <c r="G17" s="2"/>
      <c r="H17" s="2">
        <v>12411.79</v>
      </c>
      <c r="I17" s="2"/>
      <c r="J17" s="19">
        <f t="shared" si="5"/>
        <v>0.72522580426518524</v>
      </c>
      <c r="K17" s="2"/>
      <c r="L17" s="2">
        <f t="shared" si="6"/>
        <v>-12225.460000000001</v>
      </c>
      <c r="M17" s="2"/>
      <c r="N17" s="19">
        <f t="shared" si="7"/>
        <v>-0.98498766092561996</v>
      </c>
      <c r="O17" s="11"/>
      <c r="P17" s="2">
        <v>186.33</v>
      </c>
      <c r="Q17" s="2"/>
      <c r="R17" s="19">
        <f t="shared" si="8"/>
        <v>0.26096638655462184</v>
      </c>
      <c r="S17" s="2"/>
      <c r="T17" s="2">
        <v>16773.47</v>
      </c>
      <c r="U17" s="2"/>
      <c r="V17" s="19">
        <f t="shared" si="9"/>
        <v>0.74495350666388938</v>
      </c>
      <c r="W17" s="2"/>
      <c r="X17" s="2">
        <f t="shared" si="10"/>
        <v>-16587.14</v>
      </c>
      <c r="Y17" s="2"/>
      <c r="Z17" s="19">
        <f t="shared" si="11"/>
        <v>-0.98889138621883232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4"/>
        <v>0</v>
      </c>
      <c r="G18" s="2"/>
      <c r="H18" s="2">
        <v>-4347.99</v>
      </c>
      <c r="I18" s="2"/>
      <c r="J18" s="19">
        <f t="shared" si="5"/>
        <v>-0.25405477732760401</v>
      </c>
      <c r="K18" s="2"/>
      <c r="L18" s="2">
        <f t="shared" si="6"/>
        <v>4347.99</v>
      </c>
      <c r="M18" s="2"/>
      <c r="N18" s="19">
        <f t="shared" si="7"/>
        <v>-1</v>
      </c>
      <c r="O18" s="11"/>
      <c r="P18" s="2"/>
      <c r="Q18" s="2"/>
      <c r="R18" s="19">
        <f t="shared" si="8"/>
        <v>0</v>
      </c>
      <c r="S18" s="2"/>
      <c r="T18" s="2">
        <v>-6013.94</v>
      </c>
      <c r="U18" s="2"/>
      <c r="V18" s="19">
        <f t="shared" si="9"/>
        <v>-0.26709474496727453</v>
      </c>
      <c r="W18" s="2"/>
      <c r="X18" s="2">
        <f t="shared" si="10"/>
        <v>6013.94</v>
      </c>
      <c r="Y18" s="2"/>
      <c r="Z18" s="19">
        <f t="shared" si="11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527.66999999999996</v>
      </c>
      <c r="E20" s="13"/>
      <c r="F20" s="21">
        <f>IF(D$12=0,0,D20/D$12)</f>
        <v>0.7390336134453781</v>
      </c>
      <c r="G20" s="13"/>
      <c r="H20" s="22">
        <f>H12-H16</f>
        <v>9050.58</v>
      </c>
      <c r="I20" s="13"/>
      <c r="J20" s="21">
        <f>IF(H$12=0,0,H20/H$12)</f>
        <v>0.52882897306241883</v>
      </c>
      <c r="K20" s="16"/>
      <c r="L20" s="22">
        <f>+D20-H20</f>
        <v>-8522.91</v>
      </c>
      <c r="M20" s="16"/>
      <c r="N20" s="21">
        <f>IF(H20=0,0,L20/H20)</f>
        <v>-0.94169765915554582</v>
      </c>
      <c r="O20" s="25"/>
      <c r="P20" s="22">
        <f>P12-P16</f>
        <v>527.66999999999996</v>
      </c>
      <c r="Q20" s="13"/>
      <c r="R20" s="21">
        <f>IF(P$12=0,0,P20/P$12)</f>
        <v>0.7390336134453781</v>
      </c>
      <c r="S20" s="13"/>
      <c r="T20" s="22">
        <f>T12-T16</f>
        <v>11756.599999999999</v>
      </c>
      <c r="U20" s="13"/>
      <c r="V20" s="21">
        <f>IF(T$12=0,0,T20/T$12)</f>
        <v>0.5221412383033851</v>
      </c>
      <c r="W20" s="16"/>
      <c r="X20" s="22">
        <f>+P20-T20</f>
        <v>-11228.929999999998</v>
      </c>
      <c r="Y20" s="16"/>
      <c r="Z20" s="21">
        <f>IF(T20=0,0,X20/T20)</f>
        <v>-0.95511712569960705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8104.16</v>
      </c>
      <c r="E22" s="20"/>
      <c r="F22" s="35">
        <f t="shared" ref="F22:F31" si="12">IF(D$12=0,0,D22/D$12)</f>
        <v>11.350364145658263</v>
      </c>
      <c r="G22" s="20"/>
      <c r="H22" s="20">
        <f>SUM(OSRRefH22x_0)</f>
        <v>8667</v>
      </c>
      <c r="I22" s="20"/>
      <c r="J22" s="35">
        <f t="shared" ref="J22:J31" si="13">IF(H$12=0,0,H22/H$12)</f>
        <v>0.50641624178030398</v>
      </c>
      <c r="K22" s="4"/>
      <c r="L22" s="20">
        <f t="shared" ref="L22:L31" si="14">+D22-H22</f>
        <v>-562.84000000000015</v>
      </c>
      <c r="M22" s="4"/>
      <c r="N22" s="35">
        <f t="shared" ref="N22:N31" si="15">IF(H22=0,0,L22/H22)</f>
        <v>-6.4940579208492E-2</v>
      </c>
      <c r="O22" s="10"/>
      <c r="P22" s="20">
        <f>SUM(OSRRefP22x_0)</f>
        <v>13675.210000000001</v>
      </c>
      <c r="Q22" s="20"/>
      <c r="R22" s="35">
        <f t="shared" ref="R22:R31" si="16">IF(P$12=0,0,P22/P$12)</f>
        <v>19.15295518207283</v>
      </c>
      <c r="S22" s="20"/>
      <c r="T22" s="20">
        <f>SUM(OSRRefT22x_0)</f>
        <v>18309.399999999994</v>
      </c>
      <c r="U22" s="20"/>
      <c r="V22" s="35">
        <f t="shared" ref="V22:V31" si="17">IF(T$12=0,0,T22/T$12)</f>
        <v>0.8131681598924857</v>
      </c>
      <c r="W22" s="4"/>
      <c r="X22" s="20">
        <f t="shared" ref="X22:X31" si="18">+P22-T22</f>
        <v>-4634.1899999999932</v>
      </c>
      <c r="Y22" s="4"/>
      <c r="Z22" s="35">
        <f t="shared" ref="Z22:Z31" si="19">IF(T22=0,0,X22/T22)</f>
        <v>-0.2531044163107472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2017.6599999999999</v>
      </c>
      <c r="E23" s="1"/>
      <c r="F23" s="5">
        <f t="shared" si="12"/>
        <v>2.8258543417366946</v>
      </c>
      <c r="G23" s="1"/>
      <c r="H23" s="1">
        <f>SUM(OSRRefH22_0x_0)</f>
        <v>1596.2399999999998</v>
      </c>
      <c r="I23" s="1"/>
      <c r="J23" s="5">
        <f t="shared" si="13"/>
        <v>9.3268935246266574E-2</v>
      </c>
      <c r="K23" s="1"/>
      <c r="L23" s="1">
        <f t="shared" si="14"/>
        <v>421.42000000000007</v>
      </c>
      <c r="M23" s="1"/>
      <c r="N23" s="5">
        <f t="shared" si="15"/>
        <v>0.26400791860873057</v>
      </c>
      <c r="O23" s="14"/>
      <c r="P23" s="1">
        <f>SUM(OSRRefP22_0x_0)</f>
        <v>2425.34</v>
      </c>
      <c r="Q23" s="1"/>
      <c r="R23" s="5">
        <f t="shared" si="16"/>
        <v>3.3968347338935576</v>
      </c>
      <c r="S23" s="1"/>
      <c r="T23" s="1">
        <f>SUM(OSRRefT22_0x_0)</f>
        <v>3021.8699999999994</v>
      </c>
      <c r="U23" s="1"/>
      <c r="V23" s="5">
        <f t="shared" si="17"/>
        <v>0.13420912030619825</v>
      </c>
      <c r="W23" s="1"/>
      <c r="X23" s="1">
        <f t="shared" si="18"/>
        <v>-596.52999999999929</v>
      </c>
      <c r="Y23" s="1"/>
      <c r="Z23" s="5">
        <f t="shared" si="19"/>
        <v>-0.19740425630487063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318.24</v>
      </c>
      <c r="E24" s="2"/>
      <c r="F24" s="6">
        <f t="shared" si="12"/>
        <v>0.44571428571428573</v>
      </c>
      <c r="G24" s="2"/>
      <c r="H24" s="7">
        <v>275.95999999999998</v>
      </c>
      <c r="I24" s="2"/>
      <c r="J24" s="6">
        <f t="shared" si="13"/>
        <v>1.6124452068961889E-2</v>
      </c>
      <c r="K24" s="2"/>
      <c r="L24" s="7">
        <f t="shared" si="14"/>
        <v>42.28000000000003</v>
      </c>
      <c r="M24" s="2"/>
      <c r="N24" s="6">
        <f t="shared" si="15"/>
        <v>0.15321061023336727</v>
      </c>
      <c r="O24" s="11"/>
      <c r="P24" s="7">
        <v>477.36</v>
      </c>
      <c r="Q24" s="2"/>
      <c r="R24" s="6">
        <f t="shared" si="16"/>
        <v>0.66857142857142859</v>
      </c>
      <c r="S24" s="2"/>
      <c r="T24" s="7">
        <v>601</v>
      </c>
      <c r="U24" s="2"/>
      <c r="V24" s="6">
        <f t="shared" si="17"/>
        <v>2.6691975930144298E-2</v>
      </c>
      <c r="W24" s="2"/>
      <c r="X24" s="7">
        <f t="shared" si="18"/>
        <v>-123.63999999999999</v>
      </c>
      <c r="Y24" s="2"/>
      <c r="Z24" s="6">
        <f t="shared" si="19"/>
        <v>-0.20572379367720464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76.959999999999994</v>
      </c>
      <c r="E25" s="2"/>
      <c r="F25" s="6">
        <f t="shared" si="12"/>
        <v>0.10778711484593836</v>
      </c>
      <c r="G25" s="2"/>
      <c r="H25" s="7">
        <v>78.040000000000006</v>
      </c>
      <c r="I25" s="2"/>
      <c r="J25" s="6">
        <f t="shared" si="13"/>
        <v>4.559908100673235E-3</v>
      </c>
      <c r="K25" s="2"/>
      <c r="L25" s="7">
        <f t="shared" si="14"/>
        <v>-1.0800000000000125</v>
      </c>
      <c r="M25" s="2"/>
      <c r="N25" s="6">
        <f t="shared" si="15"/>
        <v>-1.3839056893900723E-2</v>
      </c>
      <c r="O25" s="11"/>
      <c r="P25" s="7">
        <v>153.91999999999999</v>
      </c>
      <c r="Q25" s="2"/>
      <c r="R25" s="6">
        <f t="shared" si="16"/>
        <v>0.21557422969187673</v>
      </c>
      <c r="S25" s="2"/>
      <c r="T25" s="7">
        <v>105.47</v>
      </c>
      <c r="U25" s="2"/>
      <c r="V25" s="6">
        <f t="shared" si="17"/>
        <v>4.6841975064098491E-3</v>
      </c>
      <c r="W25" s="2"/>
      <c r="X25" s="7">
        <f t="shared" si="18"/>
        <v>48.449999999999989</v>
      </c>
      <c r="Y25" s="2"/>
      <c r="Z25" s="6">
        <f t="shared" si="19"/>
        <v>0.45937233336493777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683.68</v>
      </c>
      <c r="E26" s="2"/>
      <c r="F26" s="6">
        <f t="shared" si="12"/>
        <v>0.95753501400560215</v>
      </c>
      <c r="G26" s="2"/>
      <c r="H26" s="7">
        <v>935.3</v>
      </c>
      <c r="I26" s="2"/>
      <c r="J26" s="6">
        <f t="shared" si="13"/>
        <v>5.4649949340846694E-2</v>
      </c>
      <c r="K26" s="2"/>
      <c r="L26" s="7">
        <f t="shared" si="14"/>
        <v>-251.62</v>
      </c>
      <c r="M26" s="2"/>
      <c r="N26" s="6">
        <f t="shared" si="15"/>
        <v>-0.2690259809686732</v>
      </c>
      <c r="O26" s="11"/>
      <c r="P26" s="7">
        <v>683.68</v>
      </c>
      <c r="Q26" s="2"/>
      <c r="R26" s="6">
        <f t="shared" si="16"/>
        <v>0.95753501400560215</v>
      </c>
      <c r="S26" s="2"/>
      <c r="T26" s="7">
        <v>1870.6</v>
      </c>
      <c r="U26" s="2"/>
      <c r="V26" s="6">
        <f t="shared" si="17"/>
        <v>8.3078219925004873E-2</v>
      </c>
      <c r="W26" s="2"/>
      <c r="X26" s="7">
        <f t="shared" si="18"/>
        <v>-1186.92</v>
      </c>
      <c r="Y26" s="2"/>
      <c r="Z26" s="6">
        <f t="shared" si="19"/>
        <v>-0.63451299048433663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10.82</v>
      </c>
      <c r="E27" s="2"/>
      <c r="F27" s="6">
        <f t="shared" si="12"/>
        <v>1.515406162464986E-2</v>
      </c>
      <c r="G27" s="2"/>
      <c r="H27" s="7">
        <v>10.35</v>
      </c>
      <c r="I27" s="2"/>
      <c r="J27" s="6">
        <f t="shared" si="13"/>
        <v>6.0475459818000996E-4</v>
      </c>
      <c r="K27" s="2"/>
      <c r="L27" s="7">
        <f t="shared" si="14"/>
        <v>0.47000000000000064</v>
      </c>
      <c r="M27" s="2"/>
      <c r="N27" s="6">
        <f t="shared" si="15"/>
        <v>4.5410628019323732E-2</v>
      </c>
      <c r="O27" s="11"/>
      <c r="P27" s="7">
        <v>21.64</v>
      </c>
      <c r="Q27" s="2"/>
      <c r="R27" s="6">
        <f t="shared" si="16"/>
        <v>3.0308123249299719E-2</v>
      </c>
      <c r="S27" s="2"/>
      <c r="T27" s="7">
        <v>14.1</v>
      </c>
      <c r="U27" s="2"/>
      <c r="V27" s="6">
        <f t="shared" si="17"/>
        <v>6.2621773812817738E-4</v>
      </c>
      <c r="W27" s="2"/>
      <c r="X27" s="7">
        <f t="shared" si="18"/>
        <v>7.5400000000000009</v>
      </c>
      <c r="Y27" s="2"/>
      <c r="Z27" s="6">
        <f t="shared" si="19"/>
        <v>0.5347517730496455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321.57</v>
      </c>
      <c r="E28" s="2"/>
      <c r="F28" s="6">
        <f t="shared" si="12"/>
        <v>0.45037815126050418</v>
      </c>
      <c r="G28" s="2"/>
      <c r="H28" s="7">
        <v>134.11000000000001</v>
      </c>
      <c r="I28" s="2"/>
      <c r="J28" s="6">
        <f t="shared" si="13"/>
        <v>7.8361004021179851E-3</v>
      </c>
      <c r="K28" s="2"/>
      <c r="L28" s="7">
        <f t="shared" si="14"/>
        <v>187.45999999999998</v>
      </c>
      <c r="M28" s="2"/>
      <c r="N28" s="6">
        <f t="shared" si="15"/>
        <v>1.397807769741257</v>
      </c>
      <c r="O28" s="11"/>
      <c r="P28" s="7">
        <v>482.35</v>
      </c>
      <c r="Q28" s="2"/>
      <c r="R28" s="6">
        <f t="shared" si="16"/>
        <v>0.6755602240896359</v>
      </c>
      <c r="S28" s="2"/>
      <c r="T28" s="7">
        <v>268.22000000000003</v>
      </c>
      <c r="U28" s="2"/>
      <c r="V28" s="6">
        <f t="shared" si="17"/>
        <v>1.1912349058208494E-2</v>
      </c>
      <c r="W28" s="2"/>
      <c r="X28" s="7">
        <f t="shared" si="18"/>
        <v>214.13</v>
      </c>
      <c r="Y28" s="2"/>
      <c r="Z28" s="6">
        <f t="shared" si="19"/>
        <v>0.79833718589217795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239.72</v>
      </c>
      <c r="E29" s="2"/>
      <c r="F29" s="6">
        <f t="shared" si="12"/>
        <v>0.3357422969187675</v>
      </c>
      <c r="G29" s="2"/>
      <c r="H29" s="7">
        <v>73.92</v>
      </c>
      <c r="I29" s="2"/>
      <c r="J29" s="6">
        <f t="shared" si="13"/>
        <v>4.3191748693204189E-3</v>
      </c>
      <c r="K29" s="2"/>
      <c r="L29" s="7">
        <f t="shared" si="14"/>
        <v>165.8</v>
      </c>
      <c r="M29" s="2"/>
      <c r="N29" s="6">
        <f t="shared" si="15"/>
        <v>2.2429653679653683</v>
      </c>
      <c r="O29" s="11"/>
      <c r="P29" s="7">
        <v>239.72</v>
      </c>
      <c r="Q29" s="2"/>
      <c r="R29" s="6">
        <f t="shared" si="16"/>
        <v>0.3357422969187675</v>
      </c>
      <c r="S29" s="2"/>
      <c r="T29" s="7">
        <v>73.92</v>
      </c>
      <c r="U29" s="2"/>
      <c r="V29" s="6">
        <f t="shared" si="17"/>
        <v>3.282979801591126E-3</v>
      </c>
      <c r="W29" s="2"/>
      <c r="X29" s="7">
        <f t="shared" si="18"/>
        <v>165.8</v>
      </c>
      <c r="Y29" s="2"/>
      <c r="Z29" s="6">
        <f t="shared" si="19"/>
        <v>2.2429653679653683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191.88</v>
      </c>
      <c r="E30" s="2"/>
      <c r="F30" s="6">
        <f t="shared" si="12"/>
        <v>0.26873949579831929</v>
      </c>
      <c r="G30" s="2"/>
      <c r="H30" s="7">
        <v>88.56</v>
      </c>
      <c r="I30" s="2"/>
      <c r="J30" s="6">
        <f t="shared" si="13"/>
        <v>5.1745958661663467E-3</v>
      </c>
      <c r="K30" s="2"/>
      <c r="L30" s="7">
        <f t="shared" si="14"/>
        <v>103.32</v>
      </c>
      <c r="M30" s="2"/>
      <c r="N30" s="6">
        <f t="shared" si="15"/>
        <v>1.1666666666666665</v>
      </c>
      <c r="O30" s="11"/>
      <c r="P30" s="7">
        <v>191.88</v>
      </c>
      <c r="Q30" s="2"/>
      <c r="R30" s="6">
        <f t="shared" si="16"/>
        <v>0.26873949579831929</v>
      </c>
      <c r="S30" s="2"/>
      <c r="T30" s="7">
        <v>88.56</v>
      </c>
      <c r="U30" s="2"/>
      <c r="V30" s="6">
        <f t="shared" si="17"/>
        <v>3.9331803467114465E-3</v>
      </c>
      <c r="W30" s="2"/>
      <c r="X30" s="7">
        <f t="shared" si="18"/>
        <v>103.32</v>
      </c>
      <c r="Y30" s="2"/>
      <c r="Z30" s="6">
        <f t="shared" si="19"/>
        <v>1.1666666666666665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174.79</v>
      </c>
      <c r="E31" s="2"/>
      <c r="F31" s="6">
        <f t="shared" si="12"/>
        <v>0.24480392156862743</v>
      </c>
      <c r="G31" s="2"/>
      <c r="H31" s="7"/>
      <c r="I31" s="2"/>
      <c r="J31" s="6">
        <f t="shared" si="13"/>
        <v>0</v>
      </c>
      <c r="K31" s="2"/>
      <c r="L31" s="7">
        <f t="shared" si="14"/>
        <v>174.79</v>
      </c>
      <c r="M31" s="2"/>
      <c r="N31" s="6">
        <f t="shared" si="15"/>
        <v>0</v>
      </c>
      <c r="O31" s="11"/>
      <c r="P31" s="7">
        <v>174.79</v>
      </c>
      <c r="Q31" s="2"/>
      <c r="R31" s="6">
        <f t="shared" si="16"/>
        <v>0.24480392156862743</v>
      </c>
      <c r="S31" s="2"/>
      <c r="T31" s="7"/>
      <c r="U31" s="2"/>
      <c r="V31" s="6">
        <f t="shared" si="17"/>
        <v>0</v>
      </c>
      <c r="W31" s="2"/>
      <c r="X31" s="7">
        <f t="shared" si="18"/>
        <v>174.79</v>
      </c>
      <c r="Y31" s="2"/>
      <c r="Z31" s="6">
        <f t="shared" si="19"/>
        <v>0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4607</v>
      </c>
      <c r="E32" s="1"/>
      <c r="F32" s="5">
        <f t="shared" ref="F32:F37" si="20">IF(D$12=0,0,D32/D$12)</f>
        <v>6.4523809523809526</v>
      </c>
      <c r="G32" s="1"/>
      <c r="H32" s="1">
        <f>SUM(OSRRefH22_1x_0)</f>
        <v>4544.93</v>
      </c>
      <c r="I32" s="1"/>
      <c r="J32" s="5">
        <f t="shared" ref="J32:J37" si="21">IF(H$12=0,0,H32/H$12)</f>
        <v>0.26556205950785244</v>
      </c>
      <c r="K32" s="1"/>
      <c r="L32" s="1">
        <f t="shared" ref="L32:L37" si="22">+D32-H32</f>
        <v>62.069999999999709</v>
      </c>
      <c r="M32" s="1"/>
      <c r="N32" s="5">
        <f t="shared" ref="N32:N37" si="23">IF(H32=0,0,L32/H32)</f>
        <v>1.3656976015032071E-2</v>
      </c>
      <c r="O32" s="14"/>
      <c r="P32" s="1">
        <f>SUM(OSRRefP22_1x_0)</f>
        <v>7727</v>
      </c>
      <c r="Q32" s="1"/>
      <c r="R32" s="5">
        <f t="shared" ref="R32:R37" si="24">IF(P$12=0,0,P32/P$12)</f>
        <v>10.822128851540617</v>
      </c>
      <c r="S32" s="1"/>
      <c r="T32" s="1">
        <f>SUM(OSRRefT22_1x_0)</f>
        <v>9599.65</v>
      </c>
      <c r="U32" s="1"/>
      <c r="V32" s="5">
        <f t="shared" ref="V32:V37" si="25">IF(T$12=0,0,T32/T$12)</f>
        <v>0.42634546878171337</v>
      </c>
      <c r="W32" s="1"/>
      <c r="X32" s="1">
        <f t="shared" ref="X32:X37" si="26">+P32-T32</f>
        <v>-1872.6499999999996</v>
      </c>
      <c r="Y32" s="1"/>
      <c r="Z32" s="5">
        <f t="shared" ref="Z32:Z37" si="27">IF(T32=0,0,X32/T32)</f>
        <v>-0.1950748204361617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3952</v>
      </c>
      <c r="E33" s="2"/>
      <c r="F33" s="6">
        <f t="shared" si="20"/>
        <v>5.5350140056022408</v>
      </c>
      <c r="G33" s="2"/>
      <c r="H33" s="7">
        <v>1728</v>
      </c>
      <c r="I33" s="2"/>
      <c r="J33" s="6">
        <f t="shared" si="21"/>
        <v>0.10096772421787993</v>
      </c>
      <c r="K33" s="2"/>
      <c r="L33" s="7">
        <f t="shared" si="22"/>
        <v>2224</v>
      </c>
      <c r="M33" s="2"/>
      <c r="N33" s="6">
        <f t="shared" si="23"/>
        <v>1.287037037037037</v>
      </c>
      <c r="O33" s="11"/>
      <c r="P33" s="7">
        <v>7072</v>
      </c>
      <c r="Q33" s="2"/>
      <c r="R33" s="6">
        <f t="shared" si="24"/>
        <v>9.9047619047619051</v>
      </c>
      <c r="S33" s="2"/>
      <c r="T33" s="7">
        <v>4128</v>
      </c>
      <c r="U33" s="2"/>
      <c r="V33" s="6">
        <f t="shared" si="25"/>
        <v>0.18333523567327067</v>
      </c>
      <c r="W33" s="2"/>
      <c r="X33" s="7">
        <f t="shared" si="26"/>
        <v>2944</v>
      </c>
      <c r="Y33" s="2"/>
      <c r="Z33" s="6">
        <f t="shared" si="27"/>
        <v>0.71317829457364346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0"/>
        <v>0</v>
      </c>
      <c r="G34" s="2"/>
      <c r="H34" s="7">
        <v>757.06</v>
      </c>
      <c r="I34" s="2"/>
      <c r="J34" s="6">
        <f t="shared" si="21"/>
        <v>4.423531556503945E-2</v>
      </c>
      <c r="K34" s="2"/>
      <c r="L34" s="7">
        <f t="shared" si="22"/>
        <v>-757.06</v>
      </c>
      <c r="M34" s="2"/>
      <c r="N34" s="6">
        <f t="shared" si="23"/>
        <v>-1</v>
      </c>
      <c r="O34" s="11"/>
      <c r="P34" s="7"/>
      <c r="Q34" s="2"/>
      <c r="R34" s="6">
        <f t="shared" si="24"/>
        <v>0</v>
      </c>
      <c r="S34" s="2"/>
      <c r="T34" s="7">
        <v>1708.78</v>
      </c>
      <c r="U34" s="2"/>
      <c r="V34" s="6">
        <f t="shared" si="25"/>
        <v>7.5891372096359364E-2</v>
      </c>
      <c r="W34" s="2"/>
      <c r="X34" s="7">
        <f t="shared" si="26"/>
        <v>-1708.78</v>
      </c>
      <c r="Y34" s="2"/>
      <c r="Z34" s="6">
        <f t="shared" si="27"/>
        <v>-1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0"/>
        <v>0</v>
      </c>
      <c r="G35" s="2"/>
      <c r="H35" s="7">
        <v>226.31</v>
      </c>
      <c r="I35" s="2"/>
      <c r="J35" s="6">
        <f t="shared" si="21"/>
        <v>1.3223382909576625E-2</v>
      </c>
      <c r="K35" s="2"/>
      <c r="L35" s="7">
        <f t="shared" si="22"/>
        <v>-226.31</v>
      </c>
      <c r="M35" s="2"/>
      <c r="N35" s="6">
        <f t="shared" si="23"/>
        <v>-1</v>
      </c>
      <c r="O35" s="11"/>
      <c r="P35" s="7"/>
      <c r="Q35" s="2"/>
      <c r="R35" s="6">
        <f t="shared" si="24"/>
        <v>0</v>
      </c>
      <c r="S35" s="2"/>
      <c r="T35" s="7">
        <v>908.43</v>
      </c>
      <c r="U35" s="2"/>
      <c r="V35" s="6">
        <f t="shared" si="25"/>
        <v>4.0345743251615614E-2</v>
      </c>
      <c r="W35" s="2"/>
      <c r="X35" s="7">
        <f t="shared" si="26"/>
        <v>-908.43</v>
      </c>
      <c r="Y35" s="2"/>
      <c r="Z35" s="6">
        <f t="shared" si="27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>
        <v>655</v>
      </c>
      <c r="E36" s="2"/>
      <c r="F36" s="6">
        <f t="shared" si="20"/>
        <v>0.91736694677871145</v>
      </c>
      <c r="G36" s="2"/>
      <c r="H36" s="7">
        <v>1760.25</v>
      </c>
      <c r="I36" s="2"/>
      <c r="J36" s="6">
        <f t="shared" si="21"/>
        <v>0.10285210448757126</v>
      </c>
      <c r="K36" s="2"/>
      <c r="L36" s="7">
        <f t="shared" si="22"/>
        <v>-1105.25</v>
      </c>
      <c r="M36" s="2"/>
      <c r="N36" s="6">
        <f t="shared" si="23"/>
        <v>-0.62789376509018602</v>
      </c>
      <c r="O36" s="11"/>
      <c r="P36" s="7">
        <v>655</v>
      </c>
      <c r="Q36" s="2"/>
      <c r="R36" s="6">
        <f t="shared" si="24"/>
        <v>0.91736694677871145</v>
      </c>
      <c r="S36" s="2"/>
      <c r="T36" s="7">
        <v>2781.13</v>
      </c>
      <c r="U36" s="2"/>
      <c r="V36" s="6">
        <f t="shared" si="25"/>
        <v>0.12351722964825661</v>
      </c>
      <c r="W36" s="2"/>
      <c r="X36" s="7">
        <f t="shared" si="26"/>
        <v>-2126.13</v>
      </c>
      <c r="Y36" s="2"/>
      <c r="Z36" s="6">
        <f t="shared" si="27"/>
        <v>-0.76448422044276965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0"/>
        <v>0</v>
      </c>
      <c r="G37" s="2"/>
      <c r="H37" s="7">
        <v>73.31</v>
      </c>
      <c r="I37" s="2"/>
      <c r="J37" s="6">
        <f t="shared" si="21"/>
        <v>4.2835323277851728E-3</v>
      </c>
      <c r="K37" s="2"/>
      <c r="L37" s="7">
        <f t="shared" si="22"/>
        <v>-73.31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73.31</v>
      </c>
      <c r="U37" s="2"/>
      <c r="V37" s="6">
        <f t="shared" si="25"/>
        <v>3.2558881122111125E-3</v>
      </c>
      <c r="W37" s="2"/>
      <c r="X37" s="7">
        <f t="shared" si="26"/>
        <v>-73.31</v>
      </c>
      <c r="Y37" s="2"/>
      <c r="Z37" s="6">
        <f t="shared" si="27"/>
        <v>-1</v>
      </c>
    </row>
    <row r="38" spans="1:26" s="28" customFormat="1" outlineLevel="1" collapsed="1" x14ac:dyDescent="0.25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SUM(OSRRefD22_2x_0)</f>
        <v>3.75</v>
      </c>
      <c r="E38" s="1"/>
      <c r="F38" s="5">
        <f t="shared" ref="F38:F48" si="28">IF(D$12=0,0,D38/D$12)</f>
        <v>5.2521008403361349E-3</v>
      </c>
      <c r="G38" s="1"/>
      <c r="H38" s="1">
        <f>SUM(OSRRefH22_2x_0)</f>
        <v>-2.52</v>
      </c>
      <c r="I38" s="1"/>
      <c r="J38" s="5">
        <f t="shared" ref="J38:J48" si="29">IF(H$12=0,0,H38/H$12)</f>
        <v>-1.4724459781774156E-4</v>
      </c>
      <c r="K38" s="1"/>
      <c r="L38" s="1">
        <f t="shared" ref="L38:L48" si="30">+D38-H38</f>
        <v>6.27</v>
      </c>
      <c r="M38" s="1"/>
      <c r="N38" s="5">
        <f t="shared" ref="N38:N48" si="31">IF(H38=0,0,L38/H38)</f>
        <v>-2.4880952380952377</v>
      </c>
      <c r="O38" s="14"/>
      <c r="P38" s="1">
        <f>SUM(OSRRefP22_2x_0)</f>
        <v>3.75</v>
      </c>
      <c r="Q38" s="1"/>
      <c r="R38" s="5">
        <f t="shared" ref="R38:R48" si="32">IF(P$12=0,0,P38/P$12)</f>
        <v>5.2521008403361349E-3</v>
      </c>
      <c r="S38" s="1"/>
      <c r="T38" s="1">
        <f>SUM(OSRRefT22_2x_0)</f>
        <v>1.91</v>
      </c>
      <c r="U38" s="1"/>
      <c r="V38" s="5">
        <f t="shared" ref="V38:V48" si="33">IF(T$12=0,0,T38/T$12)</f>
        <v>8.4828076583320477E-5</v>
      </c>
      <c r="W38" s="1"/>
      <c r="X38" s="1">
        <f t="shared" ref="X38:X48" si="34">+P38-T38</f>
        <v>1.84</v>
      </c>
      <c r="Y38" s="1"/>
      <c r="Z38" s="5">
        <f t="shared" ref="Z38:Z48" si="35">IF(T38=0,0,X38/T38)</f>
        <v>0.96335078534031426</v>
      </c>
    </row>
    <row r="39" spans="1:26" s="24" customFormat="1" hidden="1" outlineLevel="2" x14ac:dyDescent="0.25">
      <c r="A39" s="29"/>
      <c r="B39" s="11" t="str">
        <f>CONCATENATE("          ", "6272", " - ", "CASH (OVER/SHORT)")</f>
        <v xml:space="preserve">          6272 - CASH (OVER/SHORT)</v>
      </c>
      <c r="C39" s="11"/>
      <c r="D39" s="7">
        <v>3.75</v>
      </c>
      <c r="E39" s="2"/>
      <c r="F39" s="6">
        <f t="shared" si="28"/>
        <v>5.2521008403361349E-3</v>
      </c>
      <c r="G39" s="2"/>
      <c r="H39" s="7">
        <v>-2.52</v>
      </c>
      <c r="I39" s="2"/>
      <c r="J39" s="6">
        <f t="shared" si="29"/>
        <v>-1.4724459781774156E-4</v>
      </c>
      <c r="K39" s="2"/>
      <c r="L39" s="7">
        <f t="shared" si="30"/>
        <v>6.27</v>
      </c>
      <c r="M39" s="2"/>
      <c r="N39" s="6">
        <f t="shared" si="31"/>
        <v>-2.4880952380952377</v>
      </c>
      <c r="O39" s="11"/>
      <c r="P39" s="7">
        <v>3.75</v>
      </c>
      <c r="Q39" s="2"/>
      <c r="R39" s="6">
        <f t="shared" si="32"/>
        <v>5.2521008403361349E-3</v>
      </c>
      <c r="S39" s="2"/>
      <c r="T39" s="7">
        <v>1.91</v>
      </c>
      <c r="U39" s="2"/>
      <c r="V39" s="6">
        <f t="shared" si="33"/>
        <v>8.4828076583320477E-5</v>
      </c>
      <c r="W39" s="2"/>
      <c r="X39" s="7">
        <f t="shared" si="34"/>
        <v>1.84</v>
      </c>
      <c r="Y39" s="2"/>
      <c r="Z39" s="6">
        <f t="shared" si="35"/>
        <v>0.96335078534031426</v>
      </c>
    </row>
    <row r="40" spans="1:26" s="28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SUM(OSRRefD22_3x_0)</f>
        <v>0</v>
      </c>
      <c r="E40" s="1"/>
      <c r="F40" s="5">
        <f t="shared" si="28"/>
        <v>0</v>
      </c>
      <c r="G40" s="1"/>
      <c r="H40" s="1">
        <f>SUM(OSRRefH22_3x_0)</f>
        <v>615.33000000000004</v>
      </c>
      <c r="I40" s="1"/>
      <c r="J40" s="5">
        <f t="shared" si="29"/>
        <v>3.5953975545710684E-2</v>
      </c>
      <c r="K40" s="1"/>
      <c r="L40" s="1">
        <f t="shared" si="30"/>
        <v>-615.33000000000004</v>
      </c>
      <c r="M40" s="1"/>
      <c r="N40" s="5">
        <f t="shared" si="31"/>
        <v>-1</v>
      </c>
      <c r="O40" s="14"/>
      <c r="P40" s="1">
        <f>SUM(OSRRefP22_3x_0)</f>
        <v>0</v>
      </c>
      <c r="Q40" s="1"/>
      <c r="R40" s="5">
        <f t="shared" si="32"/>
        <v>0</v>
      </c>
      <c r="S40" s="1"/>
      <c r="T40" s="1">
        <f>SUM(OSRRefT22_3x_0)</f>
        <v>749.09</v>
      </c>
      <c r="U40" s="1"/>
      <c r="V40" s="5">
        <f t="shared" si="33"/>
        <v>3.3269038684711802E-2</v>
      </c>
      <c r="W40" s="1"/>
      <c r="X40" s="1">
        <f t="shared" si="34"/>
        <v>-749.09</v>
      </c>
      <c r="Y40" s="1"/>
      <c r="Z40" s="5">
        <f t="shared" si="35"/>
        <v>-1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7"/>
      <c r="E41" s="2"/>
      <c r="F41" s="6">
        <f t="shared" si="28"/>
        <v>0</v>
      </c>
      <c r="G41" s="2"/>
      <c r="H41" s="7">
        <v>615.33000000000004</v>
      </c>
      <c r="I41" s="2"/>
      <c r="J41" s="6">
        <f t="shared" si="29"/>
        <v>3.5953975545710684E-2</v>
      </c>
      <c r="K41" s="2"/>
      <c r="L41" s="7">
        <f t="shared" si="30"/>
        <v>-615.33000000000004</v>
      </c>
      <c r="M41" s="2"/>
      <c r="N41" s="6">
        <f t="shared" si="31"/>
        <v>-1</v>
      </c>
      <c r="O41" s="11"/>
      <c r="P41" s="7"/>
      <c r="Q41" s="2"/>
      <c r="R41" s="6">
        <f t="shared" si="32"/>
        <v>0</v>
      </c>
      <c r="S41" s="2"/>
      <c r="T41" s="7">
        <v>749.09</v>
      </c>
      <c r="U41" s="2"/>
      <c r="V41" s="6">
        <f t="shared" si="33"/>
        <v>3.3269038684711802E-2</v>
      </c>
      <c r="W41" s="2"/>
      <c r="X41" s="7">
        <f t="shared" si="34"/>
        <v>-749.09</v>
      </c>
      <c r="Y41" s="2"/>
      <c r="Z41" s="6">
        <f t="shared" si="35"/>
        <v>-1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SUM(OSRRefD22_4x_0)</f>
        <v>1075.3699999999999</v>
      </c>
      <c r="E42" s="1"/>
      <c r="F42" s="5">
        <f t="shared" si="28"/>
        <v>1.5061204481792716</v>
      </c>
      <c r="G42" s="1"/>
      <c r="H42" s="1">
        <f>SUM(OSRRefH22_4x_0)</f>
        <v>968.86</v>
      </c>
      <c r="I42" s="1"/>
      <c r="J42" s="5">
        <f t="shared" si="29"/>
        <v>5.6610873429244875E-2</v>
      </c>
      <c r="K42" s="1"/>
      <c r="L42" s="1">
        <f t="shared" si="30"/>
        <v>106.50999999999988</v>
      </c>
      <c r="M42" s="1"/>
      <c r="N42" s="5">
        <f t="shared" si="31"/>
        <v>0.10993332370001845</v>
      </c>
      <c r="O42" s="14"/>
      <c r="P42" s="1">
        <f>SUM(OSRRefP22_4x_0)</f>
        <v>2150.7399999999998</v>
      </c>
      <c r="Q42" s="1"/>
      <c r="R42" s="5">
        <f t="shared" si="32"/>
        <v>3.0122408963585432</v>
      </c>
      <c r="S42" s="1"/>
      <c r="T42" s="1">
        <f>SUM(OSRRefT22_4x_0)</f>
        <v>1937.72</v>
      </c>
      <c r="U42" s="1"/>
      <c r="V42" s="5">
        <f t="shared" si="33"/>
        <v>8.6059194008917164E-2</v>
      </c>
      <c r="W42" s="1"/>
      <c r="X42" s="1">
        <f t="shared" si="34"/>
        <v>213.01999999999975</v>
      </c>
      <c r="Y42" s="1"/>
      <c r="Z42" s="5">
        <f t="shared" si="35"/>
        <v>0.10993332370001845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1075.3699999999999</v>
      </c>
      <c r="E43" s="2"/>
      <c r="F43" s="6">
        <f t="shared" si="28"/>
        <v>1.5061204481792716</v>
      </c>
      <c r="G43" s="2"/>
      <c r="H43" s="7">
        <v>968.86</v>
      </c>
      <c r="I43" s="2"/>
      <c r="J43" s="6">
        <f t="shared" si="29"/>
        <v>5.6610873429244875E-2</v>
      </c>
      <c r="K43" s="2"/>
      <c r="L43" s="7">
        <f t="shared" si="30"/>
        <v>106.50999999999988</v>
      </c>
      <c r="M43" s="2"/>
      <c r="N43" s="6">
        <f t="shared" si="31"/>
        <v>0.10993332370001845</v>
      </c>
      <c r="O43" s="11"/>
      <c r="P43" s="7">
        <v>2150.7399999999998</v>
      </c>
      <c r="Q43" s="2"/>
      <c r="R43" s="6">
        <f t="shared" si="32"/>
        <v>3.0122408963585432</v>
      </c>
      <c r="S43" s="2"/>
      <c r="T43" s="7">
        <v>1937.72</v>
      </c>
      <c r="U43" s="2"/>
      <c r="V43" s="6">
        <f t="shared" si="33"/>
        <v>8.6059194008917164E-2</v>
      </c>
      <c r="W43" s="2"/>
      <c r="X43" s="7">
        <f t="shared" si="34"/>
        <v>213.01999999999975</v>
      </c>
      <c r="Y43" s="2"/>
      <c r="Z43" s="6">
        <f t="shared" si="35"/>
        <v>0.10993332370001845</v>
      </c>
    </row>
    <row r="44" spans="1:26" s="28" customFormat="1" outlineLevel="1" collapsed="1" x14ac:dyDescent="0.25">
      <c r="A44" s="27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SUM(OSRRefD22_5x_0)</f>
        <v>0</v>
      </c>
      <c r="E44" s="1"/>
      <c r="F44" s="5">
        <f t="shared" si="28"/>
        <v>0</v>
      </c>
      <c r="G44" s="1"/>
      <c r="H44" s="1">
        <f>SUM(OSRRefH22_5x_0)</f>
        <v>12.25</v>
      </c>
      <c r="I44" s="1"/>
      <c r="J44" s="5">
        <f t="shared" si="29"/>
        <v>7.1577235050291038E-4</v>
      </c>
      <c r="K44" s="1"/>
      <c r="L44" s="1">
        <f t="shared" si="30"/>
        <v>-12.25</v>
      </c>
      <c r="M44" s="1"/>
      <c r="N44" s="5">
        <f t="shared" si="31"/>
        <v>-1</v>
      </c>
      <c r="O44" s="14"/>
      <c r="P44" s="1">
        <f>SUM(OSRRefP22_5x_0)</f>
        <v>754.55</v>
      </c>
      <c r="Q44" s="1"/>
      <c r="R44" s="5">
        <f t="shared" si="32"/>
        <v>1.0567927170868348</v>
      </c>
      <c r="S44" s="1"/>
      <c r="T44" s="1">
        <f>SUM(OSRRefT22_5x_0)</f>
        <v>746.3</v>
      </c>
      <c r="U44" s="1"/>
      <c r="V44" s="5">
        <f t="shared" si="33"/>
        <v>3.3145127515252393E-2</v>
      </c>
      <c r="W44" s="1"/>
      <c r="X44" s="1">
        <f t="shared" si="34"/>
        <v>8.25</v>
      </c>
      <c r="Y44" s="1"/>
      <c r="Z44" s="5">
        <f t="shared" si="35"/>
        <v>1.1054535709500202E-2</v>
      </c>
    </row>
    <row r="45" spans="1:26" s="24" customFormat="1" hidden="1" outlineLevel="2" x14ac:dyDescent="0.25">
      <c r="A45" s="29"/>
      <c r="B45" s="11" t="str">
        <f>CONCATENATE("          ", "6279", " - ", "GENERAL EXPENSE")</f>
        <v xml:space="preserve">          6279 - GENERAL EXPENSE</v>
      </c>
      <c r="C45" s="11"/>
      <c r="D45" s="7"/>
      <c r="E45" s="2"/>
      <c r="F45" s="6">
        <f t="shared" si="28"/>
        <v>0</v>
      </c>
      <c r="G45" s="2"/>
      <c r="H45" s="7">
        <v>12.25</v>
      </c>
      <c r="I45" s="2"/>
      <c r="J45" s="6">
        <f t="shared" si="29"/>
        <v>7.1577235050291038E-4</v>
      </c>
      <c r="K45" s="2"/>
      <c r="L45" s="7">
        <f t="shared" si="30"/>
        <v>-12.25</v>
      </c>
      <c r="M45" s="2"/>
      <c r="N45" s="6">
        <f t="shared" si="31"/>
        <v>-1</v>
      </c>
      <c r="O45" s="11"/>
      <c r="P45" s="7">
        <v>754.55</v>
      </c>
      <c r="Q45" s="2"/>
      <c r="R45" s="6">
        <f t="shared" si="32"/>
        <v>1.0567927170868348</v>
      </c>
      <c r="S45" s="2"/>
      <c r="T45" s="7">
        <v>746.3</v>
      </c>
      <c r="U45" s="2"/>
      <c r="V45" s="6">
        <f t="shared" si="33"/>
        <v>3.3145127515252393E-2</v>
      </c>
      <c r="W45" s="2"/>
      <c r="X45" s="7">
        <f t="shared" si="34"/>
        <v>8.25</v>
      </c>
      <c r="Y45" s="2"/>
      <c r="Z45" s="6">
        <f t="shared" si="35"/>
        <v>1.1054535709500202E-2</v>
      </c>
    </row>
    <row r="46" spans="1:26" s="28" customFormat="1" outlineLevel="1" collapsed="1" x14ac:dyDescent="0.25">
      <c r="A46" s="27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SUM(OSRRefD22_6x_0)</f>
        <v>168.6</v>
      </c>
      <c r="E46" s="1"/>
      <c r="F46" s="5">
        <f t="shared" si="28"/>
        <v>0.2361344537815126</v>
      </c>
      <c r="G46" s="1"/>
      <c r="H46" s="1">
        <f>SUM(OSRRefH22_6x_0)</f>
        <v>0</v>
      </c>
      <c r="I46" s="1"/>
      <c r="J46" s="5">
        <f t="shared" si="29"/>
        <v>0</v>
      </c>
      <c r="K46" s="1"/>
      <c r="L46" s="1">
        <f t="shared" si="30"/>
        <v>168.6</v>
      </c>
      <c r="M46" s="1"/>
      <c r="N46" s="5">
        <f t="shared" si="31"/>
        <v>0</v>
      </c>
      <c r="O46" s="14"/>
      <c r="P46" s="1">
        <f>SUM(OSRRefP22_6x_0)</f>
        <v>168.6</v>
      </c>
      <c r="Q46" s="1"/>
      <c r="R46" s="5">
        <f t="shared" si="32"/>
        <v>0.2361344537815126</v>
      </c>
      <c r="S46" s="1"/>
      <c r="T46" s="1">
        <f>SUM(OSRRefT22_6x_0)</f>
        <v>36.42</v>
      </c>
      <c r="U46" s="1"/>
      <c r="V46" s="5">
        <f t="shared" si="33"/>
        <v>1.6175070938034201E-3</v>
      </c>
      <c r="W46" s="1"/>
      <c r="X46" s="1">
        <f t="shared" si="34"/>
        <v>132.18</v>
      </c>
      <c r="Y46" s="1"/>
      <c r="Z46" s="5">
        <f t="shared" si="35"/>
        <v>3.629324546952224</v>
      </c>
    </row>
    <row r="47" spans="1:26" s="24" customFormat="1" hidden="1" outlineLevel="2" x14ac:dyDescent="0.25">
      <c r="A47" s="29"/>
      <c r="B47" s="11" t="str">
        <f>CONCATENATE("          ", "6373", " - ", "MAINTENANCE CONTRACTS")</f>
        <v xml:space="preserve">          6373 - MAINTENANCE CONTRACTS</v>
      </c>
      <c r="C47" s="11"/>
      <c r="D47" s="7">
        <v>78.599999999999994</v>
      </c>
      <c r="E47" s="2"/>
      <c r="F47" s="6">
        <f t="shared" si="28"/>
        <v>0.11008403361344538</v>
      </c>
      <c r="G47" s="2"/>
      <c r="H47" s="7"/>
      <c r="I47" s="2"/>
      <c r="J47" s="6">
        <f t="shared" si="29"/>
        <v>0</v>
      </c>
      <c r="K47" s="2"/>
      <c r="L47" s="7">
        <f t="shared" si="30"/>
        <v>78.599999999999994</v>
      </c>
      <c r="M47" s="2"/>
      <c r="N47" s="6">
        <f t="shared" si="31"/>
        <v>0</v>
      </c>
      <c r="O47" s="11"/>
      <c r="P47" s="7">
        <v>78.599999999999994</v>
      </c>
      <c r="Q47" s="2"/>
      <c r="R47" s="6">
        <f t="shared" si="32"/>
        <v>0.11008403361344538</v>
      </c>
      <c r="S47" s="2"/>
      <c r="T47" s="7"/>
      <c r="U47" s="2"/>
      <c r="V47" s="6">
        <f t="shared" si="33"/>
        <v>0</v>
      </c>
      <c r="W47" s="2"/>
      <c r="X47" s="7">
        <f t="shared" si="34"/>
        <v>78.599999999999994</v>
      </c>
      <c r="Y47" s="2"/>
      <c r="Z47" s="6">
        <f t="shared" si="35"/>
        <v>0</v>
      </c>
    </row>
    <row r="48" spans="1:26" s="24" customFormat="1" hidden="1" outlineLevel="2" x14ac:dyDescent="0.25">
      <c r="A48" s="29"/>
      <c r="B48" s="11" t="str">
        <f>CONCATENATE("          ", "6375", " - ", "OUTSIDE REPAIRS &amp; MAINTENANCE")</f>
        <v xml:space="preserve">          6375 - OUTSIDE REPAIRS &amp; MAINTENANCE</v>
      </c>
      <c r="C48" s="11"/>
      <c r="D48" s="7">
        <v>90</v>
      </c>
      <c r="E48" s="2"/>
      <c r="F48" s="6">
        <f t="shared" si="28"/>
        <v>0.12605042016806722</v>
      </c>
      <c r="G48" s="2"/>
      <c r="H48" s="7"/>
      <c r="I48" s="2"/>
      <c r="J48" s="6">
        <f t="shared" si="29"/>
        <v>0</v>
      </c>
      <c r="K48" s="2"/>
      <c r="L48" s="7">
        <f t="shared" si="30"/>
        <v>90</v>
      </c>
      <c r="M48" s="2"/>
      <c r="N48" s="6">
        <f t="shared" si="31"/>
        <v>0</v>
      </c>
      <c r="O48" s="11"/>
      <c r="P48" s="7">
        <v>90</v>
      </c>
      <c r="Q48" s="2"/>
      <c r="R48" s="6">
        <f t="shared" si="32"/>
        <v>0.12605042016806722</v>
      </c>
      <c r="S48" s="2"/>
      <c r="T48" s="7">
        <v>36.42</v>
      </c>
      <c r="U48" s="2"/>
      <c r="V48" s="6">
        <f t="shared" si="33"/>
        <v>1.6175070938034201E-3</v>
      </c>
      <c r="W48" s="2"/>
      <c r="X48" s="7">
        <f t="shared" si="34"/>
        <v>53.58</v>
      </c>
      <c r="Y48" s="2"/>
      <c r="Z48" s="6">
        <f t="shared" si="35"/>
        <v>1.4711696869851729</v>
      </c>
    </row>
    <row r="49" spans="1:26" s="28" customFormat="1" outlineLevel="1" collapsed="1" x14ac:dyDescent="0.25">
      <c r="A49" s="27"/>
      <c r="B49" s="14" t="str">
        <f>CONCATENATE("     ","Services                                          ")</f>
        <v xml:space="preserve">     Services                                          </v>
      </c>
      <c r="C49" s="14"/>
      <c r="D49" s="1">
        <f>SUM(OSRRefD22_7x_0)</f>
        <v>0</v>
      </c>
      <c r="E49" s="1"/>
      <c r="F49" s="5">
        <f t="shared" ref="F49:F51" si="36">IF(D$12=0,0,D49/D$12)</f>
        <v>0</v>
      </c>
      <c r="G49" s="1"/>
      <c r="H49" s="1">
        <f>SUM(OSRRefH22_7x_0)</f>
        <v>174.18</v>
      </c>
      <c r="I49" s="1"/>
      <c r="J49" s="5">
        <f t="shared" ref="J49:J51" si="37">IF(H$12=0,0,H49/H$12)</f>
        <v>1.0177406368211994E-2</v>
      </c>
      <c r="K49" s="1"/>
      <c r="L49" s="1">
        <f t="shared" ref="L49:L51" si="38">+D49-H49</f>
        <v>-174.18</v>
      </c>
      <c r="M49" s="1"/>
      <c r="N49" s="5">
        <f t="shared" ref="N49:N51" si="39">IF(H49=0,0,L49/H49)</f>
        <v>-1</v>
      </c>
      <c r="O49" s="14"/>
      <c r="P49" s="1">
        <f>SUM(OSRRefP22_7x_0)</f>
        <v>-145.32</v>
      </c>
      <c r="Q49" s="1"/>
      <c r="R49" s="5">
        <f t="shared" ref="R49:R51" si="40">IF(P$12=0,0,P49/P$12)</f>
        <v>-0.20352941176470588</v>
      </c>
      <c r="S49" s="1"/>
      <c r="T49" s="1">
        <f>SUM(OSRRefT22_7x_0)</f>
        <v>291.18</v>
      </c>
      <c r="U49" s="1"/>
      <c r="V49" s="5">
        <f t="shared" ref="V49:V51" si="41">IF(T$12=0,0,T49/T$12)</f>
        <v>1.2932062481429979E-2</v>
      </c>
      <c r="W49" s="1"/>
      <c r="X49" s="1">
        <f t="shared" ref="X49:X51" si="42">+P49-T49</f>
        <v>-436.5</v>
      </c>
      <c r="Y49" s="1"/>
      <c r="Z49" s="5">
        <f t="shared" ref="Z49:Z51" si="43">IF(T49=0,0,X49/T49)</f>
        <v>-1.4990727385122604</v>
      </c>
    </row>
    <row r="50" spans="1:26" s="24" customFormat="1" hidden="1" outlineLevel="2" x14ac:dyDescent="0.25">
      <c r="A50" s="29"/>
      <c r="B50" s="11" t="str">
        <f>CONCATENATE("          ", "6285", " - ", "JANITORIAL SERVICES")</f>
        <v xml:space="preserve">          6285 - JANITORIAL SERVICES</v>
      </c>
      <c r="C50" s="11"/>
      <c r="D50" s="7"/>
      <c r="E50" s="2"/>
      <c r="F50" s="6">
        <f t="shared" si="36"/>
        <v>0</v>
      </c>
      <c r="G50" s="2"/>
      <c r="H50" s="7">
        <v>22.62</v>
      </c>
      <c r="I50" s="2"/>
      <c r="J50" s="6">
        <f t="shared" si="37"/>
        <v>1.3216955566021089E-3</v>
      </c>
      <c r="K50" s="2"/>
      <c r="L50" s="7">
        <f t="shared" si="38"/>
        <v>-22.62</v>
      </c>
      <c r="M50" s="2"/>
      <c r="N50" s="6">
        <f t="shared" si="39"/>
        <v>-1</v>
      </c>
      <c r="O50" s="11"/>
      <c r="P50" s="7">
        <v>-145.32</v>
      </c>
      <c r="Q50" s="2"/>
      <c r="R50" s="6">
        <f t="shared" si="40"/>
        <v>-0.20352941176470588</v>
      </c>
      <c r="S50" s="2"/>
      <c r="T50" s="7">
        <v>45.24</v>
      </c>
      <c r="U50" s="2"/>
      <c r="V50" s="6">
        <f t="shared" si="41"/>
        <v>2.0092262746750885E-3</v>
      </c>
      <c r="W50" s="2"/>
      <c r="X50" s="7">
        <f t="shared" si="42"/>
        <v>-190.56</v>
      </c>
      <c r="Y50" s="2"/>
      <c r="Z50" s="6">
        <f t="shared" si="43"/>
        <v>-4.2122015915119366</v>
      </c>
    </row>
    <row r="51" spans="1:26" s="24" customFormat="1" hidden="1" outlineLevel="2" x14ac:dyDescent="0.25">
      <c r="A51" s="29"/>
      <c r="B51" s="11" t="str">
        <f>CONCATENATE("          ", "6286", " - ", "LAUNDRY EXPENSE")</f>
        <v xml:space="preserve">          6286 - LAUNDRY EXPENSE</v>
      </c>
      <c r="C51" s="11"/>
      <c r="D51" s="7"/>
      <c r="E51" s="2"/>
      <c r="F51" s="6">
        <f t="shared" si="36"/>
        <v>0</v>
      </c>
      <c r="G51" s="2"/>
      <c r="H51" s="7">
        <v>151.56</v>
      </c>
      <c r="I51" s="2"/>
      <c r="J51" s="6">
        <f t="shared" si="37"/>
        <v>8.8557108116098862E-3</v>
      </c>
      <c r="K51" s="2"/>
      <c r="L51" s="7">
        <f t="shared" si="38"/>
        <v>-151.56</v>
      </c>
      <c r="M51" s="2"/>
      <c r="N51" s="6">
        <f t="shared" si="39"/>
        <v>-1</v>
      </c>
      <c r="O51" s="11"/>
      <c r="P51" s="7"/>
      <c r="Q51" s="2"/>
      <c r="R51" s="6">
        <f t="shared" si="40"/>
        <v>0</v>
      </c>
      <c r="S51" s="2"/>
      <c r="T51" s="7">
        <v>245.94</v>
      </c>
      <c r="U51" s="2"/>
      <c r="V51" s="6">
        <f t="shared" si="41"/>
        <v>1.0922836206754891E-2</v>
      </c>
      <c r="W51" s="2"/>
      <c r="X51" s="7">
        <f t="shared" si="42"/>
        <v>-245.94</v>
      </c>
      <c r="Y51" s="2"/>
      <c r="Z51" s="6">
        <f t="shared" si="43"/>
        <v>-1</v>
      </c>
    </row>
    <row r="52" spans="1:26" s="28" customFormat="1" outlineLevel="1" collapsed="1" x14ac:dyDescent="0.25">
      <c r="A52" s="27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SUM(OSRRefD22_8x_0)</f>
        <v>80.28</v>
      </c>
      <c r="E52" s="1"/>
      <c r="F52" s="5">
        <f t="shared" ref="F52:F56" si="44">IF(D$12=0,0,D52/D$12)</f>
        <v>0.11243697478991596</v>
      </c>
      <c r="G52" s="1"/>
      <c r="H52" s="1">
        <f>SUM(OSRRefH22_8x_0)</f>
        <v>1608.1100000000001</v>
      </c>
      <c r="I52" s="1"/>
      <c r="J52" s="5">
        <f t="shared" ref="J52:J56" si="45">IF(H$12=0,0,H52/H$12)</f>
        <v>9.396250404630492E-2</v>
      </c>
      <c r="K52" s="1"/>
      <c r="L52" s="1">
        <f t="shared" ref="L52:L56" si="46">+D52-H52</f>
        <v>-1527.8300000000002</v>
      </c>
      <c r="M52" s="1"/>
      <c r="N52" s="5">
        <f t="shared" ref="N52:N56" si="47">IF(H52=0,0,L52/H52)</f>
        <v>-0.95007804192499268</v>
      </c>
      <c r="O52" s="14"/>
      <c r="P52" s="1">
        <f>SUM(OSRRefP22_8x_0)</f>
        <v>287.55</v>
      </c>
      <c r="Q52" s="1"/>
      <c r="R52" s="5">
        <f t="shared" ref="R52:R56" si="48">IF(P$12=0,0,P52/P$12)</f>
        <v>0.4027310924369748</v>
      </c>
      <c r="S52" s="1"/>
      <c r="T52" s="1">
        <f>SUM(OSRRefT22_8x_0)</f>
        <v>2724.64</v>
      </c>
      <c r="U52" s="1"/>
      <c r="V52" s="5">
        <f t="shared" ref="V52:V56" si="49">IF(T$12=0,0,T52/T$12)</f>
        <v>0.1210083615612452</v>
      </c>
      <c r="W52" s="1"/>
      <c r="X52" s="1">
        <f t="shared" ref="X52:X56" si="50">+P52-T52</f>
        <v>-2437.0899999999997</v>
      </c>
      <c r="Y52" s="1"/>
      <c r="Z52" s="5">
        <f t="shared" ref="Z52:Z56" si="51">IF(T52=0,0,X52/T52)</f>
        <v>-0.89446312173351339</v>
      </c>
    </row>
    <row r="53" spans="1:26" s="24" customFormat="1" hidden="1" outlineLevel="2" x14ac:dyDescent="0.25">
      <c r="A53" s="29"/>
      <c r="B53" s="11" t="str">
        <f>CONCATENATE("          ", "6234", " - ", "EXPENDABLE SUPPLIES &amp; EQUIPMEN")</f>
        <v xml:space="preserve">          6234 - EXPENDABLE SUPPLIES &amp; EQUIPMEN</v>
      </c>
      <c r="C53" s="11"/>
      <c r="D53" s="7"/>
      <c r="E53" s="2"/>
      <c r="F53" s="6">
        <f t="shared" si="44"/>
        <v>0</v>
      </c>
      <c r="G53" s="2"/>
      <c r="H53" s="7">
        <v>354.71</v>
      </c>
      <c r="I53" s="2"/>
      <c r="J53" s="6">
        <f t="shared" si="45"/>
        <v>2.0725845750766313E-2</v>
      </c>
      <c r="K53" s="2"/>
      <c r="L53" s="7">
        <f t="shared" si="46"/>
        <v>-354.71</v>
      </c>
      <c r="M53" s="2"/>
      <c r="N53" s="6">
        <f t="shared" si="47"/>
        <v>-1</v>
      </c>
      <c r="O53" s="11"/>
      <c r="P53" s="7"/>
      <c r="Q53" s="2"/>
      <c r="R53" s="6">
        <f t="shared" si="48"/>
        <v>0</v>
      </c>
      <c r="S53" s="2"/>
      <c r="T53" s="7">
        <v>354.71</v>
      </c>
      <c r="U53" s="2"/>
      <c r="V53" s="6">
        <f t="shared" si="49"/>
        <v>1.5753595311450055E-2</v>
      </c>
      <c r="W53" s="2"/>
      <c r="X53" s="7">
        <f t="shared" si="50"/>
        <v>-354.71</v>
      </c>
      <c r="Y53" s="2"/>
      <c r="Z53" s="6">
        <f t="shared" si="51"/>
        <v>-1</v>
      </c>
    </row>
    <row r="54" spans="1:26" s="24" customFormat="1" hidden="1" outlineLevel="2" x14ac:dyDescent="0.25">
      <c r="A54" s="29"/>
      <c r="B54" s="11" t="str">
        <f>CONCATENATE("          ", "6235", " - ", "COVID-19 EXPENSES")</f>
        <v xml:space="preserve">          6235 - COVID-19 EXPENSES</v>
      </c>
      <c r="C54" s="11"/>
      <c r="D54" s="7"/>
      <c r="E54" s="2"/>
      <c r="F54" s="6">
        <f t="shared" si="44"/>
        <v>0</v>
      </c>
      <c r="G54" s="2"/>
      <c r="H54" s="7"/>
      <c r="I54" s="2"/>
      <c r="J54" s="6">
        <f t="shared" si="45"/>
        <v>0</v>
      </c>
      <c r="K54" s="2"/>
      <c r="L54" s="7">
        <f t="shared" si="46"/>
        <v>0</v>
      </c>
      <c r="M54" s="2"/>
      <c r="N54" s="6">
        <f t="shared" si="47"/>
        <v>0</v>
      </c>
      <c r="O54" s="11"/>
      <c r="P54" s="7">
        <v>207.27</v>
      </c>
      <c r="Q54" s="2"/>
      <c r="R54" s="6">
        <f t="shared" si="48"/>
        <v>0.29029411764705881</v>
      </c>
      <c r="S54" s="2"/>
      <c r="T54" s="7"/>
      <c r="U54" s="2"/>
      <c r="V54" s="6">
        <f t="shared" si="49"/>
        <v>0</v>
      </c>
      <c r="W54" s="2"/>
      <c r="X54" s="7">
        <f t="shared" si="50"/>
        <v>207.27</v>
      </c>
      <c r="Y54" s="2"/>
      <c r="Z54" s="6">
        <f t="shared" si="51"/>
        <v>0</v>
      </c>
    </row>
    <row r="55" spans="1:26" s="24" customFormat="1" hidden="1" outlineLevel="2" x14ac:dyDescent="0.25">
      <c r="A55" s="29"/>
      <c r="B55" s="11" t="str">
        <f>CONCATENATE("          ", "6237", " - ", "JANITORIAL SUPPLIES")</f>
        <v xml:space="preserve">          6237 - JANITORIAL SUPPLIES</v>
      </c>
      <c r="C55" s="11"/>
      <c r="D55" s="7"/>
      <c r="E55" s="2"/>
      <c r="F55" s="6">
        <f t="shared" si="44"/>
        <v>0</v>
      </c>
      <c r="G55" s="2"/>
      <c r="H55" s="7"/>
      <c r="I55" s="2"/>
      <c r="J55" s="6">
        <f t="shared" si="45"/>
        <v>0</v>
      </c>
      <c r="K55" s="2"/>
      <c r="L55" s="7">
        <f t="shared" si="46"/>
        <v>0</v>
      </c>
      <c r="M55" s="2"/>
      <c r="N55" s="6">
        <f t="shared" si="47"/>
        <v>0</v>
      </c>
      <c r="O55" s="11"/>
      <c r="P55" s="7"/>
      <c r="Q55" s="2"/>
      <c r="R55" s="6">
        <f t="shared" si="48"/>
        <v>0</v>
      </c>
      <c r="S55" s="2"/>
      <c r="T55" s="7">
        <v>20.93</v>
      </c>
      <c r="U55" s="2"/>
      <c r="V55" s="6">
        <f t="shared" si="49"/>
        <v>9.2955583397324494E-4</v>
      </c>
      <c r="W55" s="2"/>
      <c r="X55" s="7">
        <f t="shared" si="50"/>
        <v>-20.93</v>
      </c>
      <c r="Y55" s="2"/>
      <c r="Z55" s="6">
        <f t="shared" si="51"/>
        <v>-1</v>
      </c>
    </row>
    <row r="56" spans="1:26" s="24" customFormat="1" hidden="1" outlineLevel="2" x14ac:dyDescent="0.25">
      <c r="A56" s="29"/>
      <c r="B56" s="11" t="str">
        <f>CONCATENATE("          ", "6247", " - ", "STORE SUPPLIES")</f>
        <v xml:space="preserve">          6247 - STORE SUPPLIES</v>
      </c>
      <c r="C56" s="11"/>
      <c r="D56" s="7">
        <v>80.28</v>
      </c>
      <c r="E56" s="2"/>
      <c r="F56" s="6">
        <f t="shared" si="44"/>
        <v>0.11243697478991596</v>
      </c>
      <c r="G56" s="2"/>
      <c r="H56" s="7">
        <v>1253.4000000000001</v>
      </c>
      <c r="I56" s="2"/>
      <c r="J56" s="6">
        <f t="shared" si="45"/>
        <v>7.3236658295538604E-2</v>
      </c>
      <c r="K56" s="2"/>
      <c r="L56" s="7">
        <f t="shared" si="46"/>
        <v>-1173.1200000000001</v>
      </c>
      <c r="M56" s="2"/>
      <c r="N56" s="6">
        <f t="shared" si="47"/>
        <v>-0.93595021541407375</v>
      </c>
      <c r="O56" s="11"/>
      <c r="P56" s="7">
        <v>80.28</v>
      </c>
      <c r="Q56" s="2"/>
      <c r="R56" s="6">
        <f t="shared" si="48"/>
        <v>0.11243697478991596</v>
      </c>
      <c r="S56" s="2"/>
      <c r="T56" s="7">
        <v>2349</v>
      </c>
      <c r="U56" s="2"/>
      <c r="V56" s="6">
        <f t="shared" si="49"/>
        <v>0.10432521041582189</v>
      </c>
      <c r="W56" s="2"/>
      <c r="X56" s="7">
        <f t="shared" si="50"/>
        <v>-2268.7199999999998</v>
      </c>
      <c r="Y56" s="2"/>
      <c r="Z56" s="6">
        <f t="shared" si="51"/>
        <v>-0.96582375478927196</v>
      </c>
    </row>
    <row r="57" spans="1:26" s="28" customFormat="1" outlineLevel="1" collapsed="1" x14ac:dyDescent="0.25">
      <c r="A57" s="27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SUM(OSRRefD22_9x_0)</f>
        <v>101.5</v>
      </c>
      <c r="E57" s="1"/>
      <c r="F57" s="5">
        <f t="shared" ref="F57:F60" si="52">IF(D$12=0,0,D57/D$12)</f>
        <v>0.14215686274509803</v>
      </c>
      <c r="G57" s="1"/>
      <c r="H57" s="1">
        <f>SUM(OSRRefH22_9x_0)</f>
        <v>52.5</v>
      </c>
      <c r="I57" s="1"/>
      <c r="J57" s="5">
        <f t="shared" ref="J57:J60" si="53">IF(H$12=0,0,H57/H$12)</f>
        <v>3.0675957878696157E-3</v>
      </c>
      <c r="K57" s="1"/>
      <c r="L57" s="1">
        <f t="shared" ref="L57:L60" si="54">+D57-H57</f>
        <v>49</v>
      </c>
      <c r="M57" s="1"/>
      <c r="N57" s="5">
        <f t="shared" ref="N57:N60" si="55">IF(H57=0,0,L57/H57)</f>
        <v>0.93333333333333335</v>
      </c>
      <c r="O57" s="14"/>
      <c r="P57" s="1">
        <f>SUM(OSRRefP22_9x_0)</f>
        <v>203</v>
      </c>
      <c r="Q57" s="1"/>
      <c r="R57" s="5">
        <f t="shared" ref="R57:R60" si="56">IF(P$12=0,0,P57/P$12)</f>
        <v>0.28431372549019607</v>
      </c>
      <c r="S57" s="1"/>
      <c r="T57" s="1">
        <f>SUM(OSRRefT22_9x_0)</f>
        <v>97.5</v>
      </c>
      <c r="U57" s="1"/>
      <c r="V57" s="5">
        <f t="shared" ref="V57:V60" si="57">IF(T$12=0,0,T57/T$12)</f>
        <v>4.3302290402480355E-3</v>
      </c>
      <c r="W57" s="1"/>
      <c r="X57" s="1">
        <f t="shared" ref="X57:X60" si="58">+P57-T57</f>
        <v>105.5</v>
      </c>
      <c r="Y57" s="1"/>
      <c r="Z57" s="5">
        <f t="shared" ref="Z57:Z60" si="59">IF(T57=0,0,X57/T57)</f>
        <v>1.082051282051282</v>
      </c>
    </row>
    <row r="58" spans="1:26" s="24" customFormat="1" hidden="1" outlineLevel="2" x14ac:dyDescent="0.25">
      <c r="A58" s="29"/>
      <c r="B58" s="11" t="str">
        <f>CONCATENATE("          ", "6309", " - ", "TELEPHONE")</f>
        <v xml:space="preserve">          6309 - TELEPHONE</v>
      </c>
      <c r="C58" s="11"/>
      <c r="D58" s="7">
        <v>101.5</v>
      </c>
      <c r="E58" s="2"/>
      <c r="F58" s="6">
        <f t="shared" si="52"/>
        <v>0.14215686274509803</v>
      </c>
      <c r="G58" s="2"/>
      <c r="H58" s="7">
        <v>52.5</v>
      </c>
      <c r="I58" s="2"/>
      <c r="J58" s="6">
        <f t="shared" si="53"/>
        <v>3.0675957878696157E-3</v>
      </c>
      <c r="K58" s="2"/>
      <c r="L58" s="7">
        <f t="shared" si="54"/>
        <v>49</v>
      </c>
      <c r="M58" s="2"/>
      <c r="N58" s="6">
        <f t="shared" si="55"/>
        <v>0.93333333333333335</v>
      </c>
      <c r="O58" s="11"/>
      <c r="P58" s="7">
        <v>203</v>
      </c>
      <c r="Q58" s="2"/>
      <c r="R58" s="6">
        <f t="shared" si="56"/>
        <v>0.28431372549019607</v>
      </c>
      <c r="S58" s="2"/>
      <c r="T58" s="7">
        <v>97.5</v>
      </c>
      <c r="U58" s="2"/>
      <c r="V58" s="6">
        <f t="shared" si="57"/>
        <v>4.3302290402480355E-3</v>
      </c>
      <c r="W58" s="2"/>
      <c r="X58" s="7">
        <f t="shared" si="58"/>
        <v>105.5</v>
      </c>
      <c r="Y58" s="2"/>
      <c r="Z58" s="6">
        <f t="shared" si="59"/>
        <v>1.082051282051282</v>
      </c>
    </row>
    <row r="59" spans="1:26" s="28" customFormat="1" outlineLevel="1" collapsed="1" x14ac:dyDescent="0.25">
      <c r="A59" s="27"/>
      <c r="B59" s="14" t="str">
        <f>CONCATENATE("     ","Utilities                                         ")</f>
        <v xml:space="preserve">     Utilities                                         </v>
      </c>
      <c r="C59" s="14"/>
      <c r="D59" s="1">
        <f>SUM(OSRRefD22_10x_0)</f>
        <v>50</v>
      </c>
      <c r="E59" s="1"/>
      <c r="F59" s="5">
        <f t="shared" si="52"/>
        <v>7.0028011204481794E-2</v>
      </c>
      <c r="G59" s="1"/>
      <c r="H59" s="1">
        <f>SUM(OSRRefH22_10x_0)</f>
        <v>-902.88</v>
      </c>
      <c r="I59" s="1"/>
      <c r="J59" s="5">
        <f t="shared" si="53"/>
        <v>-5.275563590384226E-2</v>
      </c>
      <c r="K59" s="1"/>
      <c r="L59" s="1">
        <f t="shared" si="54"/>
        <v>952.88</v>
      </c>
      <c r="M59" s="1"/>
      <c r="N59" s="5">
        <f t="shared" si="55"/>
        <v>-1.0553783448520291</v>
      </c>
      <c r="O59" s="14"/>
      <c r="P59" s="1">
        <f>SUM(OSRRefP22_10x_0)</f>
        <v>100</v>
      </c>
      <c r="Q59" s="1"/>
      <c r="R59" s="5">
        <f t="shared" si="56"/>
        <v>0.14005602240896359</v>
      </c>
      <c r="S59" s="1"/>
      <c r="T59" s="1">
        <f>SUM(OSRRefT22_10x_0)</f>
        <v>-896.88</v>
      </c>
      <c r="U59" s="1"/>
      <c r="V59" s="5">
        <f t="shared" si="57"/>
        <v>-3.9832777657617002E-2</v>
      </c>
      <c r="W59" s="1"/>
      <c r="X59" s="1">
        <f t="shared" si="58"/>
        <v>996.88</v>
      </c>
      <c r="Y59" s="1"/>
      <c r="Z59" s="5">
        <f t="shared" si="59"/>
        <v>-1.1114976362501114</v>
      </c>
    </row>
    <row r="60" spans="1:26" s="24" customFormat="1" hidden="1" outlineLevel="2" x14ac:dyDescent="0.25">
      <c r="A60" s="29"/>
      <c r="B60" s="11" t="str">
        <f>CONCATENATE("          ", "6274", " - ", "UTILITIES")</f>
        <v xml:space="preserve">          6274 - UTILITIES</v>
      </c>
      <c r="C60" s="11"/>
      <c r="D60" s="7">
        <v>50</v>
      </c>
      <c r="E60" s="2"/>
      <c r="F60" s="6">
        <f t="shared" si="52"/>
        <v>7.0028011204481794E-2</v>
      </c>
      <c r="G60" s="2"/>
      <c r="H60" s="7">
        <v>-902.88</v>
      </c>
      <c r="I60" s="2"/>
      <c r="J60" s="6">
        <f t="shared" si="53"/>
        <v>-5.275563590384226E-2</v>
      </c>
      <c r="K60" s="2"/>
      <c r="L60" s="7">
        <f t="shared" si="54"/>
        <v>952.88</v>
      </c>
      <c r="M60" s="2"/>
      <c r="N60" s="6">
        <f t="shared" si="55"/>
        <v>-1.0553783448520291</v>
      </c>
      <c r="O60" s="11"/>
      <c r="P60" s="7">
        <v>100</v>
      </c>
      <c r="Q60" s="2"/>
      <c r="R60" s="6">
        <f t="shared" si="56"/>
        <v>0.14005602240896359</v>
      </c>
      <c r="S60" s="2"/>
      <c r="T60" s="7">
        <v>-896.88</v>
      </c>
      <c r="U60" s="2"/>
      <c r="V60" s="6">
        <f t="shared" si="57"/>
        <v>-3.9832777657617002E-2</v>
      </c>
      <c r="W60" s="2"/>
      <c r="X60" s="7">
        <f t="shared" si="58"/>
        <v>996.88</v>
      </c>
      <c r="Y60" s="2"/>
      <c r="Z60" s="6">
        <f t="shared" si="59"/>
        <v>-1.1114976362501114</v>
      </c>
    </row>
    <row r="61" spans="1:26" s="52" customFormat="1" x14ac:dyDescent="0.25">
      <c r="A61" s="37"/>
      <c r="B61" s="37"/>
      <c r="C61" s="37"/>
      <c r="D61" s="1"/>
      <c r="E61" s="1"/>
      <c r="F61" s="5"/>
      <c r="G61" s="1"/>
      <c r="H61" s="1"/>
      <c r="I61" s="1"/>
      <c r="J61" s="5"/>
      <c r="K61" s="1"/>
      <c r="L61" s="1"/>
      <c r="M61" s="1"/>
      <c r="N61" s="5"/>
      <c r="O61" s="37"/>
      <c r="P61" s="1"/>
      <c r="Q61" s="1"/>
      <c r="R61" s="5"/>
      <c r="S61" s="1"/>
      <c r="T61" s="1"/>
      <c r="U61" s="1"/>
      <c r="V61" s="5"/>
      <c r="W61" s="1"/>
      <c r="X61" s="1"/>
      <c r="Y61" s="1"/>
      <c r="Z61" s="5"/>
    </row>
    <row r="62" spans="1:26" s="23" customFormat="1" x14ac:dyDescent="0.25">
      <c r="A62" s="10"/>
      <c r="B62" s="25" t="s">
        <v>0</v>
      </c>
      <c r="C62" s="10"/>
      <c r="D62" s="4">
        <f>SUM(0)</f>
        <v>0</v>
      </c>
      <c r="E62" s="4"/>
      <c r="F62" s="12">
        <f>IF(D$12=0,0,D62/D$12)</f>
        <v>0</v>
      </c>
      <c r="G62" s="4"/>
      <c r="H62" s="4">
        <f>SUM(0)</f>
        <v>0</v>
      </c>
      <c r="I62" s="4"/>
      <c r="J62" s="12">
        <f>IF(H$12=0,0,H62/H$12)</f>
        <v>0</v>
      </c>
      <c r="K62" s="4"/>
      <c r="L62" s="4">
        <f>+D62-H62</f>
        <v>0</v>
      </c>
      <c r="M62" s="4"/>
      <c r="N62" s="12">
        <f>IF(H62=0,0,L62/H62)</f>
        <v>0</v>
      </c>
      <c r="O62" s="10"/>
      <c r="P62" s="4">
        <f>SUM(0)</f>
        <v>0</v>
      </c>
      <c r="Q62" s="4"/>
      <c r="R62" s="12">
        <f>IF(P$12=0,0,P62/P$12)</f>
        <v>0</v>
      </c>
      <c r="S62" s="4"/>
      <c r="T62" s="4">
        <f>SUM(0)</f>
        <v>0</v>
      </c>
      <c r="U62" s="4"/>
      <c r="V62" s="12">
        <f>IF(T$12=0,0,T62/T$12)</f>
        <v>0</v>
      </c>
      <c r="W62" s="4"/>
      <c r="X62" s="4">
        <f>+P62-T62</f>
        <v>0</v>
      </c>
      <c r="Y62" s="4"/>
      <c r="Z62" s="12">
        <f>IF(T62=0,0,X62/T62)</f>
        <v>0</v>
      </c>
    </row>
    <row r="63" spans="1:26" x14ac:dyDescent="0.25">
      <c r="A63" s="9"/>
      <c r="B63" s="10"/>
      <c r="C63" s="10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O63" s="10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25">
      <c r="A64" s="10"/>
      <c r="B64" s="26" t="s">
        <v>3</v>
      </c>
      <c r="C64" s="26"/>
      <c r="D64" s="22">
        <f>+D20-D22+D62</f>
        <v>-7576.49</v>
      </c>
      <c r="E64" s="13"/>
      <c r="F64" s="21">
        <f>IF(D$12=0,0,D64/D$12)</f>
        <v>-10.611330532212884</v>
      </c>
      <c r="G64" s="13"/>
      <c r="H64" s="22">
        <f>+H20-H22+H62</f>
        <v>383.57999999999993</v>
      </c>
      <c r="I64" s="13"/>
      <c r="J64" s="21">
        <f>IF(H$12=0,0,H64/H$12)</f>
        <v>2.2412731282114802E-2</v>
      </c>
      <c r="K64" s="16"/>
      <c r="L64" s="22">
        <f>+D64-H64</f>
        <v>-7960.07</v>
      </c>
      <c r="M64" s="16"/>
      <c r="N64" s="21">
        <f>IF(H64=0,0,L64/H64)</f>
        <v>-20.752046509202778</v>
      </c>
      <c r="O64" s="25"/>
      <c r="P64" s="22">
        <f>+P20-P22+P62</f>
        <v>-13147.54</v>
      </c>
      <c r="Q64" s="13"/>
      <c r="R64" s="21">
        <f>IF(P$12=0,0,P64/P$12)</f>
        <v>-18.413921568627451</v>
      </c>
      <c r="S64" s="13"/>
      <c r="T64" s="22">
        <f>+T20-T22+T62</f>
        <v>-6552.7999999999956</v>
      </c>
      <c r="U64" s="13"/>
      <c r="V64" s="21">
        <f>IF(T$12=0,0,T64/T$12)</f>
        <v>-0.2910269215891006</v>
      </c>
      <c r="W64" s="16"/>
      <c r="X64" s="22">
        <f>+P64-T64</f>
        <v>-6594.7400000000052</v>
      </c>
      <c r="Y64" s="16"/>
      <c r="Z64" s="21">
        <f>IF(T64=0,0,X64/T64)</f>
        <v>1.0064003174215617</v>
      </c>
    </row>
    <row r="65" spans="1:26" x14ac:dyDescent="0.25">
      <c r="A65" s="9"/>
      <c r="B65" s="10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25">
      <c r="A66" s="51"/>
      <c r="B66" s="10" t="s">
        <v>13</v>
      </c>
      <c r="C66" s="10"/>
      <c r="D66" s="4">
        <v>120.55</v>
      </c>
      <c r="E66" s="4"/>
      <c r="F66" s="12">
        <f>IF(D$12=0,0,D66/D$12)</f>
        <v>0.16883753501400559</v>
      </c>
      <c r="G66" s="4"/>
      <c r="H66" s="4">
        <v>1684.17</v>
      </c>
      <c r="I66" s="4"/>
      <c r="J66" s="12">
        <f>IF(H$12=0,0,H66/H$12)</f>
        <v>9.8406719962978506E-2</v>
      </c>
      <c r="K66" s="4"/>
      <c r="L66" s="4">
        <f>+D66-H66</f>
        <v>-1563.6200000000001</v>
      </c>
      <c r="M66" s="4"/>
      <c r="N66" s="12">
        <f>IF(H66=0,0,L66/H66)</f>
        <v>-0.92842171514752081</v>
      </c>
      <c r="O66" s="10"/>
      <c r="P66" s="4">
        <v>120.55</v>
      </c>
      <c r="Q66" s="4"/>
      <c r="R66" s="12">
        <f>IF(P$12=0,0,P66/P$12)</f>
        <v>0.16883753501400559</v>
      </c>
      <c r="S66" s="4"/>
      <c r="T66" s="4">
        <v>2807.35</v>
      </c>
      <c r="U66" s="4"/>
      <c r="V66" s="12">
        <f>IF(T$12=0,0,T66/T$12)</f>
        <v>0.12468172816554177</v>
      </c>
      <c r="W66" s="4"/>
      <c r="X66" s="4">
        <f>+P66-T66</f>
        <v>-2686.7999999999997</v>
      </c>
      <c r="Y66" s="4"/>
      <c r="Z66" s="12">
        <f>IF(T66=0,0,X66/T66)</f>
        <v>-0.95705914830712235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ht="15.75" thickBot="1" x14ac:dyDescent="0.3">
      <c r="A68" s="10"/>
      <c r="B68" s="26" t="s">
        <v>4</v>
      </c>
      <c r="C68" s="26"/>
      <c r="D68" s="36">
        <f>+D64-D66</f>
        <v>-7697.04</v>
      </c>
      <c r="E68" s="13"/>
      <c r="F68" s="34">
        <f>IF(D$12=0,0,D68/D$12)</f>
        <v>-10.78016806722689</v>
      </c>
      <c r="G68" s="13"/>
      <c r="H68" s="36">
        <f>+H64-H66</f>
        <v>-1300.5900000000001</v>
      </c>
      <c r="I68" s="13"/>
      <c r="J68" s="34">
        <f>IF(H$12=0,0,H68/H$12)</f>
        <v>-7.5993988680863697E-2</v>
      </c>
      <c r="K68" s="16"/>
      <c r="L68" s="36">
        <f>D68-H68</f>
        <v>-6396.45</v>
      </c>
      <c r="M68" s="16"/>
      <c r="N68" s="34">
        <f>IF(H68=0,0,L68/H68)</f>
        <v>4.918114086683735</v>
      </c>
      <c r="O68" s="25"/>
      <c r="P68" s="36">
        <f>+P64-P66</f>
        <v>-13268.09</v>
      </c>
      <c r="Q68" s="13"/>
      <c r="R68" s="34">
        <f>IF(P$12=0,0,P68/P$12)</f>
        <v>-18.582759103641457</v>
      </c>
      <c r="S68" s="13"/>
      <c r="T68" s="36">
        <f>+T64-T66</f>
        <v>-9360.149999999996</v>
      </c>
      <c r="U68" s="13"/>
      <c r="V68" s="34">
        <f>IF(T$12=0,0,T68/T$12)</f>
        <v>-0.41570864975464239</v>
      </c>
      <c r="W68" s="16"/>
      <c r="X68" s="36">
        <f>P68-T68</f>
        <v>-3907.9400000000041</v>
      </c>
      <c r="Y68" s="16"/>
      <c r="Z68" s="34">
        <f>IF(T68=0,0,X68/T68)</f>
        <v>0.41750826642735489</v>
      </c>
    </row>
    <row r="69" spans="1:26" ht="15.75" thickTop="1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x14ac:dyDescent="0.25">
      <c r="A70" s="9"/>
      <c r="B70" s="9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.75" thickBot="1" x14ac:dyDescent="0.3">
      <c r="A71" s="10"/>
      <c r="B71" s="26" t="s">
        <v>5</v>
      </c>
      <c r="C71" s="26"/>
      <c r="D71" s="30">
        <f>SUM(D68:D70)</f>
        <v>-7697.04</v>
      </c>
      <c r="E71" s="13"/>
      <c r="F71" s="31">
        <f>IF(D$12=0,0,D71/D$12)</f>
        <v>-10.78016806722689</v>
      </c>
      <c r="G71" s="13"/>
      <c r="H71" s="30">
        <f>SUM(H68:H70)</f>
        <v>-1300.5900000000001</v>
      </c>
      <c r="I71" s="13"/>
      <c r="J71" s="31">
        <f>IF(H$12=0,0,H71/H$12)</f>
        <v>-7.5993988680863697E-2</v>
      </c>
      <c r="K71" s="16"/>
      <c r="L71" s="30">
        <f>+D71-H71</f>
        <v>-6396.45</v>
      </c>
      <c r="M71" s="16"/>
      <c r="N71" s="31">
        <f>IF(H71=0,0,L71/H71)</f>
        <v>4.918114086683735</v>
      </c>
      <c r="O71" s="25"/>
      <c r="P71" s="30">
        <f>SUM(P68:P70)</f>
        <v>-13268.09</v>
      </c>
      <c r="Q71" s="13"/>
      <c r="R71" s="31">
        <f>IF(P$12=0,0,P71/P$12)</f>
        <v>-18.582759103641457</v>
      </c>
      <c r="S71" s="13"/>
      <c r="T71" s="30">
        <f>SUM(T68:T70)</f>
        <v>-9360.149999999996</v>
      </c>
      <c r="U71" s="13"/>
      <c r="V71" s="31">
        <f>IF(T$12=0,0,T71/T$12)</f>
        <v>-0.41570864975464239</v>
      </c>
      <c r="W71" s="16"/>
      <c r="X71" s="30">
        <f>+P71-T71</f>
        <v>-3907.9400000000041</v>
      </c>
      <c r="Y71" s="16"/>
      <c r="Z71" s="31">
        <f>IF(T71=0,0,X71/T71)</f>
        <v>0.41750826642735489</v>
      </c>
    </row>
    <row r="72" spans="1:26" ht="15.75" thickTop="1" x14ac:dyDescent="0.25">
      <c r="A72" s="9"/>
      <c r="C72" s="9"/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61">
        <v>44113.696377581022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6" t="s">
        <v>313</v>
      </c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A75" s="9"/>
      <c r="B75" s="58"/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  <row r="76" spans="1:26" x14ac:dyDescent="0.25"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","322", " - ", "Beach Hut")</f>
        <v>Department 322 - Beach Hut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33054.78</v>
      </c>
      <c r="I12" s="4"/>
      <c r="J12" s="12"/>
      <c r="K12" s="4"/>
      <c r="L12" s="4">
        <f t="shared" ref="L12:L14" si="0">+D12-H12</f>
        <v>-33054.78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47415.990000000005</v>
      </c>
      <c r="U12" s="4"/>
      <c r="V12" s="12"/>
      <c r="W12" s="4"/>
      <c r="X12" s="4">
        <f t="shared" ref="X12:X14" si="2">+P12-T12</f>
        <v>-47415.990000000005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--4645.94</f>
        <v>4645.9399999999996</v>
      </c>
      <c r="I13" s="2"/>
      <c r="J13" s="19"/>
      <c r="K13" s="2"/>
      <c r="L13" s="2">
        <f t="shared" si="0"/>
        <v>-4645.9399999999996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--7479.58</f>
        <v>7479.58</v>
      </c>
      <c r="U13" s="2"/>
      <c r="V13" s="19"/>
      <c r="W13" s="2"/>
      <c r="X13" s="2">
        <f t="shared" si="2"/>
        <v>-7479.58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--28408.84</f>
        <v>28408.84</v>
      </c>
      <c r="I14" s="2"/>
      <c r="J14" s="19"/>
      <c r="K14" s="2"/>
      <c r="L14" s="2">
        <f t="shared" si="0"/>
        <v>-28408.84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--39936.41</f>
        <v>39936.410000000003</v>
      </c>
      <c r="U14" s="2"/>
      <c r="V14" s="19"/>
      <c r="W14" s="2"/>
      <c r="X14" s="2">
        <f t="shared" si="2"/>
        <v>-39936.410000000003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-995.46</v>
      </c>
      <c r="E16" s="4"/>
      <c r="F16" s="12">
        <f t="shared" ref="F16:F18" si="6">IF(D$12=0,0,D16/D$12)</f>
        <v>0</v>
      </c>
      <c r="G16" s="4"/>
      <c r="H16" s="4">
        <f>SUM(OSRRefH16x_0)</f>
        <v>19108.699999999997</v>
      </c>
      <c r="I16" s="4"/>
      <c r="J16" s="12">
        <f t="shared" ref="J16:J18" si="7">IF(H$12=0,0,H16/H$12)</f>
        <v>0.57809188262635536</v>
      </c>
      <c r="K16" s="4"/>
      <c r="L16" s="4">
        <f t="shared" ref="L16:L18" si="8">+D16-H16</f>
        <v>-20104.159999999996</v>
      </c>
      <c r="M16" s="4"/>
      <c r="N16" s="12">
        <f t="shared" ref="N16:N18" si="9">IF(H16=0,0,L16/H16)</f>
        <v>-1.052094595655382</v>
      </c>
      <c r="O16" s="10"/>
      <c r="P16" s="4">
        <f>SUM(OSRRefP16x_0)</f>
        <v>-1222.33</v>
      </c>
      <c r="Q16" s="4"/>
      <c r="R16" s="12">
        <f t="shared" ref="R16:R18" si="10">IF(P$12=0,0,P16/P$12)</f>
        <v>0</v>
      </c>
      <c r="S16" s="4"/>
      <c r="T16" s="4">
        <f>SUM(OSRRefT16x_0)</f>
        <v>25900.330000000005</v>
      </c>
      <c r="U16" s="4"/>
      <c r="V16" s="12">
        <f t="shared" ref="V16:V18" si="11">IF(T$12=0,0,T16/T$12)</f>
        <v>0.54623619584870009</v>
      </c>
      <c r="W16" s="4"/>
      <c r="X16" s="4">
        <f t="shared" ref="X16:X18" si="12">+P16-T16</f>
        <v>-27122.660000000003</v>
      </c>
      <c r="Y16" s="4"/>
      <c r="Z16" s="12">
        <f t="shared" ref="Z16:Z18" si="13">IF(T16=0,0,X16/T16)</f>
        <v>-1.0471936071856998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-995.46</v>
      </c>
      <c r="E17" s="2"/>
      <c r="F17" s="19">
        <f t="shared" si="6"/>
        <v>0</v>
      </c>
      <c r="G17" s="2"/>
      <c r="H17" s="2">
        <v>29344.28</v>
      </c>
      <c r="I17" s="2"/>
      <c r="J17" s="19">
        <f t="shared" si="7"/>
        <v>0.88774694613003025</v>
      </c>
      <c r="K17" s="2"/>
      <c r="L17" s="2">
        <f t="shared" si="8"/>
        <v>-30339.739999999998</v>
      </c>
      <c r="M17" s="2"/>
      <c r="N17" s="19">
        <f t="shared" si="9"/>
        <v>-1.0339234767389078</v>
      </c>
      <c r="O17" s="11"/>
      <c r="P17" s="2">
        <v>-1222.33</v>
      </c>
      <c r="Q17" s="2"/>
      <c r="R17" s="19">
        <f t="shared" si="10"/>
        <v>0</v>
      </c>
      <c r="S17" s="2"/>
      <c r="T17" s="2">
        <v>41620.700000000004</v>
      </c>
      <c r="U17" s="2"/>
      <c r="V17" s="19">
        <f t="shared" si="11"/>
        <v>0.87777772856793668</v>
      </c>
      <c r="W17" s="2"/>
      <c r="X17" s="2">
        <f t="shared" si="12"/>
        <v>-42843.030000000006</v>
      </c>
      <c r="Y17" s="2"/>
      <c r="Z17" s="19">
        <f t="shared" si="13"/>
        <v>-1.0293683191296639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-10235.58</v>
      </c>
      <c r="I18" s="2"/>
      <c r="J18" s="19">
        <f t="shared" si="7"/>
        <v>-0.30965506350367483</v>
      </c>
      <c r="K18" s="2"/>
      <c r="L18" s="2">
        <f t="shared" si="8"/>
        <v>10235.58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-15720.369999999999</v>
      </c>
      <c r="U18" s="2"/>
      <c r="V18" s="19">
        <f t="shared" si="11"/>
        <v>-0.33154153271923664</v>
      </c>
      <c r="W18" s="2"/>
      <c r="X18" s="2">
        <f t="shared" si="12"/>
        <v>15720.369999999999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995.46</v>
      </c>
      <c r="E20" s="13"/>
      <c r="F20" s="21">
        <f>IF(D$12=0,0,D20/D$12)</f>
        <v>0</v>
      </c>
      <c r="G20" s="13"/>
      <c r="H20" s="22">
        <f>H12-H16</f>
        <v>13946.080000000002</v>
      </c>
      <c r="I20" s="13"/>
      <c r="J20" s="21">
        <f>IF(H$12=0,0,H20/H$12)</f>
        <v>0.42190811737364464</v>
      </c>
      <c r="K20" s="16"/>
      <c r="L20" s="22">
        <f>+D20-H20</f>
        <v>-12950.620000000003</v>
      </c>
      <c r="M20" s="16"/>
      <c r="N20" s="21">
        <f>IF(H20=0,0,L20/H20)</f>
        <v>-0.92862080240469014</v>
      </c>
      <c r="O20" s="25"/>
      <c r="P20" s="22">
        <f>P12-P16</f>
        <v>1222.33</v>
      </c>
      <c r="Q20" s="13"/>
      <c r="R20" s="21">
        <f>IF(P$12=0,0,P20/P$12)</f>
        <v>0</v>
      </c>
      <c r="S20" s="13"/>
      <c r="T20" s="22">
        <f>T12-T16</f>
        <v>21515.66</v>
      </c>
      <c r="U20" s="13"/>
      <c r="V20" s="21">
        <f>IF(T$12=0,0,T20/T$12)</f>
        <v>0.45376380415129997</v>
      </c>
      <c r="W20" s="16"/>
      <c r="X20" s="22">
        <f>+P20-T20</f>
        <v>-20293.330000000002</v>
      </c>
      <c r="Y20" s="16"/>
      <c r="Z20" s="21">
        <f>IF(T20=0,0,X20/T20)</f>
        <v>-0.94318882153742911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1605.98</v>
      </c>
      <c r="E22" s="20"/>
      <c r="F22" s="35">
        <f t="shared" ref="F22:F31" si="14">IF(D$12=0,0,D22/D$12)</f>
        <v>0</v>
      </c>
      <c r="G22" s="20"/>
      <c r="H22" s="20">
        <f>SUM(OSRRefH22x_0)</f>
        <v>25051.93</v>
      </c>
      <c r="I22" s="20"/>
      <c r="J22" s="35">
        <f t="shared" ref="J22:J31" si="15">IF(H$12=0,0,H22/H$12)</f>
        <v>0.75789129439070535</v>
      </c>
      <c r="K22" s="4"/>
      <c r="L22" s="20">
        <f t="shared" ref="L22:L31" si="16">+D22-H22</f>
        <v>-23445.95</v>
      </c>
      <c r="M22" s="4"/>
      <c r="N22" s="35">
        <f t="shared" ref="N22:N31" si="17">IF(H22=0,0,L22/H22)</f>
        <v>-0.93589396106407774</v>
      </c>
      <c r="O22" s="10"/>
      <c r="P22" s="20">
        <f>SUM(OSRRefP22x_0)</f>
        <v>6849.05</v>
      </c>
      <c r="Q22" s="20"/>
      <c r="R22" s="35">
        <f t="shared" ref="R22:R31" si="18">IF(P$12=0,0,P22/P$12)</f>
        <v>0</v>
      </c>
      <c r="S22" s="20"/>
      <c r="T22" s="20">
        <f>SUM(OSRRefT22x_0)</f>
        <v>45324.36</v>
      </c>
      <c r="U22" s="20"/>
      <c r="V22" s="35">
        <f t="shared" ref="V22:V31" si="19">IF(T$12=0,0,T22/T$12)</f>
        <v>0.95588766574313844</v>
      </c>
      <c r="W22" s="4"/>
      <c r="X22" s="20">
        <f t="shared" ref="X22:X31" si="20">+P22-T22</f>
        <v>-38475.31</v>
      </c>
      <c r="Y22" s="4"/>
      <c r="Z22" s="35">
        <f t="shared" ref="Z22:Z31" si="21">IF(T22=0,0,X22/T22)</f>
        <v>-0.84888810343929832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2514.02</v>
      </c>
      <c r="I23" s="1"/>
      <c r="J23" s="5">
        <f t="shared" si="15"/>
        <v>7.6056170998566625E-2</v>
      </c>
      <c r="K23" s="1"/>
      <c r="L23" s="1">
        <f t="shared" si="16"/>
        <v>-2514.02</v>
      </c>
      <c r="M23" s="1"/>
      <c r="N23" s="5">
        <f t="shared" si="17"/>
        <v>-1</v>
      </c>
      <c r="O23" s="14"/>
      <c r="P23" s="1">
        <f>SUM(OSRRefP22_0x_0)</f>
        <v>1595.9699999999998</v>
      </c>
      <c r="Q23" s="1"/>
      <c r="R23" s="5">
        <f t="shared" si="18"/>
        <v>0</v>
      </c>
      <c r="S23" s="1"/>
      <c r="T23" s="1">
        <f>SUM(OSRRefT22_0x_0)</f>
        <v>4846.1799999999994</v>
      </c>
      <c r="U23" s="1"/>
      <c r="V23" s="5">
        <f t="shared" si="19"/>
        <v>0.10220560616787711</v>
      </c>
      <c r="W23" s="1"/>
      <c r="X23" s="1">
        <f t="shared" si="20"/>
        <v>-3250.2099999999996</v>
      </c>
      <c r="Y23" s="1"/>
      <c r="Z23" s="5">
        <f t="shared" si="21"/>
        <v>-0.67067463445435371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802</v>
      </c>
      <c r="I24" s="2"/>
      <c r="J24" s="6">
        <f t="shared" si="15"/>
        <v>2.4262754131172556E-2</v>
      </c>
      <c r="K24" s="2"/>
      <c r="L24" s="7">
        <f t="shared" si="16"/>
        <v>-802</v>
      </c>
      <c r="M24" s="2"/>
      <c r="N24" s="6">
        <f t="shared" si="17"/>
        <v>-1</v>
      </c>
      <c r="O24" s="11"/>
      <c r="P24" s="7">
        <v>159.12</v>
      </c>
      <c r="Q24" s="2"/>
      <c r="R24" s="6">
        <f t="shared" si="18"/>
        <v>0</v>
      </c>
      <c r="S24" s="2"/>
      <c r="T24" s="7">
        <v>1521.78</v>
      </c>
      <c r="U24" s="2"/>
      <c r="V24" s="6">
        <f t="shared" si="19"/>
        <v>3.2094236564500708E-2</v>
      </c>
      <c r="W24" s="2"/>
      <c r="X24" s="7">
        <f t="shared" si="20"/>
        <v>-1362.6599999999999</v>
      </c>
      <c r="Y24" s="2"/>
      <c r="Z24" s="6">
        <f t="shared" si="21"/>
        <v>-0.89543823680164014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227.01</v>
      </c>
      <c r="I25" s="2"/>
      <c r="J25" s="6">
        <f t="shared" si="15"/>
        <v>6.8676905427898782E-3</v>
      </c>
      <c r="K25" s="2"/>
      <c r="L25" s="7">
        <f t="shared" si="16"/>
        <v>-227.01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390.34</v>
      </c>
      <c r="U25" s="2"/>
      <c r="V25" s="6">
        <f t="shared" si="19"/>
        <v>8.2322440172608417E-3</v>
      </c>
      <c r="W25" s="2"/>
      <c r="X25" s="7">
        <f t="shared" si="20"/>
        <v>-390.34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641.14</v>
      </c>
      <c r="I26" s="2"/>
      <c r="J26" s="6">
        <f t="shared" si="15"/>
        <v>1.9396287012044853E-2</v>
      </c>
      <c r="K26" s="2"/>
      <c r="L26" s="7">
        <f t="shared" si="16"/>
        <v>-641.14</v>
      </c>
      <c r="M26" s="2"/>
      <c r="N26" s="6">
        <f t="shared" si="17"/>
        <v>-1</v>
      </c>
      <c r="O26" s="11"/>
      <c r="P26" s="7">
        <v>683.68</v>
      </c>
      <c r="Q26" s="2"/>
      <c r="R26" s="6">
        <f t="shared" si="18"/>
        <v>0</v>
      </c>
      <c r="S26" s="2"/>
      <c r="T26" s="7">
        <v>1282.28</v>
      </c>
      <c r="U26" s="2"/>
      <c r="V26" s="6">
        <f t="shared" si="19"/>
        <v>2.704319787480974E-2</v>
      </c>
      <c r="W26" s="2"/>
      <c r="X26" s="7">
        <f t="shared" si="20"/>
        <v>-598.6</v>
      </c>
      <c r="Y26" s="2"/>
      <c r="Z26" s="6">
        <f t="shared" si="21"/>
        <v>-0.46682471847022494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27.25</v>
      </c>
      <c r="I27" s="2"/>
      <c r="J27" s="6">
        <f t="shared" si="15"/>
        <v>8.2438908986839422E-4</v>
      </c>
      <c r="K27" s="2"/>
      <c r="L27" s="7">
        <f t="shared" si="16"/>
        <v>-27.25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49.6</v>
      </c>
      <c r="U27" s="2"/>
      <c r="V27" s="6">
        <f t="shared" si="19"/>
        <v>1.0460606221656449E-3</v>
      </c>
      <c r="W27" s="2"/>
      <c r="X27" s="7">
        <f t="shared" si="20"/>
        <v>-49.6</v>
      </c>
      <c r="Y27" s="2"/>
      <c r="Z27" s="6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268.22000000000003</v>
      </c>
      <c r="I28" s="2"/>
      <c r="J28" s="6">
        <f t="shared" si="15"/>
        <v>8.1144088691559903E-3</v>
      </c>
      <c r="K28" s="2"/>
      <c r="L28" s="7">
        <f t="shared" si="16"/>
        <v>-268.22000000000003</v>
      </c>
      <c r="M28" s="2"/>
      <c r="N28" s="6">
        <f t="shared" si="17"/>
        <v>-1</v>
      </c>
      <c r="O28" s="11"/>
      <c r="P28" s="7">
        <v>321.57</v>
      </c>
      <c r="Q28" s="2"/>
      <c r="R28" s="6">
        <f t="shared" si="18"/>
        <v>0</v>
      </c>
      <c r="S28" s="2"/>
      <c r="T28" s="7">
        <v>536.44000000000005</v>
      </c>
      <c r="U28" s="2"/>
      <c r="V28" s="6">
        <f t="shared" si="19"/>
        <v>1.1313483067631826E-2</v>
      </c>
      <c r="W28" s="2"/>
      <c r="X28" s="7">
        <f t="shared" si="20"/>
        <v>-214.87000000000006</v>
      </c>
      <c r="Y28" s="2"/>
      <c r="Z28" s="6">
        <f t="shared" si="21"/>
        <v>-0.40054805756468576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221.28</v>
      </c>
      <c r="I29" s="2"/>
      <c r="J29" s="6">
        <f t="shared" si="15"/>
        <v>6.6943419378377349E-3</v>
      </c>
      <c r="K29" s="2"/>
      <c r="L29" s="7">
        <f t="shared" si="16"/>
        <v>-221.28</v>
      </c>
      <c r="M29" s="2"/>
      <c r="N29" s="6">
        <f t="shared" si="17"/>
        <v>-1</v>
      </c>
      <c r="O29" s="11"/>
      <c r="P29" s="7">
        <v>239.72</v>
      </c>
      <c r="Q29" s="2"/>
      <c r="R29" s="6">
        <f t="shared" si="18"/>
        <v>0</v>
      </c>
      <c r="S29" s="2"/>
      <c r="T29" s="7">
        <v>442.56</v>
      </c>
      <c r="U29" s="2"/>
      <c r="V29" s="6">
        <f t="shared" si="19"/>
        <v>9.3335602610005609E-3</v>
      </c>
      <c r="W29" s="2"/>
      <c r="X29" s="7">
        <f t="shared" si="20"/>
        <v>-202.84</v>
      </c>
      <c r="Y29" s="2"/>
      <c r="Z29" s="6">
        <f t="shared" si="21"/>
        <v>-0.45833333333333331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177.12</v>
      </c>
      <c r="I30" s="2"/>
      <c r="J30" s="6">
        <f t="shared" si="15"/>
        <v>5.358377820091376E-3</v>
      </c>
      <c r="K30" s="2"/>
      <c r="L30" s="7">
        <f t="shared" si="16"/>
        <v>-177.12</v>
      </c>
      <c r="M30" s="2"/>
      <c r="N30" s="6">
        <f t="shared" si="17"/>
        <v>-1</v>
      </c>
      <c r="O30" s="11"/>
      <c r="P30" s="7">
        <v>191.88</v>
      </c>
      <c r="Q30" s="2"/>
      <c r="R30" s="6">
        <f t="shared" si="18"/>
        <v>0</v>
      </c>
      <c r="S30" s="2"/>
      <c r="T30" s="7">
        <v>354.24</v>
      </c>
      <c r="U30" s="2"/>
      <c r="V30" s="6">
        <f t="shared" si="19"/>
        <v>7.4708974757249601E-3</v>
      </c>
      <c r="W30" s="2"/>
      <c r="X30" s="7">
        <f t="shared" si="20"/>
        <v>-162.36000000000001</v>
      </c>
      <c r="Y30" s="2"/>
      <c r="Z30" s="6">
        <f t="shared" si="21"/>
        <v>-0.45833333333333337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150</v>
      </c>
      <c r="I31" s="2"/>
      <c r="J31" s="6">
        <f t="shared" si="15"/>
        <v>4.5379215956058401E-3</v>
      </c>
      <c r="K31" s="2"/>
      <c r="L31" s="7">
        <f t="shared" si="16"/>
        <v>-150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268.94</v>
      </c>
      <c r="U31" s="2"/>
      <c r="V31" s="6">
        <f t="shared" si="19"/>
        <v>5.6719262847828335E-3</v>
      </c>
      <c r="W31" s="2"/>
      <c r="X31" s="7">
        <f t="shared" si="20"/>
        <v>-268.94</v>
      </c>
      <c r="Y31" s="2"/>
      <c r="Z31" s="6">
        <f t="shared" si="21"/>
        <v>-1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5" si="22">IF(D$12=0,0,D32/D$12)</f>
        <v>0</v>
      </c>
      <c r="G32" s="1"/>
      <c r="H32" s="1">
        <f>SUM(OSRRefH22_1x_0)</f>
        <v>12289.45</v>
      </c>
      <c r="I32" s="1"/>
      <c r="J32" s="5">
        <f t="shared" ref="J32:J35" si="23">IF(H$12=0,0,H32/H$12)</f>
        <v>0.37179040368745464</v>
      </c>
      <c r="K32" s="1"/>
      <c r="L32" s="1">
        <f t="shared" ref="L32:L35" si="24">+D32-H32</f>
        <v>-12289.45</v>
      </c>
      <c r="M32" s="1"/>
      <c r="N32" s="5">
        <f t="shared" ref="N32:N35" si="25">IF(H32=0,0,L32/H32)</f>
        <v>-1</v>
      </c>
      <c r="O32" s="14"/>
      <c r="P32" s="1">
        <f>SUM(OSRRefP22_1x_0)</f>
        <v>2080</v>
      </c>
      <c r="Q32" s="1"/>
      <c r="R32" s="5">
        <f t="shared" ref="R32:R35" si="26">IF(P$12=0,0,P32/P$12)</f>
        <v>0</v>
      </c>
      <c r="S32" s="1"/>
      <c r="T32" s="1">
        <f>SUM(OSRRefT22_1x_0)</f>
        <v>23776.95</v>
      </c>
      <c r="U32" s="1"/>
      <c r="V32" s="5">
        <f t="shared" ref="V32:V35" si="27">IF(T$12=0,0,T32/T$12)</f>
        <v>0.50145425625406104</v>
      </c>
      <c r="W32" s="1"/>
      <c r="X32" s="1">
        <f t="shared" ref="X32:X35" si="28">+P32-T32</f>
        <v>-21696.95</v>
      </c>
      <c r="Y32" s="1"/>
      <c r="Z32" s="5">
        <f t="shared" ref="Z32:Z35" si="29">IF(T32=0,0,X32/T32)</f>
        <v>-0.91252031904849029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3072</v>
      </c>
      <c r="I33" s="2"/>
      <c r="J33" s="6">
        <f t="shared" si="23"/>
        <v>9.2936634278007607E-2</v>
      </c>
      <c r="K33" s="2"/>
      <c r="L33" s="7">
        <f t="shared" si="24"/>
        <v>-3072</v>
      </c>
      <c r="M33" s="2"/>
      <c r="N33" s="6">
        <f t="shared" si="25"/>
        <v>-1</v>
      </c>
      <c r="O33" s="11"/>
      <c r="P33" s="7">
        <v>2080</v>
      </c>
      <c r="Q33" s="2"/>
      <c r="R33" s="6">
        <f t="shared" si="26"/>
        <v>0</v>
      </c>
      <c r="S33" s="2"/>
      <c r="T33" s="7">
        <v>7296</v>
      </c>
      <c r="U33" s="2"/>
      <c r="V33" s="6">
        <f t="shared" si="27"/>
        <v>0.15387214313146261</v>
      </c>
      <c r="W33" s="2"/>
      <c r="X33" s="7">
        <f t="shared" si="28"/>
        <v>-5216</v>
      </c>
      <c r="Y33" s="2"/>
      <c r="Z33" s="6">
        <f t="shared" si="29"/>
        <v>-0.71491228070175439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1298.5</v>
      </c>
      <c r="I34" s="2"/>
      <c r="J34" s="6">
        <f t="shared" si="23"/>
        <v>3.9283274612627886E-2</v>
      </c>
      <c r="K34" s="2"/>
      <c r="L34" s="7">
        <f t="shared" si="24"/>
        <v>-1298.5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2110.5</v>
      </c>
      <c r="U34" s="2"/>
      <c r="V34" s="6">
        <f t="shared" si="27"/>
        <v>4.4510301271786158E-2</v>
      </c>
      <c r="W34" s="2"/>
      <c r="X34" s="7">
        <f t="shared" si="28"/>
        <v>-2110.5</v>
      </c>
      <c r="Y34" s="2"/>
      <c r="Z34" s="6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2"/>
        <v>0</v>
      </c>
      <c r="G35" s="2"/>
      <c r="H35" s="7">
        <v>7918.95</v>
      </c>
      <c r="I35" s="2"/>
      <c r="J35" s="6">
        <f t="shared" si="23"/>
        <v>0.23957049479681911</v>
      </c>
      <c r="K35" s="2"/>
      <c r="L35" s="7">
        <f t="shared" si="24"/>
        <v>-7918.95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14370.45</v>
      </c>
      <c r="U35" s="2"/>
      <c r="V35" s="6">
        <f t="shared" si="27"/>
        <v>0.30307181185081233</v>
      </c>
      <c r="W35" s="2"/>
      <c r="X35" s="7">
        <f t="shared" si="28"/>
        <v>-14370.45</v>
      </c>
      <c r="Y35" s="2"/>
      <c r="Z35" s="6">
        <f t="shared" si="29"/>
        <v>-1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50" si="30">IF(D$12=0,0,D36/D$12)</f>
        <v>0</v>
      </c>
      <c r="G36" s="1"/>
      <c r="H36" s="1">
        <f>SUM(OSRRefH22_2x_0)</f>
        <v>60</v>
      </c>
      <c r="I36" s="1"/>
      <c r="J36" s="5">
        <f t="shared" ref="J36:J50" si="31">IF(H$12=0,0,H36/H$12)</f>
        <v>1.815168638242336E-3</v>
      </c>
      <c r="K36" s="1"/>
      <c r="L36" s="1">
        <f t="shared" ref="L36:L50" si="32">+D36-H36</f>
        <v>-60</v>
      </c>
      <c r="M36" s="1"/>
      <c r="N36" s="5">
        <f t="shared" ref="N36:N50" si="33">IF(H36=0,0,L36/H36)</f>
        <v>-1</v>
      </c>
      <c r="O36" s="14"/>
      <c r="P36" s="1">
        <f>SUM(OSRRefP22_2x_0)</f>
        <v>0</v>
      </c>
      <c r="Q36" s="1"/>
      <c r="R36" s="5">
        <f t="shared" ref="R36:R50" si="34">IF(P$12=0,0,P36/P$12)</f>
        <v>0</v>
      </c>
      <c r="S36" s="1"/>
      <c r="T36" s="1">
        <f>SUM(OSRRefT22_2x_0)</f>
        <v>60</v>
      </c>
      <c r="U36" s="1"/>
      <c r="V36" s="5">
        <f t="shared" ref="V36:V50" si="35">IF(T$12=0,0,T36/T$12)</f>
        <v>1.2653959139100543E-3</v>
      </c>
      <c r="W36" s="1"/>
      <c r="X36" s="1">
        <f t="shared" ref="X36:X50" si="36">+P36-T36</f>
        <v>-60</v>
      </c>
      <c r="Y36" s="1"/>
      <c r="Z36" s="5">
        <f t="shared" ref="Z36:Z50" si="37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30"/>
        <v>0</v>
      </c>
      <c r="G37" s="2"/>
      <c r="H37" s="7">
        <v>60</v>
      </c>
      <c r="I37" s="2"/>
      <c r="J37" s="6">
        <f t="shared" si="31"/>
        <v>1.815168638242336E-3</v>
      </c>
      <c r="K37" s="2"/>
      <c r="L37" s="7">
        <f t="shared" si="32"/>
        <v>-60</v>
      </c>
      <c r="M37" s="2"/>
      <c r="N37" s="6">
        <f t="shared" si="33"/>
        <v>-1</v>
      </c>
      <c r="O37" s="11"/>
      <c r="P37" s="7"/>
      <c r="Q37" s="2"/>
      <c r="R37" s="6">
        <f t="shared" si="34"/>
        <v>0</v>
      </c>
      <c r="S37" s="2"/>
      <c r="T37" s="7">
        <v>60</v>
      </c>
      <c r="U37" s="2"/>
      <c r="V37" s="6">
        <f t="shared" si="35"/>
        <v>1.2653959139100543E-3</v>
      </c>
      <c r="W37" s="2"/>
      <c r="X37" s="7">
        <f t="shared" si="36"/>
        <v>-60</v>
      </c>
      <c r="Y37" s="2"/>
      <c r="Z37" s="6">
        <f t="shared" si="37"/>
        <v>-1</v>
      </c>
    </row>
    <row r="38" spans="1:26" s="28" customFormat="1" outlineLevel="1" collapsed="1" x14ac:dyDescent="0.25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0</v>
      </c>
      <c r="E38" s="1"/>
      <c r="F38" s="5">
        <f t="shared" si="30"/>
        <v>0</v>
      </c>
      <c r="G38" s="1"/>
      <c r="H38" s="1">
        <f>SUM(OSRRefH22_3x_0)</f>
        <v>3.5</v>
      </c>
      <c r="I38" s="1"/>
      <c r="J38" s="5">
        <f t="shared" si="31"/>
        <v>1.0588483723080293E-4</v>
      </c>
      <c r="K38" s="1"/>
      <c r="L38" s="1">
        <f t="shared" si="32"/>
        <v>-3.5</v>
      </c>
      <c r="M38" s="1"/>
      <c r="N38" s="5">
        <f t="shared" si="33"/>
        <v>-1</v>
      </c>
      <c r="O38" s="14"/>
      <c r="P38" s="1">
        <f>SUM(OSRRefP22_3x_0)</f>
        <v>0</v>
      </c>
      <c r="Q38" s="1"/>
      <c r="R38" s="5">
        <f t="shared" si="34"/>
        <v>0</v>
      </c>
      <c r="S38" s="1"/>
      <c r="T38" s="1">
        <f>SUM(OSRRefT22_3x_0)</f>
        <v>-7.84</v>
      </c>
      <c r="U38" s="1"/>
      <c r="V38" s="5">
        <f t="shared" si="35"/>
        <v>-1.6534506608424708E-4</v>
      </c>
      <c r="W38" s="1"/>
      <c r="X38" s="1">
        <f t="shared" si="36"/>
        <v>7.84</v>
      </c>
      <c r="Y38" s="1"/>
      <c r="Z38" s="5">
        <f t="shared" si="37"/>
        <v>-1</v>
      </c>
    </row>
    <row r="39" spans="1:26" s="24" customFormat="1" hidden="1" outlineLevel="2" x14ac:dyDescent="0.25">
      <c r="A39" s="29"/>
      <c r="B39" s="11" t="str">
        <f>CONCATENATE("          ", "6272", " - ", "CASH (OVER/SHORT)")</f>
        <v xml:space="preserve">          6272 - CASH (OVER/SHORT)</v>
      </c>
      <c r="C39" s="11"/>
      <c r="D39" s="7"/>
      <c r="E39" s="2"/>
      <c r="F39" s="6">
        <f t="shared" si="30"/>
        <v>0</v>
      </c>
      <c r="G39" s="2"/>
      <c r="H39" s="7">
        <v>3.5</v>
      </c>
      <c r="I39" s="2"/>
      <c r="J39" s="6">
        <f t="shared" si="31"/>
        <v>1.0588483723080293E-4</v>
      </c>
      <c r="K39" s="2"/>
      <c r="L39" s="7">
        <f t="shared" si="32"/>
        <v>-3.5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-7.84</v>
      </c>
      <c r="U39" s="2"/>
      <c r="V39" s="6">
        <f t="shared" si="35"/>
        <v>-1.6534506608424708E-4</v>
      </c>
      <c r="W39" s="2"/>
      <c r="X39" s="7">
        <f t="shared" si="36"/>
        <v>7.84</v>
      </c>
      <c r="Y39" s="2"/>
      <c r="Z39" s="6">
        <f t="shared" si="37"/>
        <v>-1</v>
      </c>
    </row>
    <row r="40" spans="1:26" s="28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0</v>
      </c>
      <c r="E40" s="1"/>
      <c r="F40" s="5">
        <f t="shared" si="30"/>
        <v>0</v>
      </c>
      <c r="G40" s="1"/>
      <c r="H40" s="1">
        <f>SUM(OSRRefH22_4x_0)</f>
        <v>1110.26</v>
      </c>
      <c r="I40" s="1"/>
      <c r="J40" s="5">
        <f t="shared" si="31"/>
        <v>3.3588485538248933E-2</v>
      </c>
      <c r="K40" s="1"/>
      <c r="L40" s="1">
        <f t="shared" si="32"/>
        <v>-1110.26</v>
      </c>
      <c r="M40" s="1"/>
      <c r="N40" s="5">
        <f t="shared" si="33"/>
        <v>-1</v>
      </c>
      <c r="O40" s="14"/>
      <c r="P40" s="1">
        <f>SUM(OSRRefP22_4x_0)</f>
        <v>0</v>
      </c>
      <c r="Q40" s="1"/>
      <c r="R40" s="5">
        <f t="shared" si="34"/>
        <v>0</v>
      </c>
      <c r="S40" s="1"/>
      <c r="T40" s="1">
        <f>SUM(OSRRefT22_4x_0)</f>
        <v>1469.52</v>
      </c>
      <c r="U40" s="1"/>
      <c r="V40" s="5">
        <f t="shared" si="35"/>
        <v>3.099207672348505E-2</v>
      </c>
      <c r="W40" s="1"/>
      <c r="X40" s="1">
        <f t="shared" si="36"/>
        <v>-1469.52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7"/>
      <c r="E41" s="2"/>
      <c r="F41" s="6">
        <f t="shared" si="30"/>
        <v>0</v>
      </c>
      <c r="G41" s="2"/>
      <c r="H41" s="7">
        <v>1110.26</v>
      </c>
      <c r="I41" s="2"/>
      <c r="J41" s="6">
        <f t="shared" si="31"/>
        <v>3.3588485538248933E-2</v>
      </c>
      <c r="K41" s="2"/>
      <c r="L41" s="7">
        <f t="shared" si="32"/>
        <v>-1110.26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1469.52</v>
      </c>
      <c r="U41" s="2"/>
      <c r="V41" s="6">
        <f t="shared" si="35"/>
        <v>3.099207672348505E-2</v>
      </c>
      <c r="W41" s="2"/>
      <c r="X41" s="7">
        <f t="shared" si="36"/>
        <v>-1469.52</v>
      </c>
      <c r="Y41" s="2"/>
      <c r="Z41" s="6">
        <f t="shared" si="37"/>
        <v>-1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2017.34</v>
      </c>
      <c r="E42" s="1"/>
      <c r="F42" s="5">
        <f t="shared" si="30"/>
        <v>0</v>
      </c>
      <c r="G42" s="1"/>
      <c r="H42" s="1">
        <f>SUM(OSRRefH22_5x_0)</f>
        <v>1857.58</v>
      </c>
      <c r="I42" s="1"/>
      <c r="J42" s="5">
        <f t="shared" si="31"/>
        <v>5.6197015983769971E-2</v>
      </c>
      <c r="K42" s="1"/>
      <c r="L42" s="1">
        <f t="shared" si="32"/>
        <v>159.76</v>
      </c>
      <c r="M42" s="1"/>
      <c r="N42" s="5">
        <f t="shared" si="33"/>
        <v>8.6004371278760539E-2</v>
      </c>
      <c r="O42" s="14"/>
      <c r="P42" s="1">
        <f>SUM(OSRRefP22_5x_0)</f>
        <v>4034.68</v>
      </c>
      <c r="Q42" s="1"/>
      <c r="R42" s="5">
        <f t="shared" si="34"/>
        <v>0</v>
      </c>
      <c r="S42" s="1"/>
      <c r="T42" s="1">
        <f>SUM(OSRRefT22_5x_0)</f>
        <v>3715.16</v>
      </c>
      <c r="U42" s="1"/>
      <c r="V42" s="5">
        <f t="shared" si="35"/>
        <v>7.835247139203462E-2</v>
      </c>
      <c r="W42" s="1"/>
      <c r="X42" s="1">
        <f t="shared" si="36"/>
        <v>319.52</v>
      </c>
      <c r="Y42" s="1"/>
      <c r="Z42" s="5">
        <f t="shared" si="37"/>
        <v>8.6004371278760539E-2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2017.34</v>
      </c>
      <c r="E43" s="2"/>
      <c r="F43" s="6">
        <f t="shared" si="30"/>
        <v>0</v>
      </c>
      <c r="G43" s="2"/>
      <c r="H43" s="7">
        <v>1857.58</v>
      </c>
      <c r="I43" s="2"/>
      <c r="J43" s="6">
        <f t="shared" si="31"/>
        <v>5.6197015983769971E-2</v>
      </c>
      <c r="K43" s="2"/>
      <c r="L43" s="7">
        <f t="shared" si="32"/>
        <v>159.76</v>
      </c>
      <c r="M43" s="2"/>
      <c r="N43" s="6">
        <f t="shared" si="33"/>
        <v>8.6004371278760539E-2</v>
      </c>
      <c r="O43" s="11"/>
      <c r="P43" s="7">
        <v>4034.68</v>
      </c>
      <c r="Q43" s="2"/>
      <c r="R43" s="6">
        <f t="shared" si="34"/>
        <v>0</v>
      </c>
      <c r="S43" s="2"/>
      <c r="T43" s="7">
        <v>3715.16</v>
      </c>
      <c r="U43" s="2"/>
      <c r="V43" s="6">
        <f t="shared" si="35"/>
        <v>7.835247139203462E-2</v>
      </c>
      <c r="W43" s="2"/>
      <c r="X43" s="7">
        <f t="shared" si="36"/>
        <v>319.52</v>
      </c>
      <c r="Y43" s="2"/>
      <c r="Z43" s="6">
        <f t="shared" si="37"/>
        <v>8.6004371278760539E-2</v>
      </c>
    </row>
    <row r="44" spans="1:26" s="28" customFormat="1" outlineLevel="1" collapsed="1" x14ac:dyDescent="0.25">
      <c r="A44" s="27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SUM(OSRRefD22_6x_0)</f>
        <v>0</v>
      </c>
      <c r="E44" s="1"/>
      <c r="F44" s="5">
        <f t="shared" si="30"/>
        <v>0</v>
      </c>
      <c r="G44" s="1"/>
      <c r="H44" s="1">
        <f>SUM(OSRRefH22_6x_0)</f>
        <v>23.75</v>
      </c>
      <c r="I44" s="1"/>
      <c r="J44" s="5">
        <f t="shared" si="31"/>
        <v>7.1850425263759131E-4</v>
      </c>
      <c r="K44" s="1"/>
      <c r="L44" s="1">
        <f t="shared" si="32"/>
        <v>-23.75</v>
      </c>
      <c r="M44" s="1"/>
      <c r="N44" s="5">
        <f t="shared" si="33"/>
        <v>-1</v>
      </c>
      <c r="O44" s="14"/>
      <c r="P44" s="1">
        <f>SUM(OSRRefP22_6x_0)</f>
        <v>0</v>
      </c>
      <c r="Q44" s="1"/>
      <c r="R44" s="5">
        <f t="shared" si="34"/>
        <v>0</v>
      </c>
      <c r="S44" s="1"/>
      <c r="T44" s="1">
        <f>SUM(OSRRefT22_6x_0)</f>
        <v>768.55</v>
      </c>
      <c r="U44" s="1"/>
      <c r="V44" s="5">
        <f t="shared" si="35"/>
        <v>1.6208667160592868E-2</v>
      </c>
      <c r="W44" s="1"/>
      <c r="X44" s="1">
        <f t="shared" si="36"/>
        <v>-768.55</v>
      </c>
      <c r="Y44" s="1"/>
      <c r="Z44" s="5">
        <f t="shared" si="37"/>
        <v>-1</v>
      </c>
    </row>
    <row r="45" spans="1:26" s="24" customFormat="1" hidden="1" outlineLevel="2" x14ac:dyDescent="0.25">
      <c r="A45" s="29"/>
      <c r="B45" s="11" t="str">
        <f>CONCATENATE("          ", "6279", " - ", "GENERAL EXPENSE")</f>
        <v xml:space="preserve">          6279 - GENERAL EXPENSE</v>
      </c>
      <c r="C45" s="11"/>
      <c r="D45" s="7"/>
      <c r="E45" s="2"/>
      <c r="F45" s="6">
        <f t="shared" si="30"/>
        <v>0</v>
      </c>
      <c r="G45" s="2"/>
      <c r="H45" s="7">
        <v>23.75</v>
      </c>
      <c r="I45" s="2"/>
      <c r="J45" s="6">
        <f t="shared" si="31"/>
        <v>7.1850425263759131E-4</v>
      </c>
      <c r="K45" s="2"/>
      <c r="L45" s="7">
        <f t="shared" si="32"/>
        <v>-23.75</v>
      </c>
      <c r="M45" s="2"/>
      <c r="N45" s="6">
        <f t="shared" si="33"/>
        <v>-1</v>
      </c>
      <c r="O45" s="11"/>
      <c r="P45" s="7"/>
      <c r="Q45" s="2"/>
      <c r="R45" s="6">
        <f t="shared" si="34"/>
        <v>0</v>
      </c>
      <c r="S45" s="2"/>
      <c r="T45" s="7">
        <v>768.55</v>
      </c>
      <c r="U45" s="2"/>
      <c r="V45" s="6">
        <f t="shared" si="35"/>
        <v>1.6208667160592868E-2</v>
      </c>
      <c r="W45" s="2"/>
      <c r="X45" s="7">
        <f t="shared" si="36"/>
        <v>-768.55</v>
      </c>
      <c r="Y45" s="2"/>
      <c r="Z45" s="6">
        <f t="shared" si="37"/>
        <v>-1</v>
      </c>
    </row>
    <row r="46" spans="1:26" s="28" customFormat="1" outlineLevel="1" collapsed="1" x14ac:dyDescent="0.25">
      <c r="A46" s="27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SUM(OSRRefD22_7x_0)</f>
        <v>0</v>
      </c>
      <c r="E46" s="1"/>
      <c r="F46" s="5">
        <f t="shared" si="30"/>
        <v>0</v>
      </c>
      <c r="G46" s="1"/>
      <c r="H46" s="1">
        <f>SUM(OSRRefH22_7x_0)</f>
        <v>1150</v>
      </c>
      <c r="I46" s="1"/>
      <c r="J46" s="5">
        <f t="shared" si="31"/>
        <v>3.4790732232978107E-2</v>
      </c>
      <c r="K46" s="1"/>
      <c r="L46" s="1">
        <f t="shared" si="32"/>
        <v>-1150</v>
      </c>
      <c r="M46" s="1"/>
      <c r="N46" s="5">
        <f t="shared" si="33"/>
        <v>-1</v>
      </c>
      <c r="O46" s="14"/>
      <c r="P46" s="1">
        <f>SUM(OSRRefP22_7x_0)</f>
        <v>0</v>
      </c>
      <c r="Q46" s="1"/>
      <c r="R46" s="5">
        <f t="shared" si="34"/>
        <v>0</v>
      </c>
      <c r="S46" s="1"/>
      <c r="T46" s="1">
        <f>SUM(OSRRefT22_7x_0)</f>
        <v>2300</v>
      </c>
      <c r="U46" s="1"/>
      <c r="V46" s="5">
        <f t="shared" si="35"/>
        <v>4.8506843366552081E-2</v>
      </c>
      <c r="W46" s="1"/>
      <c r="X46" s="1">
        <f t="shared" si="36"/>
        <v>-2300</v>
      </c>
      <c r="Y46" s="1"/>
      <c r="Z46" s="5">
        <f t="shared" si="37"/>
        <v>-1</v>
      </c>
    </row>
    <row r="47" spans="1:26" s="24" customFormat="1" hidden="1" outlineLevel="2" x14ac:dyDescent="0.25">
      <c r="A47" s="29"/>
      <c r="B47" s="11" t="str">
        <f>CONCATENATE("          ", "6273", " - ", "RENT")</f>
        <v xml:space="preserve">          6273 - RENT</v>
      </c>
      <c r="C47" s="11"/>
      <c r="D47" s="7"/>
      <c r="E47" s="2"/>
      <c r="F47" s="6">
        <f t="shared" si="30"/>
        <v>0</v>
      </c>
      <c r="G47" s="2"/>
      <c r="H47" s="7">
        <v>1150</v>
      </c>
      <c r="I47" s="2"/>
      <c r="J47" s="6">
        <f t="shared" si="31"/>
        <v>3.4790732232978107E-2</v>
      </c>
      <c r="K47" s="2"/>
      <c r="L47" s="7">
        <f t="shared" si="32"/>
        <v>-1150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2300</v>
      </c>
      <c r="U47" s="2"/>
      <c r="V47" s="6">
        <f t="shared" si="35"/>
        <v>4.8506843366552081E-2</v>
      </c>
      <c r="W47" s="2"/>
      <c r="X47" s="7">
        <f t="shared" si="36"/>
        <v>-2300</v>
      </c>
      <c r="Y47" s="2"/>
      <c r="Z47" s="6">
        <f t="shared" si="37"/>
        <v>-1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SUM(OSRRefD22_8x_0)</f>
        <v>78.599999999999994</v>
      </c>
      <c r="E48" s="1"/>
      <c r="F48" s="5">
        <f t="shared" si="30"/>
        <v>0</v>
      </c>
      <c r="G48" s="1"/>
      <c r="H48" s="1">
        <f>SUM(OSRRefH22_8x_0)</f>
        <v>0</v>
      </c>
      <c r="I48" s="1"/>
      <c r="J48" s="5">
        <f t="shared" si="31"/>
        <v>0</v>
      </c>
      <c r="K48" s="1"/>
      <c r="L48" s="1">
        <f t="shared" si="32"/>
        <v>78.599999999999994</v>
      </c>
      <c r="M48" s="1"/>
      <c r="N48" s="5">
        <f t="shared" si="33"/>
        <v>0</v>
      </c>
      <c r="O48" s="14"/>
      <c r="P48" s="1">
        <f>SUM(OSRRefP22_8x_0)</f>
        <v>78.599999999999994</v>
      </c>
      <c r="Q48" s="1"/>
      <c r="R48" s="5">
        <f t="shared" si="34"/>
        <v>0</v>
      </c>
      <c r="S48" s="1"/>
      <c r="T48" s="1">
        <f>SUM(OSRRefT22_8x_0)</f>
        <v>640.13</v>
      </c>
      <c r="U48" s="1"/>
      <c r="V48" s="5">
        <f t="shared" si="35"/>
        <v>1.3500298106187384E-2</v>
      </c>
      <c r="W48" s="1"/>
      <c r="X48" s="1">
        <f t="shared" si="36"/>
        <v>-561.53</v>
      </c>
      <c r="Y48" s="1"/>
      <c r="Z48" s="5">
        <f t="shared" si="37"/>
        <v>-0.87721244122287656</v>
      </c>
    </row>
    <row r="49" spans="1:26" s="24" customFormat="1" hidden="1" outlineLevel="2" x14ac:dyDescent="0.25">
      <c r="A49" s="29"/>
      <c r="B49" s="11" t="str">
        <f>CONCATENATE("          ", "6373", " - ", "MAINTENANCE CONTRACTS")</f>
        <v xml:space="preserve">          6373 - MAINTENANCE CONTRACTS</v>
      </c>
      <c r="C49" s="11"/>
      <c r="D49" s="7">
        <v>78.599999999999994</v>
      </c>
      <c r="E49" s="2"/>
      <c r="F49" s="6">
        <f t="shared" si="30"/>
        <v>0</v>
      </c>
      <c r="G49" s="2"/>
      <c r="H49" s="7"/>
      <c r="I49" s="2"/>
      <c r="J49" s="6">
        <f t="shared" si="31"/>
        <v>0</v>
      </c>
      <c r="K49" s="2"/>
      <c r="L49" s="7">
        <f t="shared" si="32"/>
        <v>78.599999999999994</v>
      </c>
      <c r="M49" s="2"/>
      <c r="N49" s="6">
        <f t="shared" si="33"/>
        <v>0</v>
      </c>
      <c r="O49" s="11"/>
      <c r="P49" s="7">
        <v>78.599999999999994</v>
      </c>
      <c r="Q49" s="2"/>
      <c r="R49" s="6">
        <f t="shared" si="34"/>
        <v>0</v>
      </c>
      <c r="S49" s="2"/>
      <c r="T49" s="7"/>
      <c r="U49" s="2"/>
      <c r="V49" s="6">
        <f t="shared" si="35"/>
        <v>0</v>
      </c>
      <c r="W49" s="2"/>
      <c r="X49" s="7">
        <f t="shared" si="36"/>
        <v>78.599999999999994</v>
      </c>
      <c r="Y49" s="2"/>
      <c r="Z49" s="6">
        <f t="shared" si="37"/>
        <v>0</v>
      </c>
    </row>
    <row r="50" spans="1:26" s="24" customFormat="1" hidden="1" outlineLevel="2" x14ac:dyDescent="0.25">
      <c r="A50" s="29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30"/>
        <v>0</v>
      </c>
      <c r="G50" s="2"/>
      <c r="H50" s="7"/>
      <c r="I50" s="2"/>
      <c r="J50" s="6">
        <f t="shared" si="31"/>
        <v>0</v>
      </c>
      <c r="K50" s="2"/>
      <c r="L50" s="7">
        <f t="shared" si="32"/>
        <v>0</v>
      </c>
      <c r="M50" s="2"/>
      <c r="N50" s="6">
        <f t="shared" si="33"/>
        <v>0</v>
      </c>
      <c r="O50" s="11"/>
      <c r="P50" s="7"/>
      <c r="Q50" s="2"/>
      <c r="R50" s="6">
        <f t="shared" si="34"/>
        <v>0</v>
      </c>
      <c r="S50" s="2"/>
      <c r="T50" s="7">
        <v>640.13</v>
      </c>
      <c r="U50" s="2"/>
      <c r="V50" s="6">
        <f t="shared" si="35"/>
        <v>1.3500298106187384E-2</v>
      </c>
      <c r="W50" s="2"/>
      <c r="X50" s="7">
        <f t="shared" si="36"/>
        <v>-640.13</v>
      </c>
      <c r="Y50" s="2"/>
      <c r="Z50" s="6">
        <f t="shared" si="37"/>
        <v>-1</v>
      </c>
    </row>
    <row r="51" spans="1:26" s="28" customFormat="1" outlineLevel="1" collapsed="1" x14ac:dyDescent="0.25">
      <c r="A51" s="27"/>
      <c r="B51" s="14" t="str">
        <f>CONCATENATE("     ","Services                                          ")</f>
        <v xml:space="preserve">     Services                                          </v>
      </c>
      <c r="C51" s="14"/>
      <c r="D51" s="1">
        <f>SUM(OSRRefD22_9x_0)</f>
        <v>-567.28</v>
      </c>
      <c r="E51" s="1"/>
      <c r="F51" s="5">
        <f t="shared" ref="F51:F54" si="38">IF(D$12=0,0,D51/D$12)</f>
        <v>0</v>
      </c>
      <c r="G51" s="1"/>
      <c r="H51" s="1">
        <f>SUM(OSRRefH22_9x_0)</f>
        <v>681.51</v>
      </c>
      <c r="I51" s="1"/>
      <c r="J51" s="5">
        <f t="shared" ref="J51:J54" si="39">IF(H$12=0,0,H51/H$12)</f>
        <v>2.0617592977475573E-2</v>
      </c>
      <c r="K51" s="1"/>
      <c r="L51" s="1">
        <f t="shared" ref="L51:L54" si="40">+D51-H51</f>
        <v>-1248.79</v>
      </c>
      <c r="M51" s="1"/>
      <c r="N51" s="5">
        <f t="shared" ref="N51:N54" si="41">IF(H51=0,0,L51/H51)</f>
        <v>-1.8323869055479742</v>
      </c>
      <c r="O51" s="14"/>
      <c r="P51" s="1">
        <f>SUM(OSRRefP22_9x_0)</f>
        <v>-1053.52</v>
      </c>
      <c r="Q51" s="1"/>
      <c r="R51" s="5">
        <f t="shared" ref="R51:R54" si="42">IF(P$12=0,0,P51/P$12)</f>
        <v>0</v>
      </c>
      <c r="S51" s="1"/>
      <c r="T51" s="1">
        <f>SUM(OSRRefT22_9x_0)</f>
        <v>1095.96</v>
      </c>
      <c r="U51" s="1"/>
      <c r="V51" s="5">
        <f t="shared" ref="V51:V54" si="43">IF(T$12=0,0,T51/T$12)</f>
        <v>2.3113721763481053E-2</v>
      </c>
      <c r="W51" s="1"/>
      <c r="X51" s="1">
        <f t="shared" ref="X51:X54" si="44">+P51-T51</f>
        <v>-2149.48</v>
      </c>
      <c r="Y51" s="1"/>
      <c r="Z51" s="5">
        <f t="shared" ref="Z51:Z54" si="45">IF(T51=0,0,X51/T51)</f>
        <v>-1.9612759589766049</v>
      </c>
    </row>
    <row r="52" spans="1:26" s="24" customFormat="1" hidden="1" outlineLevel="2" x14ac:dyDescent="0.25">
      <c r="A52" s="29"/>
      <c r="B52" s="11" t="str">
        <f>CONCATENATE("          ", "6282", " - ", "JANITORIAL/EXTERMINATOR EXPENS")</f>
        <v xml:space="preserve">          6282 - JANITORIAL/EXTERMINATOR EXPENS</v>
      </c>
      <c r="C52" s="11"/>
      <c r="D52" s="7">
        <v>-567.28</v>
      </c>
      <c r="E52" s="2"/>
      <c r="F52" s="6">
        <f t="shared" si="38"/>
        <v>0</v>
      </c>
      <c r="G52" s="2"/>
      <c r="H52" s="7">
        <v>233.62</v>
      </c>
      <c r="I52" s="2"/>
      <c r="J52" s="6">
        <f t="shared" si="39"/>
        <v>7.0676616211029089E-3</v>
      </c>
      <c r="K52" s="2"/>
      <c r="L52" s="7">
        <f t="shared" si="40"/>
        <v>-800.9</v>
      </c>
      <c r="M52" s="2"/>
      <c r="N52" s="6">
        <f t="shared" si="41"/>
        <v>-3.4282167622635047</v>
      </c>
      <c r="O52" s="11"/>
      <c r="P52" s="7">
        <v>-567.28</v>
      </c>
      <c r="Q52" s="2"/>
      <c r="R52" s="6">
        <f t="shared" si="42"/>
        <v>0</v>
      </c>
      <c r="S52" s="2"/>
      <c r="T52" s="7">
        <v>350.43</v>
      </c>
      <c r="U52" s="2"/>
      <c r="V52" s="6">
        <f t="shared" si="43"/>
        <v>7.3905448351916717E-3</v>
      </c>
      <c r="W52" s="2"/>
      <c r="X52" s="7">
        <f t="shared" si="44"/>
        <v>-917.71</v>
      </c>
      <c r="Y52" s="2"/>
      <c r="Z52" s="6">
        <f t="shared" si="45"/>
        <v>-2.6188111748423366</v>
      </c>
    </row>
    <row r="53" spans="1:26" s="24" customFormat="1" hidden="1" outlineLevel="2" x14ac:dyDescent="0.25">
      <c r="A53" s="29"/>
      <c r="B53" s="11" t="str">
        <f>CONCATENATE("          ", "6285", " - ", "JANITORIAL SERVICES")</f>
        <v xml:space="preserve">          6285 - JANITORIAL SERVICES</v>
      </c>
      <c r="C53" s="11"/>
      <c r="D53" s="7"/>
      <c r="E53" s="2"/>
      <c r="F53" s="6">
        <f t="shared" si="38"/>
        <v>0</v>
      </c>
      <c r="G53" s="2"/>
      <c r="H53" s="7">
        <v>75.680000000000007</v>
      </c>
      <c r="I53" s="2"/>
      <c r="J53" s="6">
        <f t="shared" si="39"/>
        <v>2.2895327090363335E-3</v>
      </c>
      <c r="K53" s="2"/>
      <c r="L53" s="7">
        <f t="shared" si="40"/>
        <v>-75.680000000000007</v>
      </c>
      <c r="M53" s="2"/>
      <c r="N53" s="6">
        <f t="shared" si="41"/>
        <v>-1</v>
      </c>
      <c r="O53" s="11"/>
      <c r="P53" s="7">
        <v>-486.24</v>
      </c>
      <c r="Q53" s="2"/>
      <c r="R53" s="6">
        <f t="shared" si="42"/>
        <v>0</v>
      </c>
      <c r="S53" s="2"/>
      <c r="T53" s="7">
        <v>75.680000000000007</v>
      </c>
      <c r="U53" s="2"/>
      <c r="V53" s="6">
        <f t="shared" si="43"/>
        <v>1.5960860460785486E-3</v>
      </c>
      <c r="W53" s="2"/>
      <c r="X53" s="7">
        <f t="shared" si="44"/>
        <v>-561.92000000000007</v>
      </c>
      <c r="Y53" s="2"/>
      <c r="Z53" s="6">
        <f t="shared" si="45"/>
        <v>-7.424947145877379</v>
      </c>
    </row>
    <row r="54" spans="1:26" s="24" customFormat="1" hidden="1" outlineLevel="2" x14ac:dyDescent="0.25">
      <c r="A54" s="29"/>
      <c r="B54" s="11" t="str">
        <f>CONCATENATE("          ", "6286", " - ", "LAUNDRY EXPENSE")</f>
        <v xml:space="preserve">          6286 - LAUNDRY EXPENSE</v>
      </c>
      <c r="C54" s="11"/>
      <c r="D54" s="7"/>
      <c r="E54" s="2"/>
      <c r="F54" s="6">
        <f t="shared" si="38"/>
        <v>0</v>
      </c>
      <c r="G54" s="2"/>
      <c r="H54" s="7">
        <v>372.21</v>
      </c>
      <c r="I54" s="2"/>
      <c r="J54" s="6">
        <f t="shared" si="39"/>
        <v>1.126039864733633E-2</v>
      </c>
      <c r="K54" s="2"/>
      <c r="L54" s="7">
        <f t="shared" si="40"/>
        <v>-372.21</v>
      </c>
      <c r="M54" s="2"/>
      <c r="N54" s="6">
        <f t="shared" si="41"/>
        <v>-1</v>
      </c>
      <c r="O54" s="11"/>
      <c r="P54" s="7"/>
      <c r="Q54" s="2"/>
      <c r="R54" s="6">
        <f t="shared" si="42"/>
        <v>0</v>
      </c>
      <c r="S54" s="2"/>
      <c r="T54" s="7">
        <v>669.85</v>
      </c>
      <c r="U54" s="2"/>
      <c r="V54" s="6">
        <f t="shared" si="43"/>
        <v>1.4127090882210831E-2</v>
      </c>
      <c r="W54" s="2"/>
      <c r="X54" s="7">
        <f t="shared" si="44"/>
        <v>-669.85</v>
      </c>
      <c r="Y54" s="2"/>
      <c r="Z54" s="6">
        <f t="shared" si="45"/>
        <v>-1</v>
      </c>
    </row>
    <row r="55" spans="1:26" s="28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SUM(OSRRefD22_10x_0)</f>
        <v>41.32</v>
      </c>
      <c r="E55" s="1"/>
      <c r="F55" s="5">
        <f t="shared" ref="F55:F60" si="46">IF(D$12=0,0,D55/D$12)</f>
        <v>0</v>
      </c>
      <c r="G55" s="1"/>
      <c r="H55" s="1">
        <f>SUM(OSRRefH22_10x_0)</f>
        <v>5325.8600000000006</v>
      </c>
      <c r="I55" s="1"/>
      <c r="J55" s="5">
        <f t="shared" ref="J55:J60" si="47">IF(H$12=0,0,H55/H$12)</f>
        <v>0.16112223406115547</v>
      </c>
      <c r="K55" s="1"/>
      <c r="L55" s="1">
        <f t="shared" ref="L55:L60" si="48">+D55-H55</f>
        <v>-5284.5400000000009</v>
      </c>
      <c r="M55" s="1"/>
      <c r="N55" s="5">
        <f t="shared" ref="N55:N60" si="49">IF(H55=0,0,L55/H55)</f>
        <v>-0.99224162858205067</v>
      </c>
      <c r="O55" s="14"/>
      <c r="P55" s="1">
        <f>SUM(OSRRefP22_10x_0)</f>
        <v>41.32</v>
      </c>
      <c r="Q55" s="1"/>
      <c r="R55" s="5">
        <f t="shared" ref="R55:R60" si="50">IF(P$12=0,0,P55/P$12)</f>
        <v>0</v>
      </c>
      <c r="S55" s="1"/>
      <c r="T55" s="1">
        <f>SUM(OSRRefT22_10x_0)</f>
        <v>6429.75</v>
      </c>
      <c r="U55" s="1"/>
      <c r="V55" s="5">
        <f t="shared" ref="V55:V60" si="51">IF(T$12=0,0,T55/T$12)</f>
        <v>0.13560298962438619</v>
      </c>
      <c r="W55" s="1"/>
      <c r="X55" s="1">
        <f t="shared" ref="X55:X60" si="52">+P55-T55</f>
        <v>-6388.43</v>
      </c>
      <c r="Y55" s="1"/>
      <c r="Z55" s="5">
        <f t="shared" ref="Z55:Z60" si="53">IF(T55=0,0,X55/T55)</f>
        <v>-0.99357362261363202</v>
      </c>
    </row>
    <row r="56" spans="1:26" s="24" customFormat="1" hidden="1" outlineLevel="2" x14ac:dyDescent="0.25">
      <c r="A56" s="29"/>
      <c r="B56" s="11" t="str">
        <f>CONCATENATE("          ", "6234", " - ", "EXPENDABLE SUPPLIES &amp; EQUIPMEN")</f>
        <v xml:space="preserve">          6234 - EXPENDABLE SUPPLIES &amp; EQUIPMEN</v>
      </c>
      <c r="C56" s="11"/>
      <c r="D56" s="7"/>
      <c r="E56" s="2"/>
      <c r="F56" s="6">
        <f t="shared" si="46"/>
        <v>0</v>
      </c>
      <c r="G56" s="2"/>
      <c r="H56" s="7">
        <v>354.71</v>
      </c>
      <c r="I56" s="2"/>
      <c r="J56" s="6">
        <f t="shared" si="47"/>
        <v>1.0730974461182315E-2</v>
      </c>
      <c r="K56" s="2"/>
      <c r="L56" s="7">
        <f t="shared" si="48"/>
        <v>-354.71</v>
      </c>
      <c r="M56" s="2"/>
      <c r="N56" s="6">
        <f t="shared" si="49"/>
        <v>-1</v>
      </c>
      <c r="O56" s="11"/>
      <c r="P56" s="7"/>
      <c r="Q56" s="2"/>
      <c r="R56" s="6">
        <f t="shared" si="50"/>
        <v>0</v>
      </c>
      <c r="S56" s="2"/>
      <c r="T56" s="7">
        <v>354.71</v>
      </c>
      <c r="U56" s="2"/>
      <c r="V56" s="6">
        <f t="shared" si="51"/>
        <v>7.480809743717255E-3</v>
      </c>
      <c r="W56" s="2"/>
      <c r="X56" s="7">
        <f t="shared" si="52"/>
        <v>-354.71</v>
      </c>
      <c r="Y56" s="2"/>
      <c r="Z56" s="6">
        <f t="shared" si="53"/>
        <v>-1</v>
      </c>
    </row>
    <row r="57" spans="1:26" s="24" customFormat="1" hidden="1" outlineLevel="2" x14ac:dyDescent="0.25">
      <c r="A57" s="29"/>
      <c r="B57" s="11" t="str">
        <f>CONCATENATE("          ", "6237", " - ", "JANITORIAL SUPPLIES")</f>
        <v xml:space="preserve">          6237 - JANITORIAL SUPPLIES</v>
      </c>
      <c r="C57" s="11"/>
      <c r="D57" s="7"/>
      <c r="E57" s="2"/>
      <c r="F57" s="6">
        <f t="shared" si="46"/>
        <v>0</v>
      </c>
      <c r="G57" s="2"/>
      <c r="H57" s="7">
        <v>210</v>
      </c>
      <c r="I57" s="2"/>
      <c r="J57" s="6">
        <f t="shared" si="47"/>
        <v>6.3530902338481757E-3</v>
      </c>
      <c r="K57" s="2"/>
      <c r="L57" s="7">
        <f t="shared" si="48"/>
        <v>-210</v>
      </c>
      <c r="M57" s="2"/>
      <c r="N57" s="6">
        <f t="shared" si="49"/>
        <v>-1</v>
      </c>
      <c r="O57" s="11"/>
      <c r="P57" s="7"/>
      <c r="Q57" s="2"/>
      <c r="R57" s="6">
        <f t="shared" si="50"/>
        <v>0</v>
      </c>
      <c r="S57" s="2"/>
      <c r="T57" s="7">
        <v>234.25</v>
      </c>
      <c r="U57" s="2"/>
      <c r="V57" s="6">
        <f t="shared" si="51"/>
        <v>4.9403165472238367E-3</v>
      </c>
      <c r="W57" s="2"/>
      <c r="X57" s="7">
        <f t="shared" si="52"/>
        <v>-234.25</v>
      </c>
      <c r="Y57" s="2"/>
      <c r="Z57" s="6">
        <f t="shared" si="53"/>
        <v>-1</v>
      </c>
    </row>
    <row r="58" spans="1:26" s="24" customFormat="1" hidden="1" outlineLevel="2" x14ac:dyDescent="0.25">
      <c r="A58" s="29"/>
      <c r="B58" s="11" t="str">
        <f>CONCATENATE("          ", "6241", " - ", "OFFICE EXPENSE")</f>
        <v xml:space="preserve">          6241 - OFFICE EXPENSE</v>
      </c>
      <c r="C58" s="11"/>
      <c r="D58" s="7">
        <v>41.32</v>
      </c>
      <c r="E58" s="2"/>
      <c r="F58" s="6">
        <f t="shared" si="46"/>
        <v>0</v>
      </c>
      <c r="G58" s="2"/>
      <c r="H58" s="7">
        <v>221.19</v>
      </c>
      <c r="I58" s="2"/>
      <c r="J58" s="6">
        <f t="shared" si="47"/>
        <v>6.6916191848803716E-3</v>
      </c>
      <c r="K58" s="2"/>
      <c r="L58" s="7">
        <f t="shared" si="48"/>
        <v>-179.87</v>
      </c>
      <c r="M58" s="2"/>
      <c r="N58" s="6">
        <f t="shared" si="49"/>
        <v>-0.81319227813192285</v>
      </c>
      <c r="O58" s="11"/>
      <c r="P58" s="7">
        <v>41.32</v>
      </c>
      <c r="Q58" s="2"/>
      <c r="R58" s="6">
        <f t="shared" si="50"/>
        <v>0</v>
      </c>
      <c r="S58" s="2"/>
      <c r="T58" s="7">
        <v>416.4</v>
      </c>
      <c r="U58" s="2"/>
      <c r="V58" s="6">
        <f t="shared" si="51"/>
        <v>8.7818476425357752E-3</v>
      </c>
      <c r="W58" s="2"/>
      <c r="X58" s="7">
        <f t="shared" si="52"/>
        <v>-375.08</v>
      </c>
      <c r="Y58" s="2"/>
      <c r="Z58" s="6">
        <f t="shared" si="53"/>
        <v>-0.90076849183477425</v>
      </c>
    </row>
    <row r="59" spans="1:26" s="24" customFormat="1" hidden="1" outlineLevel="2" x14ac:dyDescent="0.25">
      <c r="A59" s="29"/>
      <c r="B59" s="11" t="str">
        <f>CONCATENATE("          ", "6243", " - ", "PAPER SUPPLIES")</f>
        <v xml:space="preserve">          6243 - PAPER SUPPLIES</v>
      </c>
      <c r="C59" s="11"/>
      <c r="D59" s="7"/>
      <c r="E59" s="2"/>
      <c r="F59" s="6">
        <f t="shared" si="46"/>
        <v>0</v>
      </c>
      <c r="G59" s="2"/>
      <c r="H59" s="7">
        <v>110.29</v>
      </c>
      <c r="I59" s="2"/>
      <c r="J59" s="6">
        <f t="shared" si="47"/>
        <v>3.3365824851957875E-3</v>
      </c>
      <c r="K59" s="2"/>
      <c r="L59" s="7">
        <f t="shared" si="48"/>
        <v>-110.29</v>
      </c>
      <c r="M59" s="2"/>
      <c r="N59" s="6">
        <f t="shared" si="49"/>
        <v>-1</v>
      </c>
      <c r="O59" s="11"/>
      <c r="P59" s="7"/>
      <c r="Q59" s="2"/>
      <c r="R59" s="6">
        <f t="shared" si="50"/>
        <v>0</v>
      </c>
      <c r="S59" s="2"/>
      <c r="T59" s="7">
        <v>110.29</v>
      </c>
      <c r="U59" s="2"/>
      <c r="V59" s="6">
        <f t="shared" si="51"/>
        <v>2.3260085890856649E-3</v>
      </c>
      <c r="W59" s="2"/>
      <c r="X59" s="7">
        <f t="shared" si="52"/>
        <v>-110.29</v>
      </c>
      <c r="Y59" s="2"/>
      <c r="Z59" s="6">
        <f t="shared" si="53"/>
        <v>-1</v>
      </c>
    </row>
    <row r="60" spans="1:26" s="24" customFormat="1" hidden="1" outlineLevel="2" x14ac:dyDescent="0.25">
      <c r="A60" s="29"/>
      <c r="B60" s="11" t="str">
        <f>CONCATENATE("          ", "6247", " - ", "STORE SUPPLIES")</f>
        <v xml:space="preserve">          6247 - STORE SUPPLIES</v>
      </c>
      <c r="C60" s="11"/>
      <c r="D60" s="7"/>
      <c r="E60" s="2"/>
      <c r="F60" s="6">
        <f t="shared" si="46"/>
        <v>0</v>
      </c>
      <c r="G60" s="2"/>
      <c r="H60" s="7">
        <v>4429.67</v>
      </c>
      <c r="I60" s="2"/>
      <c r="J60" s="6">
        <f t="shared" si="47"/>
        <v>0.13400996769604881</v>
      </c>
      <c r="K60" s="2"/>
      <c r="L60" s="7">
        <f t="shared" si="48"/>
        <v>-4429.67</v>
      </c>
      <c r="M60" s="2"/>
      <c r="N60" s="6">
        <f t="shared" si="49"/>
        <v>-1</v>
      </c>
      <c r="O60" s="11"/>
      <c r="P60" s="7"/>
      <c r="Q60" s="2"/>
      <c r="R60" s="6">
        <f t="shared" si="50"/>
        <v>0</v>
      </c>
      <c r="S60" s="2"/>
      <c r="T60" s="7">
        <v>5314.1</v>
      </c>
      <c r="U60" s="2"/>
      <c r="V60" s="6">
        <f t="shared" si="51"/>
        <v>0.11207400710182366</v>
      </c>
      <c r="W60" s="2"/>
      <c r="X60" s="7">
        <f t="shared" si="52"/>
        <v>-5314.1</v>
      </c>
      <c r="Y60" s="2"/>
      <c r="Z60" s="6">
        <f t="shared" si="53"/>
        <v>-1</v>
      </c>
    </row>
    <row r="61" spans="1:26" s="28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SUM(OSRRefD22_11x_0)</f>
        <v>36</v>
      </c>
      <c r="E61" s="1"/>
      <c r="F61" s="5">
        <f t="shared" ref="F61:F64" si="54">IF(D$12=0,0,D61/D$12)</f>
        <v>0</v>
      </c>
      <c r="G61" s="1"/>
      <c r="H61" s="1">
        <f>SUM(OSRRefH22_11x_0)</f>
        <v>36</v>
      </c>
      <c r="I61" s="1"/>
      <c r="J61" s="5">
        <f t="shared" ref="J61:J64" si="55">IF(H$12=0,0,H61/H$12)</f>
        <v>1.0891011829454015E-3</v>
      </c>
      <c r="K61" s="1"/>
      <c r="L61" s="1">
        <f t="shared" ref="L61:L64" si="56">+D61-H61</f>
        <v>0</v>
      </c>
      <c r="M61" s="1"/>
      <c r="N61" s="5">
        <f t="shared" ref="N61:N64" si="57">IF(H61=0,0,L61/H61)</f>
        <v>0</v>
      </c>
      <c r="O61" s="14"/>
      <c r="P61" s="1">
        <f>SUM(OSRRefP22_11x_0)</f>
        <v>72</v>
      </c>
      <c r="Q61" s="1"/>
      <c r="R61" s="5">
        <f t="shared" ref="R61:R64" si="58">IF(P$12=0,0,P61/P$12)</f>
        <v>0</v>
      </c>
      <c r="S61" s="1"/>
      <c r="T61" s="1">
        <f>SUM(OSRRefT22_11x_0)</f>
        <v>48</v>
      </c>
      <c r="U61" s="1"/>
      <c r="V61" s="5">
        <f t="shared" ref="V61:V64" si="59">IF(T$12=0,0,T61/T$12)</f>
        <v>1.0123167311280434E-3</v>
      </c>
      <c r="W61" s="1"/>
      <c r="X61" s="1">
        <f t="shared" ref="X61:X64" si="60">+P61-T61</f>
        <v>24</v>
      </c>
      <c r="Y61" s="1"/>
      <c r="Z61" s="5">
        <f t="shared" ref="Z61:Z64" si="61">IF(T61=0,0,X61/T61)</f>
        <v>0.5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7">
        <v>36</v>
      </c>
      <c r="E62" s="2"/>
      <c r="F62" s="6">
        <f t="shared" si="54"/>
        <v>0</v>
      </c>
      <c r="G62" s="2"/>
      <c r="H62" s="7">
        <v>36</v>
      </c>
      <c r="I62" s="2"/>
      <c r="J62" s="6">
        <f t="shared" si="55"/>
        <v>1.0891011829454015E-3</v>
      </c>
      <c r="K62" s="2"/>
      <c r="L62" s="7">
        <f t="shared" si="56"/>
        <v>0</v>
      </c>
      <c r="M62" s="2"/>
      <c r="N62" s="6">
        <f t="shared" si="57"/>
        <v>0</v>
      </c>
      <c r="O62" s="11"/>
      <c r="P62" s="7">
        <v>72</v>
      </c>
      <c r="Q62" s="2"/>
      <c r="R62" s="6">
        <f t="shared" si="58"/>
        <v>0</v>
      </c>
      <c r="S62" s="2"/>
      <c r="T62" s="7">
        <v>48</v>
      </c>
      <c r="U62" s="2"/>
      <c r="V62" s="6">
        <f t="shared" si="59"/>
        <v>1.0123167311280434E-3</v>
      </c>
      <c r="W62" s="2"/>
      <c r="X62" s="7">
        <f t="shared" si="60"/>
        <v>24</v>
      </c>
      <c r="Y62" s="2"/>
      <c r="Z62" s="6">
        <f t="shared" si="61"/>
        <v>0.5</v>
      </c>
    </row>
    <row r="63" spans="1:26" s="28" customFormat="1" outlineLevel="1" collapsed="1" x14ac:dyDescent="0.25">
      <c r="A63" s="27"/>
      <c r="B63" s="14" t="str">
        <f>CONCATENATE("     ","Utilities                                         ")</f>
        <v xml:space="preserve">     Utilities                                         </v>
      </c>
      <c r="C63" s="14"/>
      <c r="D63" s="1">
        <f>SUM(OSRRefD22_12x_0)</f>
        <v>0</v>
      </c>
      <c r="E63" s="1"/>
      <c r="F63" s="5">
        <f t="shared" si="54"/>
        <v>0</v>
      </c>
      <c r="G63" s="1"/>
      <c r="H63" s="1">
        <f>SUM(OSRRefH22_12x_0)</f>
        <v>0</v>
      </c>
      <c r="I63" s="1"/>
      <c r="J63" s="5">
        <f t="shared" si="55"/>
        <v>0</v>
      </c>
      <c r="K63" s="1"/>
      <c r="L63" s="1">
        <f t="shared" si="56"/>
        <v>0</v>
      </c>
      <c r="M63" s="1"/>
      <c r="N63" s="5">
        <f t="shared" si="57"/>
        <v>0</v>
      </c>
      <c r="O63" s="14"/>
      <c r="P63" s="1">
        <f>SUM(OSRRefP22_12x_0)</f>
        <v>0</v>
      </c>
      <c r="Q63" s="1"/>
      <c r="R63" s="5">
        <f t="shared" si="58"/>
        <v>0</v>
      </c>
      <c r="S63" s="1"/>
      <c r="T63" s="1">
        <f>SUM(OSRRefT22_12x_0)</f>
        <v>182</v>
      </c>
      <c r="U63" s="1"/>
      <c r="V63" s="5">
        <f t="shared" si="59"/>
        <v>3.8383676055271645E-3</v>
      </c>
      <c r="W63" s="1"/>
      <c r="X63" s="1">
        <f t="shared" si="60"/>
        <v>-182</v>
      </c>
      <c r="Y63" s="1"/>
      <c r="Z63" s="5">
        <f t="shared" si="61"/>
        <v>-1</v>
      </c>
    </row>
    <row r="64" spans="1:26" s="24" customFormat="1" hidden="1" outlineLevel="2" x14ac:dyDescent="0.25">
      <c r="A64" s="29"/>
      <c r="B64" s="11" t="str">
        <f>CONCATENATE("          ", "6274", " - ", "UTILITIES")</f>
        <v xml:space="preserve">          6274 - UTILITIES</v>
      </c>
      <c r="C64" s="11"/>
      <c r="D64" s="7"/>
      <c r="E64" s="2"/>
      <c r="F64" s="6">
        <f t="shared" si="54"/>
        <v>0</v>
      </c>
      <c r="G64" s="2"/>
      <c r="H64" s="7"/>
      <c r="I64" s="2"/>
      <c r="J64" s="6">
        <f t="shared" si="55"/>
        <v>0</v>
      </c>
      <c r="K64" s="2"/>
      <c r="L64" s="7">
        <f t="shared" si="56"/>
        <v>0</v>
      </c>
      <c r="M64" s="2"/>
      <c r="N64" s="6">
        <f t="shared" si="57"/>
        <v>0</v>
      </c>
      <c r="O64" s="11"/>
      <c r="P64" s="7"/>
      <c r="Q64" s="2"/>
      <c r="R64" s="6">
        <f t="shared" si="58"/>
        <v>0</v>
      </c>
      <c r="S64" s="2"/>
      <c r="T64" s="7">
        <v>182</v>
      </c>
      <c r="U64" s="2"/>
      <c r="V64" s="6">
        <f t="shared" si="59"/>
        <v>3.8383676055271645E-3</v>
      </c>
      <c r="W64" s="2"/>
      <c r="X64" s="7">
        <f t="shared" si="60"/>
        <v>-182</v>
      </c>
      <c r="Y64" s="2"/>
      <c r="Z64" s="6">
        <f t="shared" si="61"/>
        <v>-1</v>
      </c>
    </row>
    <row r="65" spans="1:26" s="5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3</v>
      </c>
      <c r="C68" s="26"/>
      <c r="D68" s="22">
        <f>+D20-D22+D66</f>
        <v>-610.52</v>
      </c>
      <c r="E68" s="13"/>
      <c r="F68" s="21">
        <f>IF(D$12=0,0,D68/D$12)</f>
        <v>0</v>
      </c>
      <c r="G68" s="13"/>
      <c r="H68" s="22">
        <f>+H20-H22+H66</f>
        <v>-11105.849999999999</v>
      </c>
      <c r="I68" s="13"/>
      <c r="J68" s="21">
        <f>IF(H$12=0,0,H68/H$12)</f>
        <v>-0.33598317701706076</v>
      </c>
      <c r="K68" s="16"/>
      <c r="L68" s="22">
        <f>+D68-H68</f>
        <v>10495.329999999998</v>
      </c>
      <c r="M68" s="16"/>
      <c r="N68" s="21">
        <f>IF(H68=0,0,L68/H68)</f>
        <v>-0.94502717036516781</v>
      </c>
      <c r="O68" s="25"/>
      <c r="P68" s="22">
        <f>+P20-P22+P66</f>
        <v>-5626.72</v>
      </c>
      <c r="Q68" s="13"/>
      <c r="R68" s="21">
        <f>IF(P$12=0,0,P68/P$12)</f>
        <v>0</v>
      </c>
      <c r="S68" s="13"/>
      <c r="T68" s="22">
        <f>+T20-T22+T66</f>
        <v>-23808.7</v>
      </c>
      <c r="U68" s="13"/>
      <c r="V68" s="21">
        <f>IF(T$12=0,0,T68/T$12)</f>
        <v>-0.50212386159183853</v>
      </c>
      <c r="W68" s="16"/>
      <c r="X68" s="22">
        <f>+P68-T68</f>
        <v>18181.98</v>
      </c>
      <c r="Y68" s="16"/>
      <c r="Z68" s="21">
        <f>IF(T68=0,0,X68/T68)</f>
        <v>-0.76366958296757059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/>
      <c r="E70" s="4"/>
      <c r="F70" s="12">
        <f>IF(D$12=0,0,D70/D$12)</f>
        <v>0</v>
      </c>
      <c r="G70" s="4"/>
      <c r="H70" s="4">
        <v>2925.79</v>
      </c>
      <c r="I70" s="4"/>
      <c r="J70" s="12">
        <f>IF(H$12=0,0,H70/H$12)</f>
        <v>8.85133708347174E-2</v>
      </c>
      <c r="K70" s="4"/>
      <c r="L70" s="4">
        <f>+D70-H70</f>
        <v>-2925.79</v>
      </c>
      <c r="M70" s="4"/>
      <c r="N70" s="12">
        <f>IF(H70=0,0,L70/H70)</f>
        <v>-1</v>
      </c>
      <c r="O70" s="10"/>
      <c r="P70" s="4"/>
      <c r="Q70" s="4"/>
      <c r="R70" s="12">
        <f>IF(P$12=0,0,P70/P$12)</f>
        <v>0</v>
      </c>
      <c r="S70" s="4"/>
      <c r="T70" s="4">
        <v>5911.91</v>
      </c>
      <c r="U70" s="4"/>
      <c r="V70" s="12">
        <f>IF(T$12=0,0,T70/T$12)</f>
        <v>0.12468177929006648</v>
      </c>
      <c r="W70" s="4"/>
      <c r="X70" s="4">
        <f>+P70-T70</f>
        <v>-5911.91</v>
      </c>
      <c r="Y70" s="4"/>
      <c r="Z70" s="12">
        <f>IF(T70=0,0,X70/T70)</f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4</v>
      </c>
      <c r="C72" s="26"/>
      <c r="D72" s="36">
        <f>+D68-D70</f>
        <v>-610.52</v>
      </c>
      <c r="E72" s="13"/>
      <c r="F72" s="34">
        <f>IF(D$12=0,0,D72/D$12)</f>
        <v>0</v>
      </c>
      <c r="G72" s="13"/>
      <c r="H72" s="36">
        <f>+H68-H70</f>
        <v>-14031.64</v>
      </c>
      <c r="I72" s="13"/>
      <c r="J72" s="34">
        <f>IF(H$12=0,0,H72/H$12)</f>
        <v>-0.42449654785177815</v>
      </c>
      <c r="K72" s="16"/>
      <c r="L72" s="36">
        <f>D72-H72</f>
        <v>13421.119999999999</v>
      </c>
      <c r="M72" s="16"/>
      <c r="N72" s="34">
        <f>IF(H72=0,0,L72/H72)</f>
        <v>-0.95648976170996403</v>
      </c>
      <c r="O72" s="25"/>
      <c r="P72" s="36">
        <f>+P68-P70</f>
        <v>-5626.72</v>
      </c>
      <c r="Q72" s="13"/>
      <c r="R72" s="34">
        <f>IF(P$12=0,0,P72/P$12)</f>
        <v>0</v>
      </c>
      <c r="S72" s="13"/>
      <c r="T72" s="36">
        <f>+T68-T70</f>
        <v>-29720.61</v>
      </c>
      <c r="U72" s="13"/>
      <c r="V72" s="34">
        <f>IF(T$12=0,0,T72/T$12)</f>
        <v>-0.62680564088190494</v>
      </c>
      <c r="W72" s="16"/>
      <c r="X72" s="36">
        <f>P72-T72</f>
        <v>24093.89</v>
      </c>
      <c r="Y72" s="16"/>
      <c r="Z72" s="34">
        <f>IF(T72=0,0,X72/T72)</f>
        <v>-0.81067952508377183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5</v>
      </c>
      <c r="C75" s="26"/>
      <c r="D75" s="30">
        <f>SUM(D72:D74)</f>
        <v>-610.52</v>
      </c>
      <c r="E75" s="13"/>
      <c r="F75" s="31">
        <f>IF(D$12=0,0,D75/D$12)</f>
        <v>0</v>
      </c>
      <c r="G75" s="13"/>
      <c r="H75" s="30">
        <f>SUM(H72:H74)</f>
        <v>-14031.64</v>
      </c>
      <c r="I75" s="13"/>
      <c r="J75" s="31">
        <f>IF(H$12=0,0,H75/H$12)</f>
        <v>-0.42449654785177815</v>
      </c>
      <c r="K75" s="16"/>
      <c r="L75" s="30">
        <f>+D75-H75</f>
        <v>13421.119999999999</v>
      </c>
      <c r="M75" s="16"/>
      <c r="N75" s="31">
        <f>IF(H75=0,0,L75/H75)</f>
        <v>-0.95648976170996403</v>
      </c>
      <c r="O75" s="25"/>
      <c r="P75" s="30">
        <f>SUM(P72:P74)</f>
        <v>-5626.72</v>
      </c>
      <c r="Q75" s="13"/>
      <c r="R75" s="31">
        <f>IF(P$12=0,0,P75/P$12)</f>
        <v>0</v>
      </c>
      <c r="S75" s="13"/>
      <c r="T75" s="30">
        <f>SUM(T72:T74)</f>
        <v>-29720.61</v>
      </c>
      <c r="U75" s="13"/>
      <c r="V75" s="31">
        <f>IF(T$12=0,0,T75/T$12)</f>
        <v>-0.62680564088190494</v>
      </c>
      <c r="W75" s="16"/>
      <c r="X75" s="30">
        <f>+P75-T75</f>
        <v>24093.89</v>
      </c>
      <c r="Y75" s="16"/>
      <c r="Z75" s="31">
        <f>IF(T75=0,0,X75/T75)</f>
        <v>-0.81067952508377183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61">
        <v>44113.696394062499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 t="s">
        <v>313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8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","325", " - ", "Outpost C-Store")</f>
        <v>Department 325 - Outpost C-Store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31515.97</v>
      </c>
      <c r="I12" s="4"/>
      <c r="J12" s="12"/>
      <c r="K12" s="4"/>
      <c r="L12" s="4">
        <f t="shared" ref="L12:L14" si="0">+D12-H12</f>
        <v>-31515.97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46007.670000000006</v>
      </c>
      <c r="U12" s="4"/>
      <c r="V12" s="12"/>
      <c r="W12" s="4"/>
      <c r="X12" s="4">
        <f t="shared" ref="X12:X14" si="2">+P12-T12</f>
        <v>-46007.670000000006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>--6989.82</f>
        <v>6989.82</v>
      </c>
      <c r="I13" s="2"/>
      <c r="J13" s="19"/>
      <c r="K13" s="2"/>
      <c r="L13" s="2">
        <f t="shared" si="0"/>
        <v>-6989.82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--9122.19</f>
        <v>9122.19</v>
      </c>
      <c r="U13" s="2"/>
      <c r="V13" s="19"/>
      <c r="W13" s="2"/>
      <c r="X13" s="2">
        <f t="shared" si="2"/>
        <v>-9122.19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>--24526.15</f>
        <v>24526.15</v>
      </c>
      <c r="I14" s="2"/>
      <c r="J14" s="19"/>
      <c r="K14" s="2"/>
      <c r="L14" s="2">
        <f t="shared" si="0"/>
        <v>-24526.15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--36885.48</f>
        <v>36885.480000000003</v>
      </c>
      <c r="U14" s="2"/>
      <c r="V14" s="19"/>
      <c r="W14" s="2"/>
      <c r="X14" s="2">
        <f t="shared" si="2"/>
        <v>-36885.480000000003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-688.96</v>
      </c>
      <c r="E16" s="4"/>
      <c r="F16" s="12">
        <f t="shared" ref="F16:F18" si="6">IF(D$12=0,0,D16/D$12)</f>
        <v>0</v>
      </c>
      <c r="G16" s="4"/>
      <c r="H16" s="4">
        <f>SUM(OSRRefH16x_0)</f>
        <v>14254.190000000002</v>
      </c>
      <c r="I16" s="4"/>
      <c r="J16" s="12">
        <f t="shared" ref="J16:J18" si="7">IF(H$12=0,0,H16/H$12)</f>
        <v>0.45228466710686682</v>
      </c>
      <c r="K16" s="4"/>
      <c r="L16" s="4">
        <f t="shared" ref="L16:L18" si="8">+D16-H16</f>
        <v>-14943.150000000001</v>
      </c>
      <c r="M16" s="4"/>
      <c r="N16" s="12">
        <f t="shared" ref="N16:N18" si="9">IF(H16=0,0,L16/H16)</f>
        <v>-1.048333858325166</v>
      </c>
      <c r="O16" s="10"/>
      <c r="P16" s="4">
        <f>SUM(OSRRefP16x_0)</f>
        <v>-688.96</v>
      </c>
      <c r="Q16" s="4"/>
      <c r="R16" s="12">
        <f t="shared" ref="R16:R18" si="10">IF(P$12=0,0,P16/P$12)</f>
        <v>0</v>
      </c>
      <c r="S16" s="4"/>
      <c r="T16" s="4">
        <f>SUM(OSRRefT16x_0)</f>
        <v>20883.269999999997</v>
      </c>
      <c r="U16" s="4"/>
      <c r="V16" s="12">
        <f t="shared" ref="V16:V18" si="11">IF(T$12=0,0,T16/T$12)</f>
        <v>0.45390844613517689</v>
      </c>
      <c r="W16" s="4"/>
      <c r="X16" s="4">
        <f t="shared" ref="X16:X18" si="12">+P16-T16</f>
        <v>-21572.229999999996</v>
      </c>
      <c r="Y16" s="4"/>
      <c r="Z16" s="12">
        <f t="shared" ref="Z16:Z18" si="13">IF(T16=0,0,X16/T16)</f>
        <v>-1.0329910018881143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-688.96</v>
      </c>
      <c r="E17" s="2"/>
      <c r="F17" s="19">
        <f t="shared" si="6"/>
        <v>0</v>
      </c>
      <c r="G17" s="2"/>
      <c r="H17" s="2">
        <v>19405.230000000003</v>
      </c>
      <c r="I17" s="2"/>
      <c r="J17" s="19">
        <f t="shared" si="7"/>
        <v>0.61572688386237207</v>
      </c>
      <c r="K17" s="2"/>
      <c r="L17" s="2">
        <f t="shared" si="8"/>
        <v>-20094.190000000002</v>
      </c>
      <c r="M17" s="2"/>
      <c r="N17" s="19">
        <f t="shared" si="9"/>
        <v>-1.0355038306683302</v>
      </c>
      <c r="O17" s="11"/>
      <c r="P17" s="2">
        <v>-688.96</v>
      </c>
      <c r="Q17" s="2"/>
      <c r="R17" s="19">
        <f t="shared" si="10"/>
        <v>0</v>
      </c>
      <c r="S17" s="2"/>
      <c r="T17" s="2">
        <v>27083.94</v>
      </c>
      <c r="U17" s="2"/>
      <c r="V17" s="19">
        <f t="shared" si="11"/>
        <v>0.58868314783165487</v>
      </c>
      <c r="W17" s="2"/>
      <c r="X17" s="2">
        <f t="shared" si="12"/>
        <v>-27772.899999999998</v>
      </c>
      <c r="Y17" s="2"/>
      <c r="Z17" s="19">
        <f t="shared" si="13"/>
        <v>-1.0254379532667699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-5151.04</v>
      </c>
      <c r="I18" s="2"/>
      <c r="J18" s="19">
        <f t="shared" si="7"/>
        <v>-0.16344221675550522</v>
      </c>
      <c r="K18" s="2"/>
      <c r="L18" s="2">
        <f t="shared" si="8"/>
        <v>5151.04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-6200.67</v>
      </c>
      <c r="U18" s="2"/>
      <c r="V18" s="19">
        <f t="shared" si="11"/>
        <v>-0.13477470169647798</v>
      </c>
      <c r="W18" s="2"/>
      <c r="X18" s="2">
        <f t="shared" si="12"/>
        <v>6200.67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688.96</v>
      </c>
      <c r="E20" s="13"/>
      <c r="F20" s="21">
        <f>IF(D$12=0,0,D20/D$12)</f>
        <v>0</v>
      </c>
      <c r="G20" s="13"/>
      <c r="H20" s="22">
        <f>H12-H16</f>
        <v>17261.78</v>
      </c>
      <c r="I20" s="13"/>
      <c r="J20" s="21">
        <f>IF(H$12=0,0,H20/H$12)</f>
        <v>0.54771533289313312</v>
      </c>
      <c r="K20" s="16"/>
      <c r="L20" s="22">
        <f>+D20-H20</f>
        <v>-16572.82</v>
      </c>
      <c r="M20" s="16"/>
      <c r="N20" s="21">
        <f>IF(H20=0,0,L20/H20)</f>
        <v>-0.9600875460120567</v>
      </c>
      <c r="O20" s="25"/>
      <c r="P20" s="22">
        <f>P12-P16</f>
        <v>688.96</v>
      </c>
      <c r="Q20" s="13"/>
      <c r="R20" s="21">
        <f>IF(P$12=0,0,P20/P$12)</f>
        <v>0</v>
      </c>
      <c r="S20" s="13"/>
      <c r="T20" s="22">
        <f>T12-T16</f>
        <v>25124.400000000009</v>
      </c>
      <c r="U20" s="13"/>
      <c r="V20" s="21">
        <f>IF(T$12=0,0,T20/T$12)</f>
        <v>0.54609155386482311</v>
      </c>
      <c r="W20" s="16"/>
      <c r="X20" s="22">
        <f>+P20-T20</f>
        <v>-24435.44000000001</v>
      </c>
      <c r="Y20" s="16"/>
      <c r="Z20" s="21">
        <f>IF(T20=0,0,X20/T20)</f>
        <v>-0.97257805161516298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9986.7300000000014</v>
      </c>
      <c r="E22" s="20"/>
      <c r="F22" s="35">
        <f t="shared" ref="F22:F31" si="14">IF(D$12=0,0,D22/D$12)</f>
        <v>0</v>
      </c>
      <c r="G22" s="20"/>
      <c r="H22" s="20">
        <f>SUM(OSRRefH22x_0)</f>
        <v>24867.320000000003</v>
      </c>
      <c r="I22" s="20"/>
      <c r="J22" s="35">
        <f t="shared" ref="J22:J31" si="15">IF(H$12=0,0,H22/H$12)</f>
        <v>0.78903870006222254</v>
      </c>
      <c r="K22" s="4"/>
      <c r="L22" s="20">
        <f t="shared" ref="L22:L31" si="16">+D22-H22</f>
        <v>-14880.590000000002</v>
      </c>
      <c r="M22" s="4"/>
      <c r="N22" s="35">
        <f t="shared" ref="N22:N31" si="17">IF(H22=0,0,L22/H22)</f>
        <v>-0.5983994254306455</v>
      </c>
      <c r="O22" s="10"/>
      <c r="P22" s="20">
        <f>SUM(OSRRefP22x_0)</f>
        <v>24423.129999999997</v>
      </c>
      <c r="Q22" s="20"/>
      <c r="R22" s="35">
        <f t="shared" ref="R22:R31" si="18">IF(P$12=0,0,P22/P$12)</f>
        <v>0</v>
      </c>
      <c r="S22" s="20"/>
      <c r="T22" s="20">
        <f>SUM(OSRRefT22x_0)</f>
        <v>48698.740000000005</v>
      </c>
      <c r="U22" s="20"/>
      <c r="V22" s="35">
        <f t="shared" ref="V22:V31" si="19">IF(T$12=0,0,T22/T$12)</f>
        <v>1.0584917688724511</v>
      </c>
      <c r="W22" s="4"/>
      <c r="X22" s="20">
        <f t="shared" ref="X22:X31" si="20">+P22-T22</f>
        <v>-24275.610000000008</v>
      </c>
      <c r="Y22" s="4"/>
      <c r="Z22" s="35">
        <f t="shared" ref="Z22:Z31" si="21">IF(T22=0,0,X22/T22)</f>
        <v>-0.49848538175731044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3591.38</v>
      </c>
      <c r="I23" s="1"/>
      <c r="J23" s="5">
        <f t="shared" si="15"/>
        <v>0.11395429047559062</v>
      </c>
      <c r="K23" s="1"/>
      <c r="L23" s="1">
        <f t="shared" si="16"/>
        <v>-3591.38</v>
      </c>
      <c r="M23" s="1"/>
      <c r="N23" s="5">
        <f t="shared" si="17"/>
        <v>-1</v>
      </c>
      <c r="O23" s="14"/>
      <c r="P23" s="1">
        <f>SUM(OSRRefP22_0x_0)</f>
        <v>2889.72</v>
      </c>
      <c r="Q23" s="1"/>
      <c r="R23" s="5">
        <f t="shared" si="18"/>
        <v>0</v>
      </c>
      <c r="S23" s="1"/>
      <c r="T23" s="1">
        <f>SUM(OSRRefT22_0x_0)</f>
        <v>7554.9299999999994</v>
      </c>
      <c r="U23" s="1"/>
      <c r="V23" s="5">
        <f t="shared" si="19"/>
        <v>0.16421022842495606</v>
      </c>
      <c r="W23" s="1"/>
      <c r="X23" s="1">
        <f t="shared" si="20"/>
        <v>-4665.2099999999991</v>
      </c>
      <c r="Y23" s="1"/>
      <c r="Z23" s="5">
        <f t="shared" si="21"/>
        <v>-0.61750539051983266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553.1</v>
      </c>
      <c r="I24" s="2"/>
      <c r="J24" s="6">
        <f t="shared" si="15"/>
        <v>1.7549832672134159E-2</v>
      </c>
      <c r="K24" s="2"/>
      <c r="L24" s="7">
        <f t="shared" si="16"/>
        <v>-553.1</v>
      </c>
      <c r="M24" s="2"/>
      <c r="N24" s="6">
        <f t="shared" si="17"/>
        <v>-1</v>
      </c>
      <c r="O24" s="11"/>
      <c r="P24" s="7">
        <v>159.12</v>
      </c>
      <c r="Q24" s="2"/>
      <c r="R24" s="6">
        <f t="shared" si="18"/>
        <v>0</v>
      </c>
      <c r="S24" s="2"/>
      <c r="T24" s="7">
        <v>1014.55</v>
      </c>
      <c r="U24" s="2"/>
      <c r="V24" s="6">
        <f t="shared" si="19"/>
        <v>2.2051757891673275E-2</v>
      </c>
      <c r="W24" s="2"/>
      <c r="X24" s="7">
        <f t="shared" si="20"/>
        <v>-855.43</v>
      </c>
      <c r="Y24" s="2"/>
      <c r="Z24" s="6">
        <f t="shared" si="21"/>
        <v>-0.84316199300182348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205.47</v>
      </c>
      <c r="I25" s="2"/>
      <c r="J25" s="6">
        <f t="shared" si="15"/>
        <v>6.5195518335624762E-3</v>
      </c>
      <c r="K25" s="2"/>
      <c r="L25" s="7">
        <f t="shared" si="16"/>
        <v>-205.47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408.03</v>
      </c>
      <c r="U25" s="2"/>
      <c r="V25" s="6">
        <f t="shared" si="19"/>
        <v>8.8687386255378708E-3</v>
      </c>
      <c r="W25" s="2"/>
      <c r="X25" s="7">
        <f t="shared" si="20"/>
        <v>-408.03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1815.82</v>
      </c>
      <c r="I26" s="2"/>
      <c r="J26" s="6">
        <f t="shared" si="15"/>
        <v>5.761586903401672E-2</v>
      </c>
      <c r="K26" s="2"/>
      <c r="L26" s="7">
        <f t="shared" si="16"/>
        <v>-1815.82</v>
      </c>
      <c r="M26" s="2"/>
      <c r="N26" s="6">
        <f t="shared" si="17"/>
        <v>-1</v>
      </c>
      <c r="O26" s="11"/>
      <c r="P26" s="7">
        <v>1915.63</v>
      </c>
      <c r="Q26" s="2"/>
      <c r="R26" s="6">
        <f t="shared" si="18"/>
        <v>0</v>
      </c>
      <c r="S26" s="2"/>
      <c r="T26" s="7">
        <v>4099.29</v>
      </c>
      <c r="U26" s="2"/>
      <c r="V26" s="6">
        <f t="shared" si="19"/>
        <v>8.9100143519547925E-2</v>
      </c>
      <c r="W26" s="2"/>
      <c r="X26" s="7">
        <f t="shared" si="20"/>
        <v>-2183.66</v>
      </c>
      <c r="Y26" s="2"/>
      <c r="Z26" s="6">
        <f t="shared" si="21"/>
        <v>-0.53269224670613691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17.57</v>
      </c>
      <c r="I27" s="2"/>
      <c r="J27" s="6">
        <f t="shared" si="15"/>
        <v>5.5749513659265448E-4</v>
      </c>
      <c r="K27" s="2"/>
      <c r="L27" s="7">
        <f t="shared" si="16"/>
        <v>-17.57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34.880000000000003</v>
      </c>
      <c r="U27" s="2"/>
      <c r="V27" s="6">
        <f t="shared" si="19"/>
        <v>7.5813445888479024E-4</v>
      </c>
      <c r="W27" s="2"/>
      <c r="X27" s="7">
        <f t="shared" si="20"/>
        <v>-34.880000000000003</v>
      </c>
      <c r="Y27" s="2"/>
      <c r="Z27" s="6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392.49</v>
      </c>
      <c r="I28" s="2"/>
      <c r="J28" s="6">
        <f t="shared" si="15"/>
        <v>1.2453686178784914E-2</v>
      </c>
      <c r="K28" s="2"/>
      <c r="L28" s="7">
        <f t="shared" si="16"/>
        <v>-392.49</v>
      </c>
      <c r="M28" s="2"/>
      <c r="N28" s="6">
        <f t="shared" si="17"/>
        <v>-1</v>
      </c>
      <c r="O28" s="11"/>
      <c r="P28" s="7">
        <v>458.89</v>
      </c>
      <c r="Q28" s="2"/>
      <c r="R28" s="6">
        <f t="shared" si="18"/>
        <v>0</v>
      </c>
      <c r="S28" s="2"/>
      <c r="T28" s="7">
        <v>784.98</v>
      </c>
      <c r="U28" s="2"/>
      <c r="V28" s="6">
        <f t="shared" si="19"/>
        <v>1.7061937716037347E-2</v>
      </c>
      <c r="W28" s="2"/>
      <c r="X28" s="7">
        <f t="shared" si="20"/>
        <v>-326.09000000000003</v>
      </c>
      <c r="Y28" s="2"/>
      <c r="Z28" s="6">
        <f t="shared" si="21"/>
        <v>-0.41541185762694594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280.8</v>
      </c>
      <c r="I29" s="2"/>
      <c r="J29" s="6">
        <f t="shared" si="15"/>
        <v>8.909768603028877E-3</v>
      </c>
      <c r="K29" s="2"/>
      <c r="L29" s="7">
        <f t="shared" si="16"/>
        <v>-280.8</v>
      </c>
      <c r="M29" s="2"/>
      <c r="N29" s="6">
        <f t="shared" si="17"/>
        <v>-1</v>
      </c>
      <c r="O29" s="11"/>
      <c r="P29" s="7">
        <v>152.1</v>
      </c>
      <c r="Q29" s="2"/>
      <c r="R29" s="6">
        <f t="shared" si="18"/>
        <v>0</v>
      </c>
      <c r="S29" s="2"/>
      <c r="T29" s="7">
        <v>561.6</v>
      </c>
      <c r="U29" s="2"/>
      <c r="V29" s="6">
        <f t="shared" si="19"/>
        <v>1.2206660324245935E-2</v>
      </c>
      <c r="W29" s="2"/>
      <c r="X29" s="7">
        <f t="shared" si="20"/>
        <v>-409.5</v>
      </c>
      <c r="Y29" s="2"/>
      <c r="Z29" s="6">
        <f t="shared" si="21"/>
        <v>-0.72916666666666663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177.12</v>
      </c>
      <c r="I30" s="2"/>
      <c r="J30" s="6">
        <f t="shared" si="15"/>
        <v>5.6200078880643684E-3</v>
      </c>
      <c r="K30" s="2"/>
      <c r="L30" s="7">
        <f t="shared" si="16"/>
        <v>-177.12</v>
      </c>
      <c r="M30" s="2"/>
      <c r="N30" s="6">
        <f t="shared" si="17"/>
        <v>-1</v>
      </c>
      <c r="O30" s="11"/>
      <c r="P30" s="7">
        <v>203.98</v>
      </c>
      <c r="Q30" s="2"/>
      <c r="R30" s="6">
        <f t="shared" si="18"/>
        <v>0</v>
      </c>
      <c r="S30" s="2"/>
      <c r="T30" s="7">
        <v>354.24</v>
      </c>
      <c r="U30" s="2"/>
      <c r="V30" s="6">
        <f t="shared" si="19"/>
        <v>7.6995857429858969E-3</v>
      </c>
      <c r="W30" s="2"/>
      <c r="X30" s="7">
        <f t="shared" si="20"/>
        <v>-150.26000000000002</v>
      </c>
      <c r="Y30" s="2"/>
      <c r="Z30" s="6">
        <f t="shared" si="21"/>
        <v>-0.42417570009033428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149.01</v>
      </c>
      <c r="I31" s="2"/>
      <c r="J31" s="6">
        <f t="shared" si="15"/>
        <v>4.7280791294064557E-3</v>
      </c>
      <c r="K31" s="2"/>
      <c r="L31" s="7">
        <f t="shared" si="16"/>
        <v>-149.01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297.36</v>
      </c>
      <c r="U31" s="2"/>
      <c r="V31" s="6">
        <f t="shared" si="19"/>
        <v>6.4632701460430398E-3</v>
      </c>
      <c r="W31" s="2"/>
      <c r="X31" s="7">
        <f t="shared" si="20"/>
        <v>-297.36</v>
      </c>
      <c r="Y31" s="2"/>
      <c r="Z31" s="6">
        <f t="shared" si="21"/>
        <v>-1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8627.64</v>
      </c>
      <c r="I32" s="1"/>
      <c r="J32" s="5">
        <f t="shared" ref="J32:J37" si="23">IF(H$12=0,0,H32/H$12)</f>
        <v>0.27375454412477229</v>
      </c>
      <c r="K32" s="1"/>
      <c r="L32" s="1">
        <f t="shared" ref="L32:L37" si="24">+D32-H32</f>
        <v>-8627.64</v>
      </c>
      <c r="M32" s="1"/>
      <c r="N32" s="5">
        <f t="shared" ref="N32:N37" si="25">IF(H32=0,0,L32/H32)</f>
        <v>-1</v>
      </c>
      <c r="O32" s="14"/>
      <c r="P32" s="1">
        <f>SUM(OSRRefP22_1x_0)</f>
        <v>884</v>
      </c>
      <c r="Q32" s="1"/>
      <c r="R32" s="5">
        <f t="shared" ref="R32:R37" si="26">IF(P$12=0,0,P32/P$12)</f>
        <v>0</v>
      </c>
      <c r="S32" s="1"/>
      <c r="T32" s="1">
        <f>SUM(OSRRefT22_1x_0)</f>
        <v>15739.58</v>
      </c>
      <c r="U32" s="1"/>
      <c r="V32" s="5">
        <f t="shared" ref="V32:V37" si="27">IF(T$12=0,0,T32/T$12)</f>
        <v>0.34210773986163606</v>
      </c>
      <c r="W32" s="1"/>
      <c r="X32" s="1">
        <f t="shared" ref="X32:X37" si="28">+P32-T32</f>
        <v>-14855.58</v>
      </c>
      <c r="Y32" s="1"/>
      <c r="Z32" s="5">
        <f t="shared" ref="Z32:Z37" si="29">IF(T32=0,0,X32/T32)</f>
        <v>-0.94383585839012218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3648</v>
      </c>
      <c r="I33" s="2"/>
      <c r="J33" s="6">
        <f t="shared" si="23"/>
        <v>0.11575083997097345</v>
      </c>
      <c r="K33" s="2"/>
      <c r="L33" s="7">
        <f t="shared" si="24"/>
        <v>-3648</v>
      </c>
      <c r="M33" s="2"/>
      <c r="N33" s="6">
        <f t="shared" si="25"/>
        <v>-1</v>
      </c>
      <c r="O33" s="11"/>
      <c r="P33" s="7">
        <v>884</v>
      </c>
      <c r="Q33" s="2"/>
      <c r="R33" s="6">
        <f t="shared" si="26"/>
        <v>0</v>
      </c>
      <c r="S33" s="2"/>
      <c r="T33" s="7">
        <v>7872</v>
      </c>
      <c r="U33" s="2"/>
      <c r="V33" s="6">
        <f t="shared" si="27"/>
        <v>0.17110190539968659</v>
      </c>
      <c r="W33" s="2"/>
      <c r="X33" s="7">
        <f t="shared" si="28"/>
        <v>-6988</v>
      </c>
      <c r="Y33" s="2"/>
      <c r="Z33" s="6">
        <f t="shared" si="29"/>
        <v>-0.88770325203252032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2"/>
        <v>0</v>
      </c>
      <c r="G34" s="2"/>
      <c r="H34" s="7">
        <v>254.64</v>
      </c>
      <c r="I34" s="2"/>
      <c r="J34" s="6">
        <f t="shared" si="23"/>
        <v>8.0797132374475535E-3</v>
      </c>
      <c r="K34" s="2"/>
      <c r="L34" s="7">
        <f t="shared" si="24"/>
        <v>-254.64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254.64</v>
      </c>
      <c r="U34" s="2"/>
      <c r="V34" s="6">
        <f t="shared" si="27"/>
        <v>5.5347293179593745E-3</v>
      </c>
      <c r="W34" s="2"/>
      <c r="X34" s="7">
        <f t="shared" si="28"/>
        <v>-254.64</v>
      </c>
      <c r="Y34" s="2"/>
      <c r="Z34" s="6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2"/>
        <v>0</v>
      </c>
      <c r="G35" s="2"/>
      <c r="H35" s="7">
        <v>1157.25</v>
      </c>
      <c r="I35" s="2"/>
      <c r="J35" s="6">
        <f t="shared" si="23"/>
        <v>3.6719479045068261E-2</v>
      </c>
      <c r="K35" s="2"/>
      <c r="L35" s="7">
        <f t="shared" si="24"/>
        <v>-1157.25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1219.94</v>
      </c>
      <c r="U35" s="2"/>
      <c r="V35" s="6">
        <f t="shared" si="27"/>
        <v>2.6516013525570842E-2</v>
      </c>
      <c r="W35" s="2"/>
      <c r="X35" s="7">
        <f t="shared" si="28"/>
        <v>-1219.94</v>
      </c>
      <c r="Y35" s="2"/>
      <c r="Z35" s="6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3567.75</v>
      </c>
      <c r="I36" s="2"/>
      <c r="J36" s="6">
        <f t="shared" si="23"/>
        <v>0.11320451187128303</v>
      </c>
      <c r="K36" s="2"/>
      <c r="L36" s="7">
        <f t="shared" si="24"/>
        <v>-3567.75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6285</v>
      </c>
      <c r="U36" s="2"/>
      <c r="V36" s="6">
        <f t="shared" si="27"/>
        <v>0.13660765694067967</v>
      </c>
      <c r="W36" s="2"/>
      <c r="X36" s="7">
        <f t="shared" si="28"/>
        <v>-6285</v>
      </c>
      <c r="Y36" s="2"/>
      <c r="Z36" s="6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/>
      <c r="I37" s="2"/>
      <c r="J37" s="6">
        <f t="shared" si="23"/>
        <v>0</v>
      </c>
      <c r="K37" s="2"/>
      <c r="L37" s="7">
        <f t="shared" si="24"/>
        <v>0</v>
      </c>
      <c r="M37" s="2"/>
      <c r="N37" s="6">
        <f t="shared" si="25"/>
        <v>0</v>
      </c>
      <c r="O37" s="11"/>
      <c r="P37" s="7"/>
      <c r="Q37" s="2"/>
      <c r="R37" s="6">
        <f t="shared" si="26"/>
        <v>0</v>
      </c>
      <c r="S37" s="2"/>
      <c r="T37" s="7">
        <v>108</v>
      </c>
      <c r="U37" s="2"/>
      <c r="V37" s="6">
        <f t="shared" si="27"/>
        <v>2.3474346777396025E-3</v>
      </c>
      <c r="W37" s="2"/>
      <c r="X37" s="7">
        <f t="shared" si="28"/>
        <v>-108</v>
      </c>
      <c r="Y37" s="2"/>
      <c r="Z37" s="6">
        <f t="shared" si="29"/>
        <v>-1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79.78</v>
      </c>
      <c r="I38" s="1"/>
      <c r="J38" s="5">
        <f t="shared" ref="J38:J46" si="31">IF(H$12=0,0,H38/H$12)</f>
        <v>2.5314150254616944E-3</v>
      </c>
      <c r="K38" s="1"/>
      <c r="L38" s="1">
        <f t="shared" ref="L38:L46" si="32">+D38-H38</f>
        <v>-79.78</v>
      </c>
      <c r="M38" s="1"/>
      <c r="N38" s="5">
        <f t="shared" ref="N38:N46" si="33">IF(H38=0,0,L38/H38)</f>
        <v>-1</v>
      </c>
      <c r="O38" s="14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79.78</v>
      </c>
      <c r="U38" s="1"/>
      <c r="V38" s="5">
        <f t="shared" ref="V38:V46" si="35">IF(T$12=0,0,T38/T$12)</f>
        <v>1.7340586906487547E-3</v>
      </c>
      <c r="W38" s="1"/>
      <c r="X38" s="1">
        <f t="shared" ref="X38:X46" si="36">+P38-T38</f>
        <v>-79.78</v>
      </c>
      <c r="Y38" s="1"/>
      <c r="Z38" s="5">
        <f t="shared" ref="Z38:Z46" si="37">IF(T38=0,0,X38/T38)</f>
        <v>-1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>
        <v>79.78</v>
      </c>
      <c r="I39" s="2"/>
      <c r="J39" s="6">
        <f t="shared" si="31"/>
        <v>2.5314150254616944E-3</v>
      </c>
      <c r="K39" s="2"/>
      <c r="L39" s="7">
        <f t="shared" si="32"/>
        <v>-79.78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79.78</v>
      </c>
      <c r="U39" s="2"/>
      <c r="V39" s="6">
        <f t="shared" si="35"/>
        <v>1.7340586906487547E-3</v>
      </c>
      <c r="W39" s="2"/>
      <c r="X39" s="7">
        <f t="shared" si="36"/>
        <v>-79.78</v>
      </c>
      <c r="Y39" s="2"/>
      <c r="Z39" s="6">
        <f t="shared" si="37"/>
        <v>-1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-5.98</v>
      </c>
      <c r="I40" s="1"/>
      <c r="J40" s="5">
        <f t="shared" si="31"/>
        <v>-1.8974507210154092E-4</v>
      </c>
      <c r="K40" s="1"/>
      <c r="L40" s="1">
        <f t="shared" si="32"/>
        <v>5.98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-13.75</v>
      </c>
      <c r="U40" s="1"/>
      <c r="V40" s="5">
        <f t="shared" si="35"/>
        <v>-2.9886321128629203E-4</v>
      </c>
      <c r="W40" s="1"/>
      <c r="X40" s="1">
        <f t="shared" si="36"/>
        <v>13.75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-5.98</v>
      </c>
      <c r="I41" s="2"/>
      <c r="J41" s="6">
        <f t="shared" si="31"/>
        <v>-1.8974507210154092E-4</v>
      </c>
      <c r="K41" s="2"/>
      <c r="L41" s="7">
        <f t="shared" si="32"/>
        <v>5.98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-13.75</v>
      </c>
      <c r="U41" s="2"/>
      <c r="V41" s="6">
        <f t="shared" si="35"/>
        <v>-2.9886321128629203E-4</v>
      </c>
      <c r="W41" s="2"/>
      <c r="X41" s="7">
        <f t="shared" si="36"/>
        <v>13.75</v>
      </c>
      <c r="Y41" s="2"/>
      <c r="Z41" s="6">
        <f t="shared" si="37"/>
        <v>-1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1079.27</v>
      </c>
      <c r="I42" s="1"/>
      <c r="J42" s="5">
        <f t="shared" si="31"/>
        <v>3.4245177920908032E-2</v>
      </c>
      <c r="K42" s="1"/>
      <c r="L42" s="1">
        <f t="shared" si="32"/>
        <v>-1079.27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1483.02</v>
      </c>
      <c r="U42" s="1"/>
      <c r="V42" s="5">
        <f t="shared" si="35"/>
        <v>3.2234190516494308E-2</v>
      </c>
      <c r="W42" s="1"/>
      <c r="X42" s="1">
        <f t="shared" si="36"/>
        <v>-1483.02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1079.27</v>
      </c>
      <c r="I43" s="2"/>
      <c r="J43" s="6">
        <f t="shared" si="31"/>
        <v>3.4245177920908032E-2</v>
      </c>
      <c r="K43" s="2"/>
      <c r="L43" s="7">
        <f t="shared" si="32"/>
        <v>-1079.27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1483.02</v>
      </c>
      <c r="U43" s="2"/>
      <c r="V43" s="6">
        <f t="shared" si="35"/>
        <v>3.2234190516494308E-2</v>
      </c>
      <c r="W43" s="2"/>
      <c r="X43" s="7">
        <f t="shared" si="36"/>
        <v>-1483.02</v>
      </c>
      <c r="Y43" s="2"/>
      <c r="Z43" s="6">
        <f t="shared" si="37"/>
        <v>-1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5582.59</v>
      </c>
      <c r="E44" s="1"/>
      <c r="F44" s="5">
        <f t="shared" si="30"/>
        <v>0</v>
      </c>
      <c r="G44" s="1"/>
      <c r="H44" s="1">
        <f>SUM(OSRRefH22_5x_0)</f>
        <v>5421.37</v>
      </c>
      <c r="I44" s="1"/>
      <c r="J44" s="5">
        <f t="shared" si="31"/>
        <v>0.17201977283263056</v>
      </c>
      <c r="K44" s="1"/>
      <c r="L44" s="1">
        <f t="shared" si="32"/>
        <v>161.22000000000025</v>
      </c>
      <c r="M44" s="1"/>
      <c r="N44" s="5">
        <f t="shared" si="33"/>
        <v>2.9737870685823002E-2</v>
      </c>
      <c r="O44" s="14"/>
      <c r="P44" s="1">
        <f>SUM(OSRRefP22_5x_0)</f>
        <v>11165.18</v>
      </c>
      <c r="Q44" s="1"/>
      <c r="R44" s="5">
        <f t="shared" si="34"/>
        <v>0</v>
      </c>
      <c r="S44" s="1"/>
      <c r="T44" s="1">
        <f>SUM(OSRRefT22_5x_0)</f>
        <v>10842.74</v>
      </c>
      <c r="U44" s="1"/>
      <c r="V44" s="5">
        <f t="shared" si="35"/>
        <v>0.23567244331216944</v>
      </c>
      <c r="W44" s="1"/>
      <c r="X44" s="1">
        <f t="shared" si="36"/>
        <v>322.44000000000051</v>
      </c>
      <c r="Y44" s="1"/>
      <c r="Z44" s="5">
        <f t="shared" si="37"/>
        <v>2.9737870685823002E-2</v>
      </c>
    </row>
    <row r="45" spans="1:26" s="24" customFormat="1" hidden="1" outlineLevel="2" x14ac:dyDescent="0.25">
      <c r="A45" s="29"/>
      <c r="B45" s="11" t="str">
        <f>CONCATENATE("          ", "6321", " - ", "BUILDING DEPRECIATION")</f>
        <v xml:space="preserve">          6321 - BUILDING DEPRECIATION</v>
      </c>
      <c r="C45" s="11"/>
      <c r="D45" s="7">
        <v>5080.51</v>
      </c>
      <c r="E45" s="2"/>
      <c r="F45" s="6">
        <f t="shared" si="30"/>
        <v>0</v>
      </c>
      <c r="G45" s="2"/>
      <c r="H45" s="7">
        <v>5080.51</v>
      </c>
      <c r="I45" s="2"/>
      <c r="J45" s="6">
        <f t="shared" si="31"/>
        <v>0.16120430372284275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>
        <v>10161.02</v>
      </c>
      <c r="Q45" s="2"/>
      <c r="R45" s="6">
        <f t="shared" si="34"/>
        <v>0</v>
      </c>
      <c r="S45" s="2"/>
      <c r="T45" s="7">
        <v>10161.02</v>
      </c>
      <c r="U45" s="2"/>
      <c r="V45" s="6">
        <f t="shared" si="35"/>
        <v>0.22085491397412646</v>
      </c>
      <c r="W45" s="2"/>
      <c r="X45" s="7">
        <f t="shared" si="36"/>
        <v>0</v>
      </c>
      <c r="Y45" s="2"/>
      <c r="Z45" s="6">
        <f t="shared" si="37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502.08</v>
      </c>
      <c r="E46" s="2"/>
      <c r="F46" s="6">
        <f t="shared" si="30"/>
        <v>0</v>
      </c>
      <c r="G46" s="2"/>
      <c r="H46" s="7">
        <v>340.86</v>
      </c>
      <c r="I46" s="2"/>
      <c r="J46" s="6">
        <f t="shared" si="31"/>
        <v>1.0815469109787831E-2</v>
      </c>
      <c r="K46" s="2"/>
      <c r="L46" s="7">
        <f t="shared" si="32"/>
        <v>161.21999999999997</v>
      </c>
      <c r="M46" s="2"/>
      <c r="N46" s="6">
        <f t="shared" si="33"/>
        <v>0.47298010913571542</v>
      </c>
      <c r="O46" s="11"/>
      <c r="P46" s="7">
        <v>1004.16</v>
      </c>
      <c r="Q46" s="2"/>
      <c r="R46" s="6">
        <f t="shared" si="34"/>
        <v>0</v>
      </c>
      <c r="S46" s="2"/>
      <c r="T46" s="7">
        <v>681.72</v>
      </c>
      <c r="U46" s="2"/>
      <c r="V46" s="6">
        <f t="shared" si="35"/>
        <v>1.4817529338042982E-2</v>
      </c>
      <c r="W46" s="2"/>
      <c r="X46" s="7">
        <f t="shared" si="36"/>
        <v>322.43999999999994</v>
      </c>
      <c r="Y46" s="2"/>
      <c r="Z46" s="6">
        <f t="shared" si="37"/>
        <v>0.47298010913571542</v>
      </c>
    </row>
    <row r="47" spans="1:26" s="28" customFormat="1" outlineLevel="1" collapsed="1" x14ac:dyDescent="0.25">
      <c r="A47" s="27"/>
      <c r="B47" s="14" t="str">
        <f>CONCATENATE("     ","Equipment Rental                                  ")</f>
        <v xml:space="preserve">     Equipment Rental                                  </v>
      </c>
      <c r="C47" s="14"/>
      <c r="D47" s="1">
        <f>SUM(OSRRefD22_6x_0)</f>
        <v>0</v>
      </c>
      <c r="E47" s="1"/>
      <c r="F47" s="5">
        <f t="shared" ref="F47:F57" si="38">IF(D$12=0,0,D47/D$12)</f>
        <v>0</v>
      </c>
      <c r="G47" s="1"/>
      <c r="H47" s="1">
        <f>SUM(OSRRefH22_6x_0)</f>
        <v>146.05000000000001</v>
      </c>
      <c r="I47" s="1"/>
      <c r="J47" s="5">
        <f t="shared" ref="J47:J57" si="39">IF(H$12=0,0,H47/H$12)</f>
        <v>4.6341584917107105E-3</v>
      </c>
      <c r="K47" s="1"/>
      <c r="L47" s="1">
        <f t="shared" ref="L47:L57" si="40">+D47-H47</f>
        <v>-146.05000000000001</v>
      </c>
      <c r="M47" s="1"/>
      <c r="N47" s="5">
        <f t="shared" ref="N47:N57" si="41">IF(H47=0,0,L47/H47)</f>
        <v>-1</v>
      </c>
      <c r="O47" s="14"/>
      <c r="P47" s="1">
        <f>SUM(OSRRefP22_6x_0)</f>
        <v>0</v>
      </c>
      <c r="Q47" s="1"/>
      <c r="R47" s="5">
        <f t="shared" ref="R47:R57" si="42">IF(P$12=0,0,P47/P$12)</f>
        <v>0</v>
      </c>
      <c r="S47" s="1"/>
      <c r="T47" s="1">
        <f>SUM(OSRRefT22_6x_0)</f>
        <v>292.52</v>
      </c>
      <c r="U47" s="1"/>
      <c r="V47" s="5">
        <f t="shared" ref="V47:V57" si="43">IF(T$12=0,0,T47/T$12)</f>
        <v>6.3580702956702638E-3</v>
      </c>
      <c r="W47" s="1"/>
      <c r="X47" s="1">
        <f t="shared" ref="X47:X57" si="44">+P47-T47</f>
        <v>-292.52</v>
      </c>
      <c r="Y47" s="1"/>
      <c r="Z47" s="5">
        <f t="shared" ref="Z47:Z57" si="45">IF(T47=0,0,X47/T47)</f>
        <v>-1</v>
      </c>
    </row>
    <row r="48" spans="1:26" s="24" customFormat="1" hidden="1" outlineLevel="2" x14ac:dyDescent="0.25">
      <c r="A48" s="29"/>
      <c r="B48" s="11" t="str">
        <f>CONCATENATE("          ", "6351", " - ", "EQUIPMENT RENTAL")</f>
        <v xml:space="preserve">          6351 - EQUIPMENT RENTAL</v>
      </c>
      <c r="C48" s="11"/>
      <c r="D48" s="7"/>
      <c r="E48" s="2"/>
      <c r="F48" s="6">
        <f t="shared" si="38"/>
        <v>0</v>
      </c>
      <c r="G48" s="2"/>
      <c r="H48" s="7">
        <v>146.05000000000001</v>
      </c>
      <c r="I48" s="2"/>
      <c r="J48" s="6">
        <f t="shared" si="39"/>
        <v>4.6341584917107105E-3</v>
      </c>
      <c r="K48" s="2"/>
      <c r="L48" s="7">
        <f t="shared" si="40"/>
        <v>-146.05000000000001</v>
      </c>
      <c r="M48" s="2"/>
      <c r="N48" s="6">
        <f t="shared" si="41"/>
        <v>-1</v>
      </c>
      <c r="O48" s="11"/>
      <c r="P48" s="7"/>
      <c r="Q48" s="2"/>
      <c r="R48" s="6">
        <f t="shared" si="42"/>
        <v>0</v>
      </c>
      <c r="S48" s="2"/>
      <c r="T48" s="7">
        <v>292.52</v>
      </c>
      <c r="U48" s="2"/>
      <c r="V48" s="6">
        <f t="shared" si="43"/>
        <v>6.3580702956702638E-3</v>
      </c>
      <c r="W48" s="2"/>
      <c r="X48" s="7">
        <f t="shared" si="44"/>
        <v>-292.52</v>
      </c>
      <c r="Y48" s="2"/>
      <c r="Z48" s="6">
        <f t="shared" si="45"/>
        <v>-1</v>
      </c>
    </row>
    <row r="49" spans="1:26" s="28" customFormat="1" outlineLevel="1" collapsed="1" x14ac:dyDescent="0.25">
      <c r="A49" s="27"/>
      <c r="B49" s="14" t="str">
        <f>CONCATENATE("     ","General                                           ")</f>
        <v xml:space="preserve">     General                                           </v>
      </c>
      <c r="C49" s="14"/>
      <c r="D49" s="1">
        <f>SUM(OSRRefD22_7x_0)</f>
        <v>0</v>
      </c>
      <c r="E49" s="1"/>
      <c r="F49" s="5">
        <f t="shared" si="38"/>
        <v>0</v>
      </c>
      <c r="G49" s="1"/>
      <c r="H49" s="1">
        <f>SUM(OSRRefH22_7x_0)</f>
        <v>10.75</v>
      </c>
      <c r="I49" s="1"/>
      <c r="J49" s="5">
        <f t="shared" si="39"/>
        <v>3.4109691055042888E-4</v>
      </c>
      <c r="K49" s="1"/>
      <c r="L49" s="1">
        <f t="shared" si="40"/>
        <v>-10.75</v>
      </c>
      <c r="M49" s="1"/>
      <c r="N49" s="5">
        <f t="shared" si="41"/>
        <v>-1</v>
      </c>
      <c r="O49" s="14"/>
      <c r="P49" s="1">
        <f>SUM(OSRRefP22_7x_0)</f>
        <v>754.55</v>
      </c>
      <c r="Q49" s="1"/>
      <c r="R49" s="5">
        <f t="shared" si="42"/>
        <v>0</v>
      </c>
      <c r="S49" s="1"/>
      <c r="T49" s="1">
        <f>SUM(OSRRefT22_7x_0)</f>
        <v>751.05</v>
      </c>
      <c r="U49" s="1"/>
      <c r="V49" s="5">
        <f t="shared" si="43"/>
        <v>1.6324451988114153E-2</v>
      </c>
      <c r="W49" s="1"/>
      <c r="X49" s="1">
        <f t="shared" si="44"/>
        <v>3.5</v>
      </c>
      <c r="Y49" s="1"/>
      <c r="Z49" s="5">
        <f t="shared" si="45"/>
        <v>4.6601424672125698E-3</v>
      </c>
    </row>
    <row r="50" spans="1:26" s="24" customFormat="1" hidden="1" outlineLevel="2" x14ac:dyDescent="0.25">
      <c r="A50" s="29"/>
      <c r="B50" s="11" t="str">
        <f>CONCATENATE("          ", "6279", " - ", "GENERAL EXPENSE")</f>
        <v xml:space="preserve">          6279 - GENERAL EXPENSE</v>
      </c>
      <c r="C50" s="11"/>
      <c r="D50" s="7"/>
      <c r="E50" s="2"/>
      <c r="F50" s="6">
        <f t="shared" si="38"/>
        <v>0</v>
      </c>
      <c r="G50" s="2"/>
      <c r="H50" s="7">
        <v>10.75</v>
      </c>
      <c r="I50" s="2"/>
      <c r="J50" s="6">
        <f t="shared" si="39"/>
        <v>3.4109691055042888E-4</v>
      </c>
      <c r="K50" s="2"/>
      <c r="L50" s="7">
        <f t="shared" si="40"/>
        <v>-10.75</v>
      </c>
      <c r="M50" s="2"/>
      <c r="N50" s="6">
        <f t="shared" si="41"/>
        <v>-1</v>
      </c>
      <c r="O50" s="11"/>
      <c r="P50" s="7">
        <v>754.55</v>
      </c>
      <c r="Q50" s="2"/>
      <c r="R50" s="6">
        <f t="shared" si="42"/>
        <v>0</v>
      </c>
      <c r="S50" s="2"/>
      <c r="T50" s="7">
        <v>751.05</v>
      </c>
      <c r="U50" s="2"/>
      <c r="V50" s="6">
        <f t="shared" si="43"/>
        <v>1.6324451988114153E-2</v>
      </c>
      <c r="W50" s="2"/>
      <c r="X50" s="7">
        <f t="shared" si="44"/>
        <v>3.5</v>
      </c>
      <c r="Y50" s="2"/>
      <c r="Z50" s="6">
        <f t="shared" si="45"/>
        <v>4.6601424672125698E-3</v>
      </c>
    </row>
    <row r="51" spans="1:26" s="28" customFormat="1" outlineLevel="1" collapsed="1" x14ac:dyDescent="0.25">
      <c r="A51" s="27"/>
      <c r="B51" s="14" t="str">
        <f>CONCATENATE("     ","Insurance                                         ")</f>
        <v xml:space="preserve">     Insurance                                         </v>
      </c>
      <c r="C51" s="14"/>
      <c r="D51" s="1">
        <f>SUM(OSRRefD22_8x_0)</f>
        <v>243.54</v>
      </c>
      <c r="E51" s="1"/>
      <c r="F51" s="5">
        <f t="shared" si="38"/>
        <v>0</v>
      </c>
      <c r="G51" s="1"/>
      <c r="H51" s="1">
        <f>SUM(OSRRefH22_8x_0)</f>
        <v>243.54</v>
      </c>
      <c r="I51" s="1"/>
      <c r="J51" s="5">
        <f t="shared" si="39"/>
        <v>7.7275108460885065E-3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SUM(OSRRefP22_8x_0)</f>
        <v>487.08</v>
      </c>
      <c r="Q51" s="1"/>
      <c r="R51" s="5">
        <f t="shared" si="42"/>
        <v>0</v>
      </c>
      <c r="S51" s="1"/>
      <c r="T51" s="1">
        <f>SUM(OSRRefT22_8x_0)</f>
        <v>487.08</v>
      </c>
      <c r="U51" s="1"/>
      <c r="V51" s="5">
        <f t="shared" si="43"/>
        <v>1.0586930396605607E-2</v>
      </c>
      <c r="W51" s="1"/>
      <c r="X51" s="1">
        <f t="shared" si="44"/>
        <v>0</v>
      </c>
      <c r="Y51" s="1"/>
      <c r="Z51" s="5">
        <f t="shared" si="45"/>
        <v>0</v>
      </c>
    </row>
    <row r="52" spans="1:26" s="24" customFormat="1" hidden="1" outlineLevel="2" x14ac:dyDescent="0.25">
      <c r="A52" s="29"/>
      <c r="B52" s="11" t="str">
        <f>CONCATENATE("          ", "6314", " - ", "LIABILITY INSURANCE")</f>
        <v xml:space="preserve">          6314 - LIABILITY INSURANCE</v>
      </c>
      <c r="C52" s="11"/>
      <c r="D52" s="7">
        <v>243.54</v>
      </c>
      <c r="E52" s="2"/>
      <c r="F52" s="6">
        <f t="shared" si="38"/>
        <v>0</v>
      </c>
      <c r="G52" s="2"/>
      <c r="H52" s="7">
        <v>243.54</v>
      </c>
      <c r="I52" s="2"/>
      <c r="J52" s="6">
        <f t="shared" si="39"/>
        <v>7.7275108460885065E-3</v>
      </c>
      <c r="K52" s="2"/>
      <c r="L52" s="7">
        <f t="shared" si="40"/>
        <v>0</v>
      </c>
      <c r="M52" s="2"/>
      <c r="N52" s="6">
        <f t="shared" si="41"/>
        <v>0</v>
      </c>
      <c r="O52" s="11"/>
      <c r="P52" s="7">
        <v>487.08</v>
      </c>
      <c r="Q52" s="2"/>
      <c r="R52" s="6">
        <f t="shared" si="42"/>
        <v>0</v>
      </c>
      <c r="S52" s="2"/>
      <c r="T52" s="7">
        <v>487.08</v>
      </c>
      <c r="U52" s="2"/>
      <c r="V52" s="6">
        <f t="shared" si="43"/>
        <v>1.0586930396605607E-2</v>
      </c>
      <c r="W52" s="2"/>
      <c r="X52" s="7">
        <f t="shared" si="44"/>
        <v>0</v>
      </c>
      <c r="Y52" s="2"/>
      <c r="Z52" s="6">
        <f t="shared" si="45"/>
        <v>0</v>
      </c>
    </row>
    <row r="53" spans="1:26" s="28" customFormat="1" outlineLevel="1" collapsed="1" x14ac:dyDescent="0.25">
      <c r="A53" s="27"/>
      <c r="B53" s="14" t="str">
        <f>CONCATENATE("     ","Interest                                          ")</f>
        <v xml:space="preserve">     Interest                                          </v>
      </c>
      <c r="C53" s="14"/>
      <c r="D53" s="1">
        <f>SUM(OSRRefD22_9x_0)</f>
        <v>4044</v>
      </c>
      <c r="E53" s="1"/>
      <c r="F53" s="5">
        <f t="shared" si="38"/>
        <v>0</v>
      </c>
      <c r="G53" s="1"/>
      <c r="H53" s="1">
        <f>SUM(OSRRefH22_9x_0)</f>
        <v>4110</v>
      </c>
      <c r="I53" s="1"/>
      <c r="J53" s="5">
        <f t="shared" si="39"/>
        <v>0.13041007463835003</v>
      </c>
      <c r="K53" s="1"/>
      <c r="L53" s="1">
        <f t="shared" si="40"/>
        <v>-66</v>
      </c>
      <c r="M53" s="1"/>
      <c r="N53" s="5">
        <f t="shared" si="41"/>
        <v>-1.6058394160583942E-2</v>
      </c>
      <c r="O53" s="14"/>
      <c r="P53" s="1">
        <f>SUM(OSRRefP22_9x_0)</f>
        <v>8088</v>
      </c>
      <c r="Q53" s="1"/>
      <c r="R53" s="5">
        <f t="shared" si="42"/>
        <v>0</v>
      </c>
      <c r="S53" s="1"/>
      <c r="T53" s="1">
        <f>SUM(OSRRefT22_9x_0)</f>
        <v>8220</v>
      </c>
      <c r="U53" s="1"/>
      <c r="V53" s="5">
        <f t="shared" si="43"/>
        <v>0.17866586158351422</v>
      </c>
      <c r="W53" s="1"/>
      <c r="X53" s="1">
        <f t="shared" si="44"/>
        <v>-132</v>
      </c>
      <c r="Y53" s="1"/>
      <c r="Z53" s="5">
        <f t="shared" si="45"/>
        <v>-1.6058394160583942E-2</v>
      </c>
    </row>
    <row r="54" spans="1:26" s="24" customFormat="1" hidden="1" outlineLevel="2" x14ac:dyDescent="0.25">
      <c r="A54" s="29"/>
      <c r="B54" s="11" t="str">
        <f>CONCATENATE("          ", "6401", " - ", "INTEREST EXPENSE")</f>
        <v xml:space="preserve">          6401 - INTEREST EXPENSE</v>
      </c>
      <c r="C54" s="11"/>
      <c r="D54" s="7">
        <v>4044</v>
      </c>
      <c r="E54" s="2"/>
      <c r="F54" s="6">
        <f t="shared" si="38"/>
        <v>0</v>
      </c>
      <c r="G54" s="2"/>
      <c r="H54" s="7">
        <v>4110</v>
      </c>
      <c r="I54" s="2"/>
      <c r="J54" s="6">
        <f t="shared" si="39"/>
        <v>0.13041007463835003</v>
      </c>
      <c r="K54" s="2"/>
      <c r="L54" s="7">
        <f t="shared" si="40"/>
        <v>-66</v>
      </c>
      <c r="M54" s="2"/>
      <c r="N54" s="6">
        <f t="shared" si="41"/>
        <v>-1.6058394160583942E-2</v>
      </c>
      <c r="O54" s="11"/>
      <c r="P54" s="7">
        <v>8088</v>
      </c>
      <c r="Q54" s="2"/>
      <c r="R54" s="6">
        <f t="shared" si="42"/>
        <v>0</v>
      </c>
      <c r="S54" s="2"/>
      <c r="T54" s="7">
        <v>8220</v>
      </c>
      <c r="U54" s="2"/>
      <c r="V54" s="6">
        <f t="shared" si="43"/>
        <v>0.17866586158351422</v>
      </c>
      <c r="W54" s="2"/>
      <c r="X54" s="7">
        <f t="shared" si="44"/>
        <v>-132</v>
      </c>
      <c r="Y54" s="2"/>
      <c r="Z54" s="6">
        <f t="shared" si="45"/>
        <v>-1.6058394160583942E-2</v>
      </c>
    </row>
    <row r="55" spans="1:26" s="28" customFormat="1" outlineLevel="1" collapsed="1" x14ac:dyDescent="0.25">
      <c r="A55" s="27"/>
      <c r="B55" s="14" t="str">
        <f>CONCATENATE("     ","Repair and Maintenance                            ")</f>
        <v xml:space="preserve">     Repair and Maintenance                            </v>
      </c>
      <c r="C55" s="14"/>
      <c r="D55" s="1">
        <f>SUM(OSRRefD22_10x_0)</f>
        <v>78.599999999999994</v>
      </c>
      <c r="E55" s="1"/>
      <c r="F55" s="5">
        <f t="shared" si="38"/>
        <v>0</v>
      </c>
      <c r="G55" s="1"/>
      <c r="H55" s="1">
        <f>SUM(OSRRefH22_10x_0)</f>
        <v>75.27</v>
      </c>
      <c r="I55" s="1"/>
      <c r="J55" s="5">
        <f t="shared" si="39"/>
        <v>2.3883129727563517E-3</v>
      </c>
      <c r="K55" s="1"/>
      <c r="L55" s="1">
        <f t="shared" si="40"/>
        <v>3.3299999999999983</v>
      </c>
      <c r="M55" s="1"/>
      <c r="N55" s="5">
        <f t="shared" si="41"/>
        <v>4.4240733359904326E-2</v>
      </c>
      <c r="O55" s="14"/>
      <c r="P55" s="1">
        <f>SUM(OSRRefP22_10x_0)</f>
        <v>78.599999999999994</v>
      </c>
      <c r="Q55" s="1"/>
      <c r="R55" s="5">
        <f t="shared" si="42"/>
        <v>0</v>
      </c>
      <c r="S55" s="1"/>
      <c r="T55" s="1">
        <f>SUM(OSRRefT22_10x_0)</f>
        <v>75.27</v>
      </c>
      <c r="U55" s="1"/>
      <c r="V55" s="5">
        <f t="shared" si="43"/>
        <v>1.6360315573468508E-3</v>
      </c>
      <c r="W55" s="1"/>
      <c r="X55" s="1">
        <f t="shared" si="44"/>
        <v>3.3299999999999983</v>
      </c>
      <c r="Y55" s="1"/>
      <c r="Z55" s="5">
        <f t="shared" si="45"/>
        <v>4.4240733359904326E-2</v>
      </c>
    </row>
    <row r="56" spans="1:26" s="24" customFormat="1" hidden="1" outlineLevel="2" x14ac:dyDescent="0.25">
      <c r="A56" s="29"/>
      <c r="B56" s="11" t="str">
        <f>CONCATENATE("          ", "6373", " - ", "MAINTENANCE CONTRACTS")</f>
        <v xml:space="preserve">          6373 - MAINTENANCE CONTRACTS</v>
      </c>
      <c r="C56" s="11"/>
      <c r="D56" s="7">
        <v>78.599999999999994</v>
      </c>
      <c r="E56" s="2"/>
      <c r="F56" s="6">
        <f t="shared" si="38"/>
        <v>0</v>
      </c>
      <c r="G56" s="2"/>
      <c r="H56" s="7"/>
      <c r="I56" s="2"/>
      <c r="J56" s="6">
        <f t="shared" si="39"/>
        <v>0</v>
      </c>
      <c r="K56" s="2"/>
      <c r="L56" s="7">
        <f t="shared" si="40"/>
        <v>78.599999999999994</v>
      </c>
      <c r="M56" s="2"/>
      <c r="N56" s="6">
        <f t="shared" si="41"/>
        <v>0</v>
      </c>
      <c r="O56" s="11"/>
      <c r="P56" s="7">
        <v>78.599999999999994</v>
      </c>
      <c r="Q56" s="2"/>
      <c r="R56" s="6">
        <f t="shared" si="42"/>
        <v>0</v>
      </c>
      <c r="S56" s="2"/>
      <c r="T56" s="7"/>
      <c r="U56" s="2"/>
      <c r="V56" s="6">
        <f t="shared" si="43"/>
        <v>0</v>
      </c>
      <c r="W56" s="2"/>
      <c r="X56" s="7">
        <f t="shared" si="44"/>
        <v>78.599999999999994</v>
      </c>
      <c r="Y56" s="2"/>
      <c r="Z56" s="6">
        <f t="shared" si="45"/>
        <v>0</v>
      </c>
    </row>
    <row r="57" spans="1:26" s="24" customFormat="1" hidden="1" outlineLevel="2" x14ac:dyDescent="0.25">
      <c r="A57" s="29"/>
      <c r="B57" s="11" t="str">
        <f>CONCATENATE("          ", "6375", " - ", "OUTSIDE REPAIRS &amp; MAINTENANCE")</f>
        <v xml:space="preserve">          6375 - OUTSIDE REPAIRS &amp; MAINTENANCE</v>
      </c>
      <c r="C57" s="11"/>
      <c r="D57" s="7"/>
      <c r="E57" s="2"/>
      <c r="F57" s="6">
        <f t="shared" si="38"/>
        <v>0</v>
      </c>
      <c r="G57" s="2"/>
      <c r="H57" s="7">
        <v>75.27</v>
      </c>
      <c r="I57" s="2"/>
      <c r="J57" s="6">
        <f t="shared" si="39"/>
        <v>2.3883129727563517E-3</v>
      </c>
      <c r="K57" s="2"/>
      <c r="L57" s="7">
        <f t="shared" si="40"/>
        <v>-75.27</v>
      </c>
      <c r="M57" s="2"/>
      <c r="N57" s="6">
        <f t="shared" si="41"/>
        <v>-1</v>
      </c>
      <c r="O57" s="11"/>
      <c r="P57" s="7"/>
      <c r="Q57" s="2"/>
      <c r="R57" s="6">
        <f t="shared" si="42"/>
        <v>0</v>
      </c>
      <c r="S57" s="2"/>
      <c r="T57" s="7">
        <v>75.27</v>
      </c>
      <c r="U57" s="2"/>
      <c r="V57" s="6">
        <f t="shared" si="43"/>
        <v>1.6360315573468508E-3</v>
      </c>
      <c r="W57" s="2"/>
      <c r="X57" s="7">
        <f t="shared" si="44"/>
        <v>-75.27</v>
      </c>
      <c r="Y57" s="2"/>
      <c r="Z57" s="6">
        <f t="shared" si="45"/>
        <v>-1</v>
      </c>
    </row>
    <row r="58" spans="1:26" s="28" customFormat="1" outlineLevel="1" collapsed="1" x14ac:dyDescent="0.25">
      <c r="A58" s="27"/>
      <c r="B58" s="14" t="str">
        <f>CONCATENATE("     ","Services                                          ")</f>
        <v xml:space="preserve">     Services                                          </v>
      </c>
      <c r="C58" s="14"/>
      <c r="D58" s="1">
        <f>SUM(OSRRefD22_11x_0)</f>
        <v>0</v>
      </c>
      <c r="E58" s="1"/>
      <c r="F58" s="5">
        <f t="shared" ref="F58:F61" si="46">IF(D$12=0,0,D58/D$12)</f>
        <v>0</v>
      </c>
      <c r="G58" s="1"/>
      <c r="H58" s="1">
        <f>SUM(OSRRefH22_11x_0)</f>
        <v>299.39</v>
      </c>
      <c r="I58" s="1"/>
      <c r="J58" s="5">
        <f t="shared" ref="J58:J61" si="47">IF(H$12=0,0,H58/H$12)</f>
        <v>9.4996282836923625E-3</v>
      </c>
      <c r="K58" s="1"/>
      <c r="L58" s="1">
        <f t="shared" ref="L58:L61" si="48">+D58-H58</f>
        <v>-299.39</v>
      </c>
      <c r="M58" s="1"/>
      <c r="N58" s="5">
        <f t="shared" ref="N58:N61" si="49">IF(H58=0,0,L58/H58)</f>
        <v>-1</v>
      </c>
      <c r="O58" s="14"/>
      <c r="P58" s="1">
        <f>SUM(OSRRefP22_11x_0)</f>
        <v>0</v>
      </c>
      <c r="Q58" s="1"/>
      <c r="R58" s="5">
        <f t="shared" ref="R58:R61" si="50">IF(P$12=0,0,P58/P$12)</f>
        <v>0</v>
      </c>
      <c r="S58" s="1"/>
      <c r="T58" s="1">
        <f>SUM(OSRRefT22_11x_0)</f>
        <v>736.1</v>
      </c>
      <c r="U58" s="1"/>
      <c r="V58" s="5">
        <f t="shared" ref="V58:V61" si="51">IF(T$12=0,0,T58/T$12)</f>
        <v>1.5999506169297423E-2</v>
      </c>
      <c r="W58" s="1"/>
      <c r="X58" s="1">
        <f t="shared" ref="X58:X61" si="52">+P58-T58</f>
        <v>-736.1</v>
      </c>
      <c r="Y58" s="1"/>
      <c r="Z58" s="5">
        <f t="shared" ref="Z58:Z61" si="53">IF(T58=0,0,X58/T58)</f>
        <v>-1</v>
      </c>
    </row>
    <row r="59" spans="1:26" s="24" customFormat="1" hidden="1" outlineLevel="2" x14ac:dyDescent="0.25">
      <c r="A59" s="29"/>
      <c r="B59" s="11" t="str">
        <f>CONCATENATE("          ", "6282", " - ", "JANITORIAL/EXTERMINATOR EXPENS")</f>
        <v xml:space="preserve">          6282 - JANITORIAL/EXTERMINATOR EXPENS</v>
      </c>
      <c r="C59" s="11"/>
      <c r="D59" s="7"/>
      <c r="E59" s="2"/>
      <c r="F59" s="6">
        <f t="shared" si="46"/>
        <v>0</v>
      </c>
      <c r="G59" s="2"/>
      <c r="H59" s="7">
        <v>157.35</v>
      </c>
      <c r="I59" s="2"/>
      <c r="J59" s="6">
        <f t="shared" si="47"/>
        <v>4.9927068721032537E-3</v>
      </c>
      <c r="K59" s="2"/>
      <c r="L59" s="7">
        <f t="shared" si="48"/>
        <v>-157.35</v>
      </c>
      <c r="M59" s="2"/>
      <c r="N59" s="6">
        <f t="shared" si="49"/>
        <v>-1</v>
      </c>
      <c r="O59" s="11"/>
      <c r="P59" s="7"/>
      <c r="Q59" s="2"/>
      <c r="R59" s="6">
        <f t="shared" si="50"/>
        <v>0</v>
      </c>
      <c r="S59" s="2"/>
      <c r="T59" s="7">
        <v>314.7</v>
      </c>
      <c r="U59" s="2"/>
      <c r="V59" s="6">
        <f t="shared" si="51"/>
        <v>6.8401638248578979E-3</v>
      </c>
      <c r="W59" s="2"/>
      <c r="X59" s="7">
        <f t="shared" si="52"/>
        <v>-314.7</v>
      </c>
      <c r="Y59" s="2"/>
      <c r="Z59" s="6">
        <f t="shared" si="53"/>
        <v>-1</v>
      </c>
    </row>
    <row r="60" spans="1:26" s="24" customFormat="1" hidden="1" outlineLevel="2" x14ac:dyDescent="0.25">
      <c r="A60" s="29"/>
      <c r="B60" s="11" t="str">
        <f>CONCATENATE("          ", "6284", " - ", "TRASH REMOVAL EXPENSE")</f>
        <v xml:space="preserve">          6284 - TRASH REMOVAL EXPENSE</v>
      </c>
      <c r="C60" s="11"/>
      <c r="D60" s="7"/>
      <c r="E60" s="2"/>
      <c r="F60" s="6">
        <f t="shared" si="46"/>
        <v>0</v>
      </c>
      <c r="G60" s="2"/>
      <c r="H60" s="7"/>
      <c r="I60" s="2"/>
      <c r="J60" s="6">
        <f t="shared" si="47"/>
        <v>0</v>
      </c>
      <c r="K60" s="2"/>
      <c r="L60" s="7">
        <f t="shared" si="48"/>
        <v>0</v>
      </c>
      <c r="M60" s="2"/>
      <c r="N60" s="6">
        <f t="shared" si="49"/>
        <v>0</v>
      </c>
      <c r="O60" s="11"/>
      <c r="P60" s="7"/>
      <c r="Q60" s="2"/>
      <c r="R60" s="6">
        <f t="shared" si="50"/>
        <v>0</v>
      </c>
      <c r="S60" s="2"/>
      <c r="T60" s="7">
        <v>237</v>
      </c>
      <c r="U60" s="2"/>
      <c r="V60" s="6">
        <f t="shared" si="51"/>
        <v>5.1513149872619056E-3</v>
      </c>
      <c r="W60" s="2"/>
      <c r="X60" s="7">
        <f t="shared" si="52"/>
        <v>-237</v>
      </c>
      <c r="Y60" s="2"/>
      <c r="Z60" s="6">
        <f t="shared" si="53"/>
        <v>-1</v>
      </c>
    </row>
    <row r="61" spans="1:26" s="24" customFormat="1" hidden="1" outlineLevel="2" x14ac:dyDescent="0.25">
      <c r="A61" s="29"/>
      <c r="B61" s="11" t="str">
        <f>CONCATENATE("          ", "6286", " - ", "LAUNDRY EXPENSE")</f>
        <v xml:space="preserve">          6286 - LAUNDRY EXPENSE</v>
      </c>
      <c r="C61" s="11"/>
      <c r="D61" s="7"/>
      <c r="E61" s="2"/>
      <c r="F61" s="6">
        <f t="shared" si="46"/>
        <v>0</v>
      </c>
      <c r="G61" s="2"/>
      <c r="H61" s="7">
        <v>142.04</v>
      </c>
      <c r="I61" s="2"/>
      <c r="J61" s="6">
        <f t="shared" si="47"/>
        <v>4.506921411589108E-3</v>
      </c>
      <c r="K61" s="2"/>
      <c r="L61" s="7">
        <f t="shared" si="48"/>
        <v>-142.04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184.4</v>
      </c>
      <c r="U61" s="2"/>
      <c r="V61" s="6">
        <f t="shared" si="51"/>
        <v>4.0080273571776182E-3</v>
      </c>
      <c r="W61" s="2"/>
      <c r="X61" s="7">
        <f t="shared" si="52"/>
        <v>-184.4</v>
      </c>
      <c r="Y61" s="2"/>
      <c r="Z61" s="6">
        <f t="shared" si="53"/>
        <v>-1</v>
      </c>
    </row>
    <row r="62" spans="1:26" s="28" customFormat="1" outlineLevel="1" collapsed="1" x14ac:dyDescent="0.25">
      <c r="A62" s="27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0</v>
      </c>
      <c r="E62" s="1"/>
      <c r="F62" s="5">
        <f t="shared" ref="F62:F68" si="54">IF(D$12=0,0,D62/D$12)</f>
        <v>0</v>
      </c>
      <c r="G62" s="1"/>
      <c r="H62" s="1">
        <f>SUM(OSRRefH22_12x_0)</f>
        <v>176.4</v>
      </c>
      <c r="I62" s="1"/>
      <c r="J62" s="5">
        <f t="shared" ref="J62:J68" si="55">IF(H$12=0,0,H62/H$12)</f>
        <v>5.5971623275437822E-3</v>
      </c>
      <c r="K62" s="1"/>
      <c r="L62" s="1">
        <f t="shared" ref="L62:L68" si="56">+D62-H62</f>
        <v>-176.4</v>
      </c>
      <c r="M62" s="1"/>
      <c r="N62" s="5">
        <f t="shared" ref="N62:N68" si="57">IF(H62=0,0,L62/H62)</f>
        <v>-1</v>
      </c>
      <c r="O62" s="14"/>
      <c r="P62" s="1">
        <f>SUM(OSRRefP22_12x_0)</f>
        <v>0</v>
      </c>
      <c r="Q62" s="1"/>
      <c r="R62" s="5">
        <f t="shared" ref="R62:R68" si="58">IF(P$12=0,0,P62/P$12)</f>
        <v>0</v>
      </c>
      <c r="S62" s="1"/>
      <c r="T62" s="1">
        <f>SUM(OSRRefT22_12x_0)</f>
        <v>352.8</v>
      </c>
      <c r="U62" s="1"/>
      <c r="V62" s="5">
        <f t="shared" ref="V62:V68" si="59">IF(T$12=0,0,T62/T$12)</f>
        <v>7.6682866139493695E-3</v>
      </c>
      <c r="W62" s="1"/>
      <c r="X62" s="1">
        <f t="shared" ref="X62:X68" si="60">+P62-T62</f>
        <v>-352.8</v>
      </c>
      <c r="Y62" s="1"/>
      <c r="Z62" s="5">
        <f t="shared" ref="Z62:Z68" si="61">IF(T62=0,0,X62/T62)</f>
        <v>-1</v>
      </c>
    </row>
    <row r="63" spans="1:26" s="24" customFormat="1" hidden="1" outlineLevel="2" x14ac:dyDescent="0.25">
      <c r="A63" s="29"/>
      <c r="B63" s="11" t="str">
        <f>CONCATENATE("          ", "6275", " - ", "SUBSCRIPTIONS")</f>
        <v xml:space="preserve">          6275 - SUBSCRIPTIONS</v>
      </c>
      <c r="C63" s="11"/>
      <c r="D63" s="7"/>
      <c r="E63" s="2"/>
      <c r="F63" s="6">
        <f t="shared" si="54"/>
        <v>0</v>
      </c>
      <c r="G63" s="2"/>
      <c r="H63" s="7">
        <v>176.4</v>
      </c>
      <c r="I63" s="2"/>
      <c r="J63" s="6">
        <f t="shared" si="55"/>
        <v>5.5971623275437822E-3</v>
      </c>
      <c r="K63" s="2"/>
      <c r="L63" s="7">
        <f t="shared" si="56"/>
        <v>-176.4</v>
      </c>
      <c r="M63" s="2"/>
      <c r="N63" s="6">
        <f t="shared" si="57"/>
        <v>-1</v>
      </c>
      <c r="O63" s="11"/>
      <c r="P63" s="7"/>
      <c r="Q63" s="2"/>
      <c r="R63" s="6">
        <f t="shared" si="58"/>
        <v>0</v>
      </c>
      <c r="S63" s="2"/>
      <c r="T63" s="7">
        <v>352.8</v>
      </c>
      <c r="U63" s="2"/>
      <c r="V63" s="6">
        <f t="shared" si="59"/>
        <v>7.6682866139493695E-3</v>
      </c>
      <c r="W63" s="2"/>
      <c r="X63" s="7">
        <f t="shared" si="60"/>
        <v>-352.8</v>
      </c>
      <c r="Y63" s="2"/>
      <c r="Z63" s="6">
        <f t="shared" si="61"/>
        <v>-1</v>
      </c>
    </row>
    <row r="64" spans="1:26" s="28" customFormat="1" outlineLevel="1" collapsed="1" x14ac:dyDescent="0.25">
      <c r="A64" s="27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0</v>
      </c>
      <c r="E64" s="1"/>
      <c r="F64" s="5">
        <f t="shared" si="54"/>
        <v>0</v>
      </c>
      <c r="G64" s="1"/>
      <c r="H64" s="1">
        <f>SUM(OSRRefH22_13x_0)</f>
        <v>972.26</v>
      </c>
      <c r="I64" s="1"/>
      <c r="J64" s="5">
        <f t="shared" si="55"/>
        <v>3.0849756488535812E-2</v>
      </c>
      <c r="K64" s="1"/>
      <c r="L64" s="1">
        <f t="shared" si="56"/>
        <v>-972.26</v>
      </c>
      <c r="M64" s="1"/>
      <c r="N64" s="5">
        <f t="shared" si="57"/>
        <v>-1</v>
      </c>
      <c r="O64" s="14"/>
      <c r="P64" s="1">
        <f>SUM(OSRRefP22_13x_0)</f>
        <v>0</v>
      </c>
      <c r="Q64" s="1"/>
      <c r="R64" s="5">
        <f t="shared" si="58"/>
        <v>0</v>
      </c>
      <c r="S64" s="1"/>
      <c r="T64" s="1">
        <f>SUM(OSRRefT22_13x_0)</f>
        <v>1249.17</v>
      </c>
      <c r="U64" s="1"/>
      <c r="V64" s="5">
        <f t="shared" si="59"/>
        <v>2.7151342373999812E-2</v>
      </c>
      <c r="W64" s="1"/>
      <c r="X64" s="1">
        <f t="shared" si="60"/>
        <v>-1249.17</v>
      </c>
      <c r="Y64" s="1"/>
      <c r="Z64" s="5">
        <f t="shared" si="61"/>
        <v>-1</v>
      </c>
    </row>
    <row r="65" spans="1:26" s="24" customFormat="1" hidden="1" outlineLevel="2" x14ac:dyDescent="0.25">
      <c r="A65" s="29"/>
      <c r="B65" s="11" t="str">
        <f>CONCATENATE("          ", "6237", " - ", "JANITORIAL SUPPLIES")</f>
        <v xml:space="preserve">          6237 - JANITORIAL SUPPLIES</v>
      </c>
      <c r="C65" s="11"/>
      <c r="D65" s="7"/>
      <c r="E65" s="2"/>
      <c r="F65" s="6">
        <f t="shared" si="54"/>
        <v>0</v>
      </c>
      <c r="G65" s="2"/>
      <c r="H65" s="7">
        <v>237.5</v>
      </c>
      <c r="I65" s="2"/>
      <c r="J65" s="6">
        <f t="shared" si="55"/>
        <v>7.535861977276917E-3</v>
      </c>
      <c r="K65" s="2"/>
      <c r="L65" s="7">
        <f t="shared" si="56"/>
        <v>-237.5</v>
      </c>
      <c r="M65" s="2"/>
      <c r="N65" s="6">
        <f t="shared" si="57"/>
        <v>-1</v>
      </c>
      <c r="O65" s="11"/>
      <c r="P65" s="7"/>
      <c r="Q65" s="2"/>
      <c r="R65" s="6">
        <f t="shared" si="58"/>
        <v>0</v>
      </c>
      <c r="S65" s="2"/>
      <c r="T65" s="7">
        <v>237.5</v>
      </c>
      <c r="U65" s="2"/>
      <c r="V65" s="6">
        <f t="shared" si="59"/>
        <v>5.1621827403995893E-3</v>
      </c>
      <c r="W65" s="2"/>
      <c r="X65" s="7">
        <f t="shared" si="60"/>
        <v>-237.5</v>
      </c>
      <c r="Y65" s="2"/>
      <c r="Z65" s="6">
        <f t="shared" si="61"/>
        <v>-1</v>
      </c>
    </row>
    <row r="66" spans="1:26" s="24" customFormat="1" hidden="1" outlineLevel="2" x14ac:dyDescent="0.25">
      <c r="A66" s="29"/>
      <c r="B66" s="11" t="str">
        <f>CONCATENATE("          ", "6241", " - ", "OFFICE EXPENSE")</f>
        <v xml:space="preserve">          6241 - OFFICE EXPENSE</v>
      </c>
      <c r="C66" s="11"/>
      <c r="D66" s="7"/>
      <c r="E66" s="2"/>
      <c r="F66" s="6">
        <f t="shared" si="54"/>
        <v>0</v>
      </c>
      <c r="G66" s="2"/>
      <c r="H66" s="7">
        <v>206.43</v>
      </c>
      <c r="I66" s="2"/>
      <c r="J66" s="6">
        <f t="shared" si="55"/>
        <v>6.5500125809232592E-3</v>
      </c>
      <c r="K66" s="2"/>
      <c r="L66" s="7">
        <f t="shared" si="56"/>
        <v>-206.43</v>
      </c>
      <c r="M66" s="2"/>
      <c r="N66" s="6">
        <f t="shared" si="57"/>
        <v>-1</v>
      </c>
      <c r="O66" s="11"/>
      <c r="P66" s="7"/>
      <c r="Q66" s="2"/>
      <c r="R66" s="6">
        <f t="shared" si="58"/>
        <v>0</v>
      </c>
      <c r="S66" s="2"/>
      <c r="T66" s="7">
        <v>206.43</v>
      </c>
      <c r="U66" s="2"/>
      <c r="V66" s="6">
        <f t="shared" si="59"/>
        <v>4.4868605604239465E-3</v>
      </c>
      <c r="W66" s="2"/>
      <c r="X66" s="7">
        <f t="shared" si="60"/>
        <v>-206.43</v>
      </c>
      <c r="Y66" s="2"/>
      <c r="Z66" s="6">
        <f t="shared" si="61"/>
        <v>-1</v>
      </c>
    </row>
    <row r="67" spans="1:26" s="24" customFormat="1" hidden="1" outlineLevel="2" x14ac:dyDescent="0.25">
      <c r="A67" s="29"/>
      <c r="B67" s="11" t="str">
        <f>CONCATENATE("          ", "6243", " - ", "PAPER SUPPLIES")</f>
        <v xml:space="preserve">          6243 - PAPER SUPPLIES</v>
      </c>
      <c r="C67" s="11"/>
      <c r="D67" s="7"/>
      <c r="E67" s="2"/>
      <c r="F67" s="6">
        <f t="shared" si="54"/>
        <v>0</v>
      </c>
      <c r="G67" s="2"/>
      <c r="H67" s="7">
        <v>193.05</v>
      </c>
      <c r="I67" s="2"/>
      <c r="J67" s="6">
        <f t="shared" si="55"/>
        <v>6.1254659145823535E-3</v>
      </c>
      <c r="K67" s="2"/>
      <c r="L67" s="7">
        <f t="shared" si="56"/>
        <v>-193.05</v>
      </c>
      <c r="M67" s="2"/>
      <c r="N67" s="6">
        <f t="shared" si="57"/>
        <v>-1</v>
      </c>
      <c r="O67" s="11"/>
      <c r="P67" s="7"/>
      <c r="Q67" s="2"/>
      <c r="R67" s="6">
        <f t="shared" si="58"/>
        <v>0</v>
      </c>
      <c r="S67" s="2"/>
      <c r="T67" s="7">
        <v>193.05</v>
      </c>
      <c r="U67" s="2"/>
      <c r="V67" s="6">
        <f t="shared" si="59"/>
        <v>4.1960394864595397E-3</v>
      </c>
      <c r="W67" s="2"/>
      <c r="X67" s="7">
        <f t="shared" si="60"/>
        <v>-193.05</v>
      </c>
      <c r="Y67" s="2"/>
      <c r="Z67" s="6">
        <f t="shared" si="61"/>
        <v>-1</v>
      </c>
    </row>
    <row r="68" spans="1:26" s="24" customFormat="1" hidden="1" outlineLevel="2" x14ac:dyDescent="0.25">
      <c r="A68" s="29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54"/>
        <v>0</v>
      </c>
      <c r="G68" s="2"/>
      <c r="H68" s="7">
        <v>335.28</v>
      </c>
      <c r="I68" s="2"/>
      <c r="J68" s="6">
        <f t="shared" si="55"/>
        <v>1.0638416015753282E-2</v>
      </c>
      <c r="K68" s="2"/>
      <c r="L68" s="7">
        <f t="shared" si="56"/>
        <v>-335.28</v>
      </c>
      <c r="M68" s="2"/>
      <c r="N68" s="6">
        <f t="shared" si="57"/>
        <v>-1</v>
      </c>
      <c r="O68" s="11"/>
      <c r="P68" s="7"/>
      <c r="Q68" s="2"/>
      <c r="R68" s="6">
        <f t="shared" si="58"/>
        <v>0</v>
      </c>
      <c r="S68" s="2"/>
      <c r="T68" s="7">
        <v>612.19000000000005</v>
      </c>
      <c r="U68" s="2"/>
      <c r="V68" s="6">
        <f t="shared" si="59"/>
        <v>1.3306259586716737E-2</v>
      </c>
      <c r="W68" s="2"/>
      <c r="X68" s="7">
        <f t="shared" si="60"/>
        <v>-612.19000000000005</v>
      </c>
      <c r="Y68" s="2"/>
      <c r="Z68" s="6">
        <f t="shared" si="61"/>
        <v>-1</v>
      </c>
    </row>
    <row r="69" spans="1:26" s="28" customFormat="1" outlineLevel="1" collapsed="1" x14ac:dyDescent="0.25">
      <c r="A69" s="27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SUM(OSRRefD22_14x_0)</f>
        <v>38</v>
      </c>
      <c r="E69" s="1"/>
      <c r="F69" s="5">
        <f t="shared" ref="F69:F72" si="62">IF(D$12=0,0,D69/D$12)</f>
        <v>0</v>
      </c>
      <c r="G69" s="1"/>
      <c r="H69" s="1">
        <f>SUM(OSRRefH22_14x_0)</f>
        <v>40.200000000000003</v>
      </c>
      <c r="I69" s="1"/>
      <c r="J69" s="5">
        <f t="shared" ref="J69:J72" si="63">IF(H$12=0,0,H69/H$12)</f>
        <v>1.2755437957327666E-3</v>
      </c>
      <c r="K69" s="1"/>
      <c r="L69" s="1">
        <f t="shared" ref="L69:L72" si="64">+D69-H69</f>
        <v>-2.2000000000000028</v>
      </c>
      <c r="M69" s="1"/>
      <c r="N69" s="5">
        <f t="shared" ref="N69:N72" si="65">IF(H69=0,0,L69/H69)</f>
        <v>-5.472636815920405E-2</v>
      </c>
      <c r="O69" s="14"/>
      <c r="P69" s="1">
        <f>SUM(OSRRefP22_14x_0)</f>
        <v>76</v>
      </c>
      <c r="Q69" s="1"/>
      <c r="R69" s="5">
        <f t="shared" ref="R69:R72" si="66">IF(P$12=0,0,P69/P$12)</f>
        <v>0</v>
      </c>
      <c r="S69" s="1"/>
      <c r="T69" s="1">
        <f>SUM(OSRRefT22_14x_0)</f>
        <v>77.45</v>
      </c>
      <c r="U69" s="1"/>
      <c r="V69" s="5">
        <f t="shared" ref="V69:V72" si="67">IF(T$12=0,0,T69/T$12)</f>
        <v>1.6834149610271503E-3</v>
      </c>
      <c r="W69" s="1"/>
      <c r="X69" s="1">
        <f t="shared" ref="X69:X72" si="68">+P69-T69</f>
        <v>-1.4500000000000028</v>
      </c>
      <c r="Y69" s="1"/>
      <c r="Z69" s="5">
        <f t="shared" ref="Z69:Z72" si="69">IF(T69=0,0,X69/T69)</f>
        <v>-1.8721755971594613E-2</v>
      </c>
    </row>
    <row r="70" spans="1:26" s="24" customFormat="1" hidden="1" outlineLevel="2" x14ac:dyDescent="0.25">
      <c r="A70" s="29"/>
      <c r="B70" s="11" t="str">
        <f>CONCATENATE("          ", "6309", " - ", "TELEPHONE")</f>
        <v xml:space="preserve">          6309 - TELEPHONE</v>
      </c>
      <c r="C70" s="11"/>
      <c r="D70" s="7">
        <v>38</v>
      </c>
      <c r="E70" s="2"/>
      <c r="F70" s="6">
        <f t="shared" si="62"/>
        <v>0</v>
      </c>
      <c r="G70" s="2"/>
      <c r="H70" s="7">
        <v>40.200000000000003</v>
      </c>
      <c r="I70" s="2"/>
      <c r="J70" s="6">
        <f t="shared" si="63"/>
        <v>1.2755437957327666E-3</v>
      </c>
      <c r="K70" s="2"/>
      <c r="L70" s="7">
        <f t="shared" si="64"/>
        <v>-2.2000000000000028</v>
      </c>
      <c r="M70" s="2"/>
      <c r="N70" s="6">
        <f t="shared" si="65"/>
        <v>-5.472636815920405E-2</v>
      </c>
      <c r="O70" s="11"/>
      <c r="P70" s="7">
        <v>76</v>
      </c>
      <c r="Q70" s="2"/>
      <c r="R70" s="6">
        <f t="shared" si="66"/>
        <v>0</v>
      </c>
      <c r="S70" s="2"/>
      <c r="T70" s="7">
        <v>77.45</v>
      </c>
      <c r="U70" s="2"/>
      <c r="V70" s="6">
        <f t="shared" si="67"/>
        <v>1.6834149610271503E-3</v>
      </c>
      <c r="W70" s="2"/>
      <c r="X70" s="7">
        <f t="shared" si="68"/>
        <v>-1.4500000000000028</v>
      </c>
      <c r="Y70" s="2"/>
      <c r="Z70" s="6">
        <f t="shared" si="69"/>
        <v>-1.8721755971594613E-2</v>
      </c>
    </row>
    <row r="71" spans="1:26" s="28" customFormat="1" outlineLevel="1" collapsed="1" x14ac:dyDescent="0.25">
      <c r="A71" s="27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SUM(OSRRefD22_15x_0)</f>
        <v>0</v>
      </c>
      <c r="E71" s="1"/>
      <c r="F71" s="5">
        <f t="shared" si="62"/>
        <v>0</v>
      </c>
      <c r="G71" s="1"/>
      <c r="H71" s="1">
        <f>SUM(OSRRefH22_15x_0)</f>
        <v>0</v>
      </c>
      <c r="I71" s="1"/>
      <c r="J71" s="5">
        <f t="shared" si="63"/>
        <v>0</v>
      </c>
      <c r="K71" s="1"/>
      <c r="L71" s="1">
        <f t="shared" si="64"/>
        <v>0</v>
      </c>
      <c r="M71" s="1"/>
      <c r="N71" s="5">
        <f t="shared" si="65"/>
        <v>0</v>
      </c>
      <c r="O71" s="14"/>
      <c r="P71" s="1">
        <f>SUM(OSRRefP22_15x_0)</f>
        <v>0</v>
      </c>
      <c r="Q71" s="1"/>
      <c r="R71" s="5">
        <f t="shared" si="66"/>
        <v>0</v>
      </c>
      <c r="S71" s="1"/>
      <c r="T71" s="1">
        <f>SUM(OSRRefT22_15x_0)</f>
        <v>771</v>
      </c>
      <c r="U71" s="1"/>
      <c r="V71" s="5">
        <f t="shared" si="67"/>
        <v>1.6758075338307719E-2</v>
      </c>
      <c r="W71" s="1"/>
      <c r="X71" s="1">
        <f t="shared" si="68"/>
        <v>-771</v>
      </c>
      <c r="Y71" s="1"/>
      <c r="Z71" s="5">
        <f t="shared" si="69"/>
        <v>-1</v>
      </c>
    </row>
    <row r="72" spans="1:26" s="24" customFormat="1" hidden="1" outlineLevel="2" x14ac:dyDescent="0.25">
      <c r="A72" s="29"/>
      <c r="B72" s="11" t="str">
        <f>CONCATENATE("          ", "6274", " - ", "UTILITIES")</f>
        <v xml:space="preserve">          6274 - UTILITIES</v>
      </c>
      <c r="C72" s="11"/>
      <c r="D72" s="7"/>
      <c r="E72" s="2"/>
      <c r="F72" s="6">
        <f t="shared" si="62"/>
        <v>0</v>
      </c>
      <c r="G72" s="2"/>
      <c r="H72" s="7"/>
      <c r="I72" s="2"/>
      <c r="J72" s="6">
        <f t="shared" si="63"/>
        <v>0</v>
      </c>
      <c r="K72" s="2"/>
      <c r="L72" s="7">
        <f t="shared" si="64"/>
        <v>0</v>
      </c>
      <c r="M72" s="2"/>
      <c r="N72" s="6">
        <f t="shared" si="65"/>
        <v>0</v>
      </c>
      <c r="O72" s="11"/>
      <c r="P72" s="7"/>
      <c r="Q72" s="2"/>
      <c r="R72" s="6">
        <f t="shared" si="66"/>
        <v>0</v>
      </c>
      <c r="S72" s="2"/>
      <c r="T72" s="7">
        <v>771</v>
      </c>
      <c r="U72" s="2"/>
      <c r="V72" s="6">
        <f t="shared" si="67"/>
        <v>1.6758075338307719E-2</v>
      </c>
      <c r="W72" s="2"/>
      <c r="X72" s="7">
        <f t="shared" si="68"/>
        <v>-771</v>
      </c>
      <c r="Y72" s="2"/>
      <c r="Z72" s="6">
        <f t="shared" si="69"/>
        <v>-1</v>
      </c>
    </row>
    <row r="73" spans="1:26" s="52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6" t="s">
        <v>3</v>
      </c>
      <c r="C76" s="26"/>
      <c r="D76" s="22">
        <f>+D20-D22+D74</f>
        <v>-9297.77</v>
      </c>
      <c r="E76" s="13"/>
      <c r="F76" s="21">
        <f>IF(D$12=0,0,D76/D$12)</f>
        <v>0</v>
      </c>
      <c r="G76" s="13"/>
      <c r="H76" s="22">
        <f>+H20-H22+H74</f>
        <v>-7605.5400000000045</v>
      </c>
      <c r="I76" s="13"/>
      <c r="J76" s="21">
        <f>IF(H$12=0,0,H76/H$12)</f>
        <v>-0.24132336716908934</v>
      </c>
      <c r="K76" s="16"/>
      <c r="L76" s="22">
        <f>+D76-H76</f>
        <v>-1692.2299999999959</v>
      </c>
      <c r="M76" s="16"/>
      <c r="N76" s="21">
        <f>IF(H76=0,0,L76/H76)</f>
        <v>0.22249965156977611</v>
      </c>
      <c r="O76" s="25"/>
      <c r="P76" s="22">
        <f>+P20-P22+P74</f>
        <v>-23734.17</v>
      </c>
      <c r="Q76" s="13"/>
      <c r="R76" s="21">
        <f>IF(P$12=0,0,P76/P$12)</f>
        <v>0</v>
      </c>
      <c r="S76" s="13"/>
      <c r="T76" s="22">
        <f>+T20-T22+T74</f>
        <v>-23574.339999999997</v>
      </c>
      <c r="U76" s="13"/>
      <c r="V76" s="21">
        <f>IF(T$12=0,0,T76/T$12)</f>
        <v>-0.51240021500762789</v>
      </c>
      <c r="W76" s="16"/>
      <c r="X76" s="22">
        <f>+P76-T76</f>
        <v>-159.83000000000175</v>
      </c>
      <c r="Y76" s="16"/>
      <c r="Z76" s="21">
        <f>IF(T76=0,0,X76/T76)</f>
        <v>6.7798292550290597E-3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/>
      <c r="E78" s="4"/>
      <c r="F78" s="12">
        <f>IF(D$12=0,0,D78/D$12)</f>
        <v>0</v>
      </c>
      <c r="G78" s="4"/>
      <c r="H78" s="4">
        <v>2723.07</v>
      </c>
      <c r="I78" s="4"/>
      <c r="J78" s="12">
        <f>IF(H$12=0,0,H78/H$12)</f>
        <v>8.6402861787214541E-2</v>
      </c>
      <c r="K78" s="4"/>
      <c r="L78" s="4">
        <f>+D78-H78</f>
        <v>-2723.07</v>
      </c>
      <c r="M78" s="4"/>
      <c r="N78" s="12">
        <f>IF(H78=0,0,L78/H78)</f>
        <v>-1</v>
      </c>
      <c r="O78" s="10"/>
      <c r="P78" s="4"/>
      <c r="Q78" s="4"/>
      <c r="R78" s="12">
        <f>IF(P$12=0,0,P78/P$12)</f>
        <v>0</v>
      </c>
      <c r="S78" s="4"/>
      <c r="T78" s="4">
        <v>5736.32</v>
      </c>
      <c r="U78" s="4"/>
      <c r="V78" s="12">
        <f>IF(T$12=0,0,T78/T$12)</f>
        <v>0.12468181935751145</v>
      </c>
      <c r="W78" s="4"/>
      <c r="X78" s="4">
        <f>+P78-T78</f>
        <v>-5736.32</v>
      </c>
      <c r="Y78" s="4"/>
      <c r="Z78" s="12">
        <f>IF(T78=0,0,X78/T78)</f>
        <v>-1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4</v>
      </c>
      <c r="C80" s="26"/>
      <c r="D80" s="36">
        <f>+D76-D78</f>
        <v>-9297.77</v>
      </c>
      <c r="E80" s="13"/>
      <c r="F80" s="34">
        <f>IF(D$12=0,0,D80/D$12)</f>
        <v>0</v>
      </c>
      <c r="G80" s="13"/>
      <c r="H80" s="36">
        <f>+H76-H78</f>
        <v>-10328.610000000004</v>
      </c>
      <c r="I80" s="13"/>
      <c r="J80" s="34">
        <f>IF(H$12=0,0,H80/H$12)</f>
        <v>-0.32772622895630388</v>
      </c>
      <c r="K80" s="16"/>
      <c r="L80" s="36">
        <f>D80-H80</f>
        <v>1030.8400000000038</v>
      </c>
      <c r="M80" s="16"/>
      <c r="N80" s="34">
        <f>IF(H80=0,0,L80/H80)</f>
        <v>-9.9804329914674222E-2</v>
      </c>
      <c r="O80" s="25"/>
      <c r="P80" s="36">
        <f>+P76-P78</f>
        <v>-23734.17</v>
      </c>
      <c r="Q80" s="13"/>
      <c r="R80" s="34">
        <f>IF(P$12=0,0,P80/P$12)</f>
        <v>0</v>
      </c>
      <c r="S80" s="13"/>
      <c r="T80" s="36">
        <f>+T76-T78</f>
        <v>-29310.659999999996</v>
      </c>
      <c r="U80" s="13"/>
      <c r="V80" s="34">
        <f>IF(T$12=0,0,T80/T$12)</f>
        <v>-0.63708203436513944</v>
      </c>
      <c r="W80" s="16"/>
      <c r="X80" s="36">
        <f>P80-T80</f>
        <v>5576.489999999998</v>
      </c>
      <c r="Y80" s="16"/>
      <c r="Z80" s="34">
        <f>IF(T80=0,0,X80/T80)</f>
        <v>-0.19025467184976383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5</v>
      </c>
      <c r="C83" s="26"/>
      <c r="D83" s="30">
        <f>SUM(D80:D82)</f>
        <v>-9297.77</v>
      </c>
      <c r="E83" s="13"/>
      <c r="F83" s="31">
        <f>IF(D$12=0,0,D83/D$12)</f>
        <v>0</v>
      </c>
      <c r="G83" s="13"/>
      <c r="H83" s="30">
        <f>SUM(H80:H82)</f>
        <v>-10328.610000000004</v>
      </c>
      <c r="I83" s="13"/>
      <c r="J83" s="31">
        <f>IF(H$12=0,0,H83/H$12)</f>
        <v>-0.32772622895630388</v>
      </c>
      <c r="K83" s="16"/>
      <c r="L83" s="30">
        <f>+D83-H83</f>
        <v>1030.8400000000038</v>
      </c>
      <c r="M83" s="16"/>
      <c r="N83" s="31">
        <f>IF(H83=0,0,L83/H83)</f>
        <v>-9.9804329914674222E-2</v>
      </c>
      <c r="O83" s="25"/>
      <c r="P83" s="30">
        <f>SUM(P80:P82)</f>
        <v>-23734.17</v>
      </c>
      <c r="Q83" s="13"/>
      <c r="R83" s="31">
        <f>IF(P$12=0,0,P83/P$12)</f>
        <v>0</v>
      </c>
      <c r="S83" s="13"/>
      <c r="T83" s="30">
        <f>SUM(T80:T82)</f>
        <v>-29310.659999999996</v>
      </c>
      <c r="U83" s="13"/>
      <c r="V83" s="31">
        <f>IF(T$12=0,0,T83/T$12)</f>
        <v>-0.63708203436513944</v>
      </c>
      <c r="W83" s="16"/>
      <c r="X83" s="30">
        <f>+P83-T83</f>
        <v>5576.489999999998</v>
      </c>
      <c r="Y83" s="16"/>
      <c r="Z83" s="31">
        <f>IF(T83=0,0,X83/T83)</f>
        <v>-0.19025467184976383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1">
        <v>44113.696445601854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6" t="s">
        <v>313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8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","327", " - ", "C-Store Vending Machine(s)")</f>
        <v>Department 327 - C-Store Vending Machine(s)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110</v>
      </c>
      <c r="E12" s="4"/>
      <c r="F12" s="12"/>
      <c r="G12" s="4"/>
      <c r="H12" s="4">
        <f>SUM(OSRRefH13x_0)</f>
        <v>227.5</v>
      </c>
      <c r="I12" s="4"/>
      <c r="J12" s="12"/>
      <c r="K12" s="4"/>
      <c r="L12" s="4">
        <f t="shared" ref="L12:L13" si="0">+D12-H12</f>
        <v>-117.5</v>
      </c>
      <c r="M12" s="4"/>
      <c r="N12" s="12">
        <f t="shared" ref="N12:N13" si="1">IF(H12=0,0,L12/H12)</f>
        <v>-0.51648351648351654</v>
      </c>
      <c r="O12" s="10"/>
      <c r="P12" s="4">
        <f>SUM(OSRRefP13x_0)</f>
        <v>110</v>
      </c>
      <c r="Q12" s="4"/>
      <c r="R12" s="12"/>
      <c r="S12" s="4"/>
      <c r="T12" s="4">
        <f>SUM(OSRRefT13x_0)</f>
        <v>464.5</v>
      </c>
      <c r="U12" s="4"/>
      <c r="V12" s="12"/>
      <c r="W12" s="4"/>
      <c r="X12" s="4">
        <f t="shared" ref="X12:X13" si="2">+P12-T12</f>
        <v>-354.5</v>
      </c>
      <c r="Y12" s="4"/>
      <c r="Z12" s="12">
        <f t="shared" ref="Z12:Z13" si="3">IF(T12=0,0,X12/T12)</f>
        <v>-0.76318622174381057</v>
      </c>
    </row>
    <row r="13" spans="1:26" s="24" customFormat="1" hidden="1" outlineLevel="1" x14ac:dyDescent="0.25">
      <c r="A13" s="44"/>
      <c r="B13" s="11" t="str">
        <f>CONCATENATE("          ", "4153", " - ", "NON-TAXABLE SALES-FOOD")</f>
        <v xml:space="preserve">          4153 - NON-TAXABLE SALES-FOOD</v>
      </c>
      <c r="C13" s="11"/>
      <c r="D13" s="2">
        <f>--110</f>
        <v>110</v>
      </c>
      <c r="E13" s="2"/>
      <c r="F13" s="19"/>
      <c r="G13" s="2"/>
      <c r="H13" s="2">
        <f>--227.5</f>
        <v>227.5</v>
      </c>
      <c r="I13" s="2"/>
      <c r="J13" s="19"/>
      <c r="K13" s="2"/>
      <c r="L13" s="2">
        <f t="shared" si="0"/>
        <v>-117.5</v>
      </c>
      <c r="M13" s="2"/>
      <c r="N13" s="19">
        <f t="shared" si="1"/>
        <v>-0.51648351648351654</v>
      </c>
      <c r="O13" s="11"/>
      <c r="P13" s="2">
        <f>--110</f>
        <v>110</v>
      </c>
      <c r="Q13" s="2"/>
      <c r="R13" s="19"/>
      <c r="S13" s="2"/>
      <c r="T13" s="2">
        <f>--464.5</f>
        <v>464.5</v>
      </c>
      <c r="U13" s="2"/>
      <c r="V13" s="19"/>
      <c r="W13" s="2"/>
      <c r="X13" s="2">
        <f t="shared" si="2"/>
        <v>-354.5</v>
      </c>
      <c r="Y13" s="2"/>
      <c r="Z13" s="19">
        <f t="shared" si="3"/>
        <v>-0.76318622174381057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68.91</v>
      </c>
      <c r="E15" s="4"/>
      <c r="F15" s="12">
        <f t="shared" ref="F15:F16" si="4">IF(D$12=0,0,D15/D$12)</f>
        <v>0.62645454545454538</v>
      </c>
      <c r="G15" s="4"/>
      <c r="H15" s="4">
        <f>SUM(OSRRefH16x_0)</f>
        <v>2739</v>
      </c>
      <c r="I15" s="4"/>
      <c r="J15" s="12">
        <f t="shared" ref="J15:J16" si="5">IF(H$12=0,0,H15/H$12)</f>
        <v>12.039560439560439</v>
      </c>
      <c r="K15" s="4"/>
      <c r="L15" s="4">
        <f t="shared" ref="L15:L16" si="6">+D15-H15</f>
        <v>-2670.09</v>
      </c>
      <c r="M15" s="4"/>
      <c r="N15" s="12">
        <f t="shared" ref="N15:N16" si="7">IF(H15=0,0,L15/H15)</f>
        <v>-0.9748411829134721</v>
      </c>
      <c r="O15" s="10"/>
      <c r="P15" s="4">
        <f>SUM(OSRRefP16x_0)</f>
        <v>68.91</v>
      </c>
      <c r="Q15" s="4"/>
      <c r="R15" s="12">
        <f t="shared" ref="R15:R16" si="8">IF(P$12=0,0,P15/P$12)</f>
        <v>0.62645454545454538</v>
      </c>
      <c r="S15" s="4"/>
      <c r="T15" s="4">
        <f>SUM(OSRRefT16x_0)</f>
        <v>488.96</v>
      </c>
      <c r="U15" s="4"/>
      <c r="V15" s="12">
        <f t="shared" ref="V15:V16" si="9">IF(T$12=0,0,T15/T$12)</f>
        <v>1.0526587728740582</v>
      </c>
      <c r="W15" s="4"/>
      <c r="X15" s="4">
        <f t="shared" ref="X15:X16" si="10">+P15-T15</f>
        <v>-420.04999999999995</v>
      </c>
      <c r="Y15" s="4"/>
      <c r="Z15" s="12">
        <f t="shared" ref="Z15:Z16" si="11">IF(T15=0,0,X15/T15)</f>
        <v>-0.85906822643979053</v>
      </c>
    </row>
    <row r="16" spans="1:26" s="24" customFormat="1" hidden="1" outlineLevel="1" x14ac:dyDescent="0.25">
      <c r="A16" s="44"/>
      <c r="B16" s="11" t="str">
        <f>CONCATENATE("          ", "5059", " - ", "PURCHASES @ COST-FOOD")</f>
        <v xml:space="preserve">          5059 - PURCHASES @ COST-FOOD</v>
      </c>
      <c r="C16" s="11"/>
      <c r="D16" s="2">
        <v>68.91</v>
      </c>
      <c r="E16" s="2"/>
      <c r="F16" s="19">
        <f t="shared" si="4"/>
        <v>0.62645454545454538</v>
      </c>
      <c r="G16" s="2"/>
      <c r="H16" s="2">
        <v>2739</v>
      </c>
      <c r="I16" s="2"/>
      <c r="J16" s="19">
        <f t="shared" si="5"/>
        <v>12.039560439560439</v>
      </c>
      <c r="K16" s="2"/>
      <c r="L16" s="2">
        <f t="shared" si="6"/>
        <v>-2670.09</v>
      </c>
      <c r="M16" s="2"/>
      <c r="N16" s="19">
        <f t="shared" si="7"/>
        <v>-0.9748411829134721</v>
      </c>
      <c r="O16" s="11"/>
      <c r="P16" s="2">
        <v>68.91</v>
      </c>
      <c r="Q16" s="2"/>
      <c r="R16" s="19">
        <f t="shared" si="8"/>
        <v>0.62645454545454538</v>
      </c>
      <c r="S16" s="2"/>
      <c r="T16" s="2">
        <v>488.96</v>
      </c>
      <c r="U16" s="2"/>
      <c r="V16" s="19">
        <f t="shared" si="9"/>
        <v>1.0526587728740582</v>
      </c>
      <c r="W16" s="2"/>
      <c r="X16" s="2">
        <f t="shared" si="10"/>
        <v>-420.04999999999995</v>
      </c>
      <c r="Y16" s="2"/>
      <c r="Z16" s="19">
        <f t="shared" si="11"/>
        <v>-0.85906822643979053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>
        <f>D12-D15</f>
        <v>41.09</v>
      </c>
      <c r="E18" s="13"/>
      <c r="F18" s="21">
        <f>IF(D$12=0,0,D18/D$12)</f>
        <v>0.37354545454545457</v>
      </c>
      <c r="G18" s="13"/>
      <c r="H18" s="22">
        <f>H12-H15</f>
        <v>-2511.5</v>
      </c>
      <c r="I18" s="13"/>
      <c r="J18" s="21">
        <f>IF(H$12=0,0,H18/H$12)</f>
        <v>-11.039560439560439</v>
      </c>
      <c r="K18" s="16"/>
      <c r="L18" s="22">
        <f>+D18-H18</f>
        <v>2552.59</v>
      </c>
      <c r="M18" s="16"/>
      <c r="N18" s="21">
        <f>IF(H18=0,0,L18/H18)</f>
        <v>-1.0163607405932711</v>
      </c>
      <c r="O18" s="25"/>
      <c r="P18" s="22">
        <f>P12-P15</f>
        <v>41.09</v>
      </c>
      <c r="Q18" s="13"/>
      <c r="R18" s="21">
        <f>IF(P$12=0,0,P18/P$12)</f>
        <v>0.37354545454545457</v>
      </c>
      <c r="S18" s="13"/>
      <c r="T18" s="22">
        <f>T12-T15</f>
        <v>-24.45999999999998</v>
      </c>
      <c r="U18" s="13"/>
      <c r="V18" s="21">
        <f>IF(T$12=0,0,T18/T$12)</f>
        <v>-5.2658772874058082E-2</v>
      </c>
      <c r="W18" s="16"/>
      <c r="X18" s="22">
        <f>+P18-T18</f>
        <v>65.549999999999983</v>
      </c>
      <c r="Y18" s="16"/>
      <c r="Z18" s="21">
        <f>IF(T18=0,0,X18/T18)</f>
        <v>-2.6798855273916615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>
        <f>SUM(OSRRefD22x_0)</f>
        <v>0</v>
      </c>
      <c r="E20" s="20"/>
      <c r="F20" s="35">
        <f t="shared" ref="F20:F22" si="12">IF(D$12=0,0,D20/D$12)</f>
        <v>0</v>
      </c>
      <c r="G20" s="20"/>
      <c r="H20" s="20">
        <f>SUM(OSRRefH22x_0)</f>
        <v>53.89</v>
      </c>
      <c r="I20" s="20"/>
      <c r="J20" s="35">
        <f t="shared" ref="J20:J22" si="13">IF(H$12=0,0,H20/H$12)</f>
        <v>0.23687912087912089</v>
      </c>
      <c r="K20" s="4"/>
      <c r="L20" s="20">
        <f t="shared" ref="L20:L22" si="14">+D20-H20</f>
        <v>-53.89</v>
      </c>
      <c r="M20" s="4"/>
      <c r="N20" s="35">
        <f t="shared" ref="N20:N22" si="15">IF(H20=0,0,L20/H20)</f>
        <v>-1</v>
      </c>
      <c r="O20" s="10"/>
      <c r="P20" s="20">
        <f>SUM(OSRRefP22x_0)</f>
        <v>0</v>
      </c>
      <c r="Q20" s="20"/>
      <c r="R20" s="35">
        <f t="shared" ref="R20:R22" si="16">IF(P$12=0,0,P20/P$12)</f>
        <v>0</v>
      </c>
      <c r="S20" s="20"/>
      <c r="T20" s="20">
        <f>SUM(OSRRefT22x_0)</f>
        <v>107.85</v>
      </c>
      <c r="U20" s="20"/>
      <c r="V20" s="35">
        <f t="shared" ref="V20:V22" si="17">IF(T$12=0,0,T20/T$12)</f>
        <v>0.23218514531754575</v>
      </c>
      <c r="W20" s="4"/>
      <c r="X20" s="20">
        <f t="shared" ref="X20:X22" si="18">+P20-T20</f>
        <v>-107.85</v>
      </c>
      <c r="Y20" s="4"/>
      <c r="Z20" s="35">
        <f t="shared" ref="Z20:Z22" si="19">IF(T20=0,0,X20/T20)</f>
        <v>-1</v>
      </c>
    </row>
    <row r="21" spans="1:26" s="28" customFormat="1" outlineLevel="1" collapsed="1" x14ac:dyDescent="0.25">
      <c r="A21" s="27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53.89</v>
      </c>
      <c r="I21" s="1"/>
      <c r="J21" s="5">
        <f t="shared" si="13"/>
        <v>0.23687912087912089</v>
      </c>
      <c r="K21" s="1"/>
      <c r="L21" s="1">
        <f t="shared" si="14"/>
        <v>-53.89</v>
      </c>
      <c r="M21" s="1"/>
      <c r="N21" s="5">
        <f t="shared" si="15"/>
        <v>-1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107.85</v>
      </c>
      <c r="U21" s="1"/>
      <c r="V21" s="5">
        <f t="shared" si="17"/>
        <v>0.23218514531754575</v>
      </c>
      <c r="W21" s="1"/>
      <c r="X21" s="1">
        <f t="shared" si="18"/>
        <v>-107.85</v>
      </c>
      <c r="Y21" s="1"/>
      <c r="Z21" s="5">
        <f t="shared" si="19"/>
        <v>-1</v>
      </c>
    </row>
    <row r="22" spans="1:26" s="24" customFormat="1" hidden="1" outlineLevel="2" x14ac:dyDescent="0.25">
      <c r="A22" s="29"/>
      <c r="B22" s="11" t="str">
        <f>CONCATENATE("          ", "6381", " - ", "BANK/CREDIT CARD FEES")</f>
        <v xml:space="preserve">          6381 - BANK/CREDIT CARD FEES</v>
      </c>
      <c r="C22" s="11"/>
      <c r="D22" s="7"/>
      <c r="E22" s="2"/>
      <c r="F22" s="6">
        <f t="shared" si="12"/>
        <v>0</v>
      </c>
      <c r="G22" s="2"/>
      <c r="H22" s="7">
        <v>53.89</v>
      </c>
      <c r="I22" s="2"/>
      <c r="J22" s="6">
        <f t="shared" si="13"/>
        <v>0.23687912087912089</v>
      </c>
      <c r="K22" s="2"/>
      <c r="L22" s="7">
        <f t="shared" si="14"/>
        <v>-53.89</v>
      </c>
      <c r="M22" s="2"/>
      <c r="N22" s="6">
        <f t="shared" si="15"/>
        <v>-1</v>
      </c>
      <c r="O22" s="11"/>
      <c r="P22" s="7"/>
      <c r="Q22" s="2"/>
      <c r="R22" s="6">
        <f t="shared" si="16"/>
        <v>0</v>
      </c>
      <c r="S22" s="2"/>
      <c r="T22" s="7">
        <v>107.85</v>
      </c>
      <c r="U22" s="2"/>
      <c r="V22" s="6">
        <f t="shared" si="17"/>
        <v>0.23218514531754575</v>
      </c>
      <c r="W22" s="2"/>
      <c r="X22" s="7">
        <f t="shared" si="18"/>
        <v>-107.85</v>
      </c>
      <c r="Y22" s="2"/>
      <c r="Z22" s="6">
        <f t="shared" si="19"/>
        <v>-1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x14ac:dyDescent="0.25">
      <c r="A24" s="10"/>
      <c r="B24" s="25" t="s">
        <v>0</v>
      </c>
      <c r="C24" s="10"/>
      <c r="D24" s="4">
        <f>SUM(0)</f>
        <v>0</v>
      </c>
      <c r="E24" s="4"/>
      <c r="F24" s="12">
        <f>IF(D$12=0,0,D24/D$12)</f>
        <v>0</v>
      </c>
      <c r="G24" s="4"/>
      <c r="H24" s="4">
        <f>SUM(0)</f>
        <v>0</v>
      </c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>
        <f>SUM(0)</f>
        <v>0</v>
      </c>
      <c r="Q24" s="4"/>
      <c r="R24" s="12">
        <f>IF(P$12=0,0,P24/P$12)</f>
        <v>0</v>
      </c>
      <c r="S24" s="4"/>
      <c r="T24" s="4">
        <f>SUM(0)</f>
        <v>0</v>
      </c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25">
      <c r="A26" s="10"/>
      <c r="B26" s="26" t="s">
        <v>3</v>
      </c>
      <c r="C26" s="26"/>
      <c r="D26" s="22">
        <f>+D18-D20+D24</f>
        <v>41.09</v>
      </c>
      <c r="E26" s="13"/>
      <c r="F26" s="21">
        <f>IF(D$12=0,0,D26/D$12)</f>
        <v>0.37354545454545457</v>
      </c>
      <c r="G26" s="13"/>
      <c r="H26" s="22">
        <f>+H18-H20+H24</f>
        <v>-2565.39</v>
      </c>
      <c r="I26" s="13"/>
      <c r="J26" s="21">
        <f>IF(H$12=0,0,H26/H$12)</f>
        <v>-11.27643956043956</v>
      </c>
      <c r="K26" s="16"/>
      <c r="L26" s="22">
        <f>+D26-H26</f>
        <v>2606.48</v>
      </c>
      <c r="M26" s="16"/>
      <c r="N26" s="21">
        <f>IF(H26=0,0,L26/H26)</f>
        <v>-1.016017057835261</v>
      </c>
      <c r="O26" s="25"/>
      <c r="P26" s="22">
        <f>+P18-P20+P24</f>
        <v>41.09</v>
      </c>
      <c r="Q26" s="13"/>
      <c r="R26" s="21">
        <f>IF(P$12=0,0,P26/P$12)</f>
        <v>0.37354545454545457</v>
      </c>
      <c r="S26" s="13"/>
      <c r="T26" s="22">
        <f>+T18-T20+T24</f>
        <v>-132.30999999999997</v>
      </c>
      <c r="U26" s="13"/>
      <c r="V26" s="21">
        <f>IF(T$12=0,0,T26/T$12)</f>
        <v>-0.28484391819160382</v>
      </c>
      <c r="W26" s="16"/>
      <c r="X26" s="22">
        <f>+P26-T26</f>
        <v>173.39999999999998</v>
      </c>
      <c r="Y26" s="16"/>
      <c r="Z26" s="21">
        <f>IF(T26=0,0,X26/T26)</f>
        <v>-1.3105585367697077</v>
      </c>
    </row>
    <row r="27" spans="1:26" x14ac:dyDescent="0.25">
      <c r="A27" s="9"/>
      <c r="B27" s="10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51"/>
      <c r="B28" s="10" t="s">
        <v>13</v>
      </c>
      <c r="C28" s="10"/>
      <c r="D28" s="4">
        <v>18.57</v>
      </c>
      <c r="E28" s="4"/>
      <c r="F28" s="12">
        <f>IF(D$12=0,0,D28/D$12)</f>
        <v>0.16881818181818181</v>
      </c>
      <c r="G28" s="4"/>
      <c r="H28" s="4">
        <v>8.6300000000000008</v>
      </c>
      <c r="I28" s="4"/>
      <c r="J28" s="12">
        <f>IF(H$12=0,0,H28/H$12)</f>
        <v>3.7934065934065939E-2</v>
      </c>
      <c r="K28" s="4"/>
      <c r="L28" s="4">
        <f>+D28-H28</f>
        <v>9.94</v>
      </c>
      <c r="M28" s="4"/>
      <c r="N28" s="12">
        <f>IF(H28=0,0,L28/H28)</f>
        <v>1.1517960602549244</v>
      </c>
      <c r="O28" s="10"/>
      <c r="P28" s="4">
        <v>18.57</v>
      </c>
      <c r="Q28" s="4"/>
      <c r="R28" s="12">
        <f>IF(P$12=0,0,P28/P$12)</f>
        <v>0.16881818181818181</v>
      </c>
      <c r="S28" s="4"/>
      <c r="T28" s="4">
        <v>57.91</v>
      </c>
      <c r="U28" s="4"/>
      <c r="V28" s="12">
        <f>IF(T$12=0,0,T28/T$12)</f>
        <v>0.12467168998923572</v>
      </c>
      <c r="W28" s="4"/>
      <c r="X28" s="4">
        <f>+P28-T28</f>
        <v>-39.339999999999996</v>
      </c>
      <c r="Y28" s="4"/>
      <c r="Z28" s="12">
        <f>IF(T28=0,0,X28/T28)</f>
        <v>-0.67932999481954759</v>
      </c>
    </row>
    <row r="29" spans="1:26" x14ac:dyDescent="0.25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ht="15.75" thickBot="1" x14ac:dyDescent="0.3">
      <c r="A30" s="10"/>
      <c r="B30" s="26" t="s">
        <v>4</v>
      </c>
      <c r="C30" s="26"/>
      <c r="D30" s="36">
        <f>+D26-D28</f>
        <v>22.520000000000003</v>
      </c>
      <c r="E30" s="13"/>
      <c r="F30" s="34">
        <f>IF(D$12=0,0,D30/D$12)</f>
        <v>0.20472727272727276</v>
      </c>
      <c r="G30" s="13"/>
      <c r="H30" s="36">
        <f>+H26-H28</f>
        <v>-2574.02</v>
      </c>
      <c r="I30" s="13"/>
      <c r="J30" s="34">
        <f>IF(H$12=0,0,H30/H$12)</f>
        <v>-11.314373626373627</v>
      </c>
      <c r="K30" s="16"/>
      <c r="L30" s="36">
        <f>D30-H30</f>
        <v>2596.54</v>
      </c>
      <c r="M30" s="16"/>
      <c r="N30" s="34">
        <f>IF(H30=0,0,L30/H30)</f>
        <v>-1.0087489607695357</v>
      </c>
      <c r="O30" s="25"/>
      <c r="P30" s="36">
        <f>+P26-P28</f>
        <v>22.520000000000003</v>
      </c>
      <c r="Q30" s="13"/>
      <c r="R30" s="34">
        <f>IF(P$12=0,0,P30/P$12)</f>
        <v>0.20472727272727276</v>
      </c>
      <c r="S30" s="13"/>
      <c r="T30" s="36">
        <f>+T26-T28</f>
        <v>-190.21999999999997</v>
      </c>
      <c r="U30" s="13"/>
      <c r="V30" s="34">
        <f>IF(T$12=0,0,T30/T$12)</f>
        <v>-0.40951560818083954</v>
      </c>
      <c r="W30" s="16"/>
      <c r="X30" s="36">
        <f>P30-T30</f>
        <v>212.73999999999998</v>
      </c>
      <c r="Y30" s="16"/>
      <c r="Z30" s="34">
        <f>IF(T30=0,0,X30/T30)</f>
        <v>-1.1183892335190833</v>
      </c>
    </row>
    <row r="31" spans="1:26" ht="15.75" thickTop="1" x14ac:dyDescent="0.25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.75" thickBot="1" x14ac:dyDescent="0.3">
      <c r="A33" s="10"/>
      <c r="B33" s="26" t="s">
        <v>5</v>
      </c>
      <c r="C33" s="26"/>
      <c r="D33" s="30">
        <f>SUM(D30:D32)</f>
        <v>22.520000000000003</v>
      </c>
      <c r="E33" s="13"/>
      <c r="F33" s="31">
        <f>IF(D$12=0,0,D33/D$12)</f>
        <v>0.20472727272727276</v>
      </c>
      <c r="G33" s="13"/>
      <c r="H33" s="30">
        <f>SUM(H30:H32)</f>
        <v>-2574.02</v>
      </c>
      <c r="I33" s="13"/>
      <c r="J33" s="31">
        <f>IF(H$12=0,0,H33/H$12)</f>
        <v>-11.314373626373627</v>
      </c>
      <c r="K33" s="16"/>
      <c r="L33" s="30">
        <f>+D33-H33</f>
        <v>2596.54</v>
      </c>
      <c r="M33" s="16"/>
      <c r="N33" s="31">
        <f>IF(H33=0,0,L33/H33)</f>
        <v>-1.0087489607695357</v>
      </c>
      <c r="O33" s="25"/>
      <c r="P33" s="30">
        <f>SUM(P30:P32)</f>
        <v>22.520000000000003</v>
      </c>
      <c r="Q33" s="13"/>
      <c r="R33" s="31">
        <f>IF(P$12=0,0,P33/P$12)</f>
        <v>0.20472727272727276</v>
      </c>
      <c r="S33" s="13"/>
      <c r="T33" s="30">
        <f>SUM(T30:T32)</f>
        <v>-190.21999999999997</v>
      </c>
      <c r="U33" s="13"/>
      <c r="V33" s="31">
        <f>IF(T$12=0,0,T33/T$12)</f>
        <v>-0.40951560818083954</v>
      </c>
      <c r="W33" s="16"/>
      <c r="X33" s="30">
        <f>+P33-T33</f>
        <v>212.73999999999998</v>
      </c>
      <c r="Y33" s="16"/>
      <c r="Z33" s="31">
        <f>IF(T33=0,0,X33/T33)</f>
        <v>-1.1183892335190833</v>
      </c>
    </row>
    <row r="34" spans="1:26" ht="15.75" thickTop="1" x14ac:dyDescent="0.25">
      <c r="A34" s="9"/>
      <c r="C34" s="9"/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  <row r="35" spans="1:26" x14ac:dyDescent="0.25">
      <c r="A35" s="9"/>
      <c r="B35" s="61">
        <v>44113.696484490742</v>
      </c>
      <c r="D35" s="18"/>
      <c r="E35" s="18"/>
      <c r="G35" s="18"/>
      <c r="H35" s="18"/>
      <c r="I35" s="18"/>
      <c r="J35" s="43"/>
      <c r="K35" s="18"/>
      <c r="L35" s="18"/>
      <c r="M35" s="18"/>
      <c r="P35" s="18"/>
      <c r="Q35" s="18"/>
      <c r="R35" s="43"/>
      <c r="S35" s="18"/>
      <c r="T35" s="18"/>
      <c r="U35" s="18"/>
      <c r="V35" s="43"/>
      <c r="W35" s="18"/>
      <c r="X35" s="18"/>
    </row>
    <row r="36" spans="1:26" x14ac:dyDescent="0.25">
      <c r="A36" s="9"/>
      <c r="B36" s="56" t="s">
        <v>313</v>
      </c>
      <c r="D36" s="18"/>
      <c r="E36" s="18"/>
      <c r="G36" s="18"/>
      <c r="H36" s="18"/>
      <c r="I36" s="18"/>
      <c r="J36" s="43"/>
      <c r="K36" s="18"/>
      <c r="L36" s="18"/>
      <c r="M36" s="18"/>
      <c r="P36" s="18"/>
      <c r="Q36" s="18"/>
      <c r="R36" s="43"/>
      <c r="S36" s="18"/>
      <c r="T36" s="18"/>
      <c r="U36" s="18"/>
      <c r="V36" s="43"/>
      <c r="W36" s="18"/>
      <c r="X36" s="18"/>
    </row>
    <row r="37" spans="1:26" x14ac:dyDescent="0.25">
      <c r="A37" s="9"/>
      <c r="B37" s="58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13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54547.020000000004</v>
      </c>
      <c r="E12" s="4"/>
      <c r="F12" s="12"/>
      <c r="G12" s="4"/>
      <c r="H12" s="4">
        <f>SUM(OSRRefH13x_0)</f>
        <v>854081.4</v>
      </c>
      <c r="I12" s="4"/>
      <c r="J12" s="12"/>
      <c r="K12" s="4"/>
      <c r="L12" s="4">
        <f t="shared" ref="L12:L22" si="0">+D12-H12</f>
        <v>-799534.38</v>
      </c>
      <c r="M12" s="4"/>
      <c r="N12" s="12">
        <f t="shared" ref="N12:N22" si="1">IF(H12=0,0,L12/H12)</f>
        <v>-0.93613369873176022</v>
      </c>
      <c r="O12" s="10"/>
      <c r="P12" s="4">
        <f>SUM(OSRRefP13x_0)</f>
        <v>74849.850000000006</v>
      </c>
      <c r="Q12" s="4"/>
      <c r="R12" s="12"/>
      <c r="S12" s="4"/>
      <c r="T12" s="4">
        <f>SUM(OSRRefT13x_0)</f>
        <v>1542981.09</v>
      </c>
      <c r="U12" s="4"/>
      <c r="V12" s="12"/>
      <c r="W12" s="4"/>
      <c r="X12" s="4">
        <f t="shared" ref="X12:X22" si="2">+P12-T12</f>
        <v>-1468131.24</v>
      </c>
      <c r="Y12" s="4"/>
      <c r="Z12" s="12">
        <f t="shared" ref="Z12:Z22" si="3">IF(T12=0,0,X12/T12)</f>
        <v>-0.95149010542961343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--2510.72</f>
        <v>2510.7199999999998</v>
      </c>
      <c r="E13" s="2"/>
      <c r="F13" s="19"/>
      <c r="G13" s="2"/>
      <c r="H13" s="2">
        <f>--34317.05</f>
        <v>34317.050000000003</v>
      </c>
      <c r="I13" s="2"/>
      <c r="J13" s="19"/>
      <c r="K13" s="2"/>
      <c r="L13" s="2">
        <f t="shared" si="0"/>
        <v>-31806.33</v>
      </c>
      <c r="M13" s="2"/>
      <c r="N13" s="19">
        <f t="shared" si="1"/>
        <v>-0.92683753411205216</v>
      </c>
      <c r="O13" s="11"/>
      <c r="P13" s="2">
        <f>--2510.72</f>
        <v>2510.7199999999998</v>
      </c>
      <c r="Q13" s="2"/>
      <c r="R13" s="19"/>
      <c r="S13" s="2"/>
      <c r="T13" s="2">
        <f>--53195.75</f>
        <v>53195.75</v>
      </c>
      <c r="U13" s="2"/>
      <c r="V13" s="19"/>
      <c r="W13" s="2"/>
      <c r="X13" s="2">
        <f t="shared" si="2"/>
        <v>-50685.03</v>
      </c>
      <c r="Y13" s="2"/>
      <c r="Z13" s="19">
        <f t="shared" si="3"/>
        <v>-0.95280224454021234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--95751.36</f>
        <v>95751.360000000001</v>
      </c>
      <c r="I14" s="2"/>
      <c r="J14" s="19"/>
      <c r="K14" s="2"/>
      <c r="L14" s="2">
        <f t="shared" si="0"/>
        <v>-95751.360000000001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--139530.2</f>
        <v>139530.20000000001</v>
      </c>
      <c r="U14" s="2"/>
      <c r="V14" s="19"/>
      <c r="W14" s="2"/>
      <c r="X14" s="2">
        <f t="shared" si="2"/>
        <v>-139530.20000000001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--140.01</f>
        <v>140.01</v>
      </c>
      <c r="E15" s="2"/>
      <c r="F15" s="19"/>
      <c r="G15" s="2"/>
      <c r="H15" s="2">
        <f>--20205.92</f>
        <v>20205.919999999998</v>
      </c>
      <c r="I15" s="2"/>
      <c r="J15" s="19"/>
      <c r="K15" s="2"/>
      <c r="L15" s="2">
        <f t="shared" si="0"/>
        <v>-20065.91</v>
      </c>
      <c r="M15" s="2"/>
      <c r="N15" s="19">
        <f t="shared" si="1"/>
        <v>-0.9930708426045437</v>
      </c>
      <c r="O15" s="11"/>
      <c r="P15" s="2">
        <f>--339.9</f>
        <v>339.9</v>
      </c>
      <c r="Q15" s="2"/>
      <c r="R15" s="19"/>
      <c r="S15" s="2"/>
      <c r="T15" s="2">
        <f>--46281.13</f>
        <v>46281.13</v>
      </c>
      <c r="U15" s="2"/>
      <c r="V15" s="19"/>
      <c r="W15" s="2"/>
      <c r="X15" s="2">
        <f t="shared" si="2"/>
        <v>-45941.229999999996</v>
      </c>
      <c r="Y15" s="2"/>
      <c r="Z15" s="19">
        <f t="shared" si="3"/>
        <v>-0.99265575408379181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ref="D16:D17" si="4">0</f>
        <v>0</v>
      </c>
      <c r="E16" s="2"/>
      <c r="F16" s="19"/>
      <c r="G16" s="2"/>
      <c r="H16" s="2">
        <f>--29739.09</f>
        <v>29739.09</v>
      </c>
      <c r="I16" s="2"/>
      <c r="J16" s="19"/>
      <c r="K16" s="2"/>
      <c r="L16" s="2">
        <f t="shared" si="0"/>
        <v>-29739.09</v>
      </c>
      <c r="M16" s="2"/>
      <c r="N16" s="19">
        <f t="shared" si="1"/>
        <v>-1</v>
      </c>
      <c r="O16" s="11"/>
      <c r="P16" s="2">
        <f>0</f>
        <v>0</v>
      </c>
      <c r="Q16" s="2"/>
      <c r="R16" s="19"/>
      <c r="S16" s="2"/>
      <c r="T16" s="2">
        <f>--43982.72</f>
        <v>43982.720000000001</v>
      </c>
      <c r="U16" s="2"/>
      <c r="V16" s="19"/>
      <c r="W16" s="2"/>
      <c r="X16" s="2">
        <f t="shared" si="2"/>
        <v>-43982.720000000001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--9436.48</f>
        <v>9436.48</v>
      </c>
      <c r="I17" s="2"/>
      <c r="J17" s="19"/>
      <c r="K17" s="2"/>
      <c r="L17" s="2">
        <f t="shared" si="0"/>
        <v>-9436.48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--17838.14</f>
        <v>17838.14</v>
      </c>
      <c r="U17" s="2"/>
      <c r="V17" s="19"/>
      <c r="W17" s="2"/>
      <c r="X17" s="2">
        <f t="shared" si="2"/>
        <v>-16863.23</v>
      </c>
      <c r="Y17" s="2"/>
      <c r="Z17" s="19">
        <f t="shared" si="3"/>
        <v>-0.94534688033617853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--42758.9</f>
        <v>42758.9</v>
      </c>
      <c r="E18" s="2"/>
      <c r="F18" s="19"/>
      <c r="G18" s="2"/>
      <c r="H18" s="2">
        <f>--483731.26</f>
        <v>483731.26</v>
      </c>
      <c r="I18" s="2"/>
      <c r="J18" s="19"/>
      <c r="K18" s="2"/>
      <c r="L18" s="2">
        <f t="shared" si="0"/>
        <v>-440972.36</v>
      </c>
      <c r="M18" s="2"/>
      <c r="N18" s="19">
        <f t="shared" si="1"/>
        <v>-0.91160608475044591</v>
      </c>
      <c r="O18" s="11"/>
      <c r="P18" s="2">
        <f>--44058.9</f>
        <v>44058.9</v>
      </c>
      <c r="Q18" s="2"/>
      <c r="R18" s="19"/>
      <c r="S18" s="2"/>
      <c r="T18" s="2">
        <f>--1003377.76</f>
        <v>1003377.76</v>
      </c>
      <c r="U18" s="2"/>
      <c r="V18" s="19"/>
      <c r="W18" s="2"/>
      <c r="X18" s="2">
        <f t="shared" si="2"/>
        <v>-959318.86</v>
      </c>
      <c r="Y18" s="2"/>
      <c r="Z18" s="19">
        <f t="shared" si="3"/>
        <v>-0.9560894194027183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>0</f>
        <v>0</v>
      </c>
      <c r="E19" s="2"/>
      <c r="F19" s="19"/>
      <c r="G19" s="2"/>
      <c r="H19" s="2">
        <f>--3990.43</f>
        <v>3990.43</v>
      </c>
      <c r="I19" s="2"/>
      <c r="J19" s="19"/>
      <c r="K19" s="2"/>
      <c r="L19" s="2">
        <f t="shared" si="0"/>
        <v>-3990.43</v>
      </c>
      <c r="M19" s="2"/>
      <c r="N19" s="19">
        <f t="shared" si="1"/>
        <v>-1</v>
      </c>
      <c r="O19" s="11"/>
      <c r="P19" s="2">
        <f>0</f>
        <v>0</v>
      </c>
      <c r="Q19" s="2"/>
      <c r="R19" s="19"/>
      <c r="S19" s="2"/>
      <c r="T19" s="2">
        <f>--7657.52</f>
        <v>7657.52</v>
      </c>
      <c r="U19" s="2"/>
      <c r="V19" s="19"/>
      <c r="W19" s="2"/>
      <c r="X19" s="2">
        <f t="shared" si="2"/>
        <v>-7657.52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"4153", " - ", "NON-TAXABLE SALES-FOOD")</f>
        <v xml:space="preserve">          4153 - NON-TAXABLE SALES-FOOD</v>
      </c>
      <c r="C20" s="11"/>
      <c r="D20" s="2">
        <f>--9137.39</f>
        <v>9137.39</v>
      </c>
      <c r="E20" s="2"/>
      <c r="F20" s="19"/>
      <c r="G20" s="2"/>
      <c r="H20" s="2">
        <f>--100740.21</f>
        <v>100740.21</v>
      </c>
      <c r="I20" s="2"/>
      <c r="J20" s="19"/>
      <c r="K20" s="2"/>
      <c r="L20" s="2">
        <f t="shared" si="0"/>
        <v>-91602.82</v>
      </c>
      <c r="M20" s="2"/>
      <c r="N20" s="19">
        <f t="shared" si="1"/>
        <v>-0.90929748905625674</v>
      </c>
      <c r="O20" s="11"/>
      <c r="P20" s="2">
        <f>--26965.42</f>
        <v>26965.42</v>
      </c>
      <c r="Q20" s="2"/>
      <c r="R20" s="19"/>
      <c r="S20" s="2"/>
      <c r="T20" s="2">
        <f>--119751.92</f>
        <v>119751.92</v>
      </c>
      <c r="U20" s="2"/>
      <c r="V20" s="19"/>
      <c r="W20" s="2"/>
      <c r="X20" s="2">
        <f t="shared" si="2"/>
        <v>-92786.5</v>
      </c>
      <c r="Y20" s="2"/>
      <c r="Z20" s="19">
        <f t="shared" si="3"/>
        <v>-0.77482265002515205</v>
      </c>
    </row>
    <row r="21" spans="1:26" s="24" customFormat="1" hidden="1" outlineLevel="1" x14ac:dyDescent="0.25">
      <c r="A21" s="44"/>
      <c r="B21" s="11" t="str">
        <f>CONCATENATE("          ", "4155", " - ", "NON-TAXABLE SALES-FOOD")</f>
        <v xml:space="preserve">          4155 - NON-TAXABLE SALES-FOOD</v>
      </c>
      <c r="C21" s="11"/>
      <c r="D21" s="2">
        <f t="shared" ref="D21:D22" si="5">0</f>
        <v>0</v>
      </c>
      <c r="E21" s="2"/>
      <c r="F21" s="19"/>
      <c r="G21" s="2"/>
      <c r="H21" s="2">
        <f>--45359.38</f>
        <v>45359.38</v>
      </c>
      <c r="I21" s="2"/>
      <c r="J21" s="19"/>
      <c r="K21" s="2"/>
      <c r="L21" s="2">
        <f t="shared" si="0"/>
        <v>-45359.38</v>
      </c>
      <c r="M21" s="2"/>
      <c r="N21" s="19">
        <f t="shared" si="1"/>
        <v>-1</v>
      </c>
      <c r="O21" s="11"/>
      <c r="P21" s="2">
        <f t="shared" ref="P21:P22" si="6">0</f>
        <v>0</v>
      </c>
      <c r="Q21" s="2"/>
      <c r="R21" s="19"/>
      <c r="S21" s="2"/>
      <c r="T21" s="2">
        <f>--70996.04</f>
        <v>70996.039999999994</v>
      </c>
      <c r="U21" s="2"/>
      <c r="V21" s="19"/>
      <c r="W21" s="2"/>
      <c r="X21" s="2">
        <f t="shared" si="2"/>
        <v>-70996.039999999994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"4158", " - ", "NON-TAXABLE SALES-FOOD")</f>
        <v xml:space="preserve">          4158 - NON-TAXABLE SALES-FOOD</v>
      </c>
      <c r="C22" s="11"/>
      <c r="D22" s="2">
        <f t="shared" si="5"/>
        <v>0</v>
      </c>
      <c r="E22" s="2"/>
      <c r="F22" s="19"/>
      <c r="G22" s="2"/>
      <c r="H22" s="2">
        <f>--30810.22</f>
        <v>30810.22</v>
      </c>
      <c r="I22" s="2"/>
      <c r="J22" s="19"/>
      <c r="K22" s="2"/>
      <c r="L22" s="2">
        <f t="shared" si="0"/>
        <v>-30810.22</v>
      </c>
      <c r="M22" s="2"/>
      <c r="N22" s="19">
        <f t="shared" si="1"/>
        <v>-1</v>
      </c>
      <c r="O22" s="11"/>
      <c r="P22" s="2">
        <f t="shared" si="6"/>
        <v>0</v>
      </c>
      <c r="Q22" s="2"/>
      <c r="R22" s="19"/>
      <c r="S22" s="2"/>
      <c r="T22" s="2">
        <f>--40369.91</f>
        <v>40369.910000000003</v>
      </c>
      <c r="U22" s="2"/>
      <c r="V22" s="19"/>
      <c r="W22" s="2"/>
      <c r="X22" s="2">
        <f t="shared" si="2"/>
        <v>-40369.910000000003</v>
      </c>
      <c r="Y22" s="2"/>
      <c r="Z22" s="19">
        <f t="shared" si="3"/>
        <v>-1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collapsed="1" x14ac:dyDescent="0.25">
      <c r="A24" s="10"/>
      <c r="B24" s="25" t="s">
        <v>8</v>
      </c>
      <c r="C24" s="10"/>
      <c r="D24" s="4">
        <f>SUM(OSRRefD16x_0)</f>
        <v>50318.539999999994</v>
      </c>
      <c r="E24" s="4"/>
      <c r="F24" s="12">
        <f t="shared" ref="F24:F26" si="7">IF(D$12=0,0,D24/D$12)</f>
        <v>0.92248009148804078</v>
      </c>
      <c r="G24" s="4"/>
      <c r="H24" s="4">
        <f>SUM(OSRRefH16x_0)</f>
        <v>251281.21999999994</v>
      </c>
      <c r="I24" s="4"/>
      <c r="J24" s="12">
        <f t="shared" ref="J24:J26" si="8">IF(H$12=0,0,H24/H$12)</f>
        <v>0.29421226126690025</v>
      </c>
      <c r="K24" s="4"/>
      <c r="L24" s="4">
        <f t="shared" ref="L24:L26" si="9">+D24-H24</f>
        <v>-200962.67999999993</v>
      </c>
      <c r="M24" s="4"/>
      <c r="N24" s="12">
        <f t="shared" ref="N24:N26" si="10">IF(H24=0,0,L24/H24)</f>
        <v>-0.79975208652680041</v>
      </c>
      <c r="O24" s="10"/>
      <c r="P24" s="4">
        <f>SUM(OSRRefP16x_0)</f>
        <v>62008.160000000003</v>
      </c>
      <c r="Q24" s="4"/>
      <c r="R24" s="12">
        <f t="shared" ref="R24:R26" si="11">IF(P$12=0,0,P24/P$12)</f>
        <v>0.82843399151768504</v>
      </c>
      <c r="S24" s="4"/>
      <c r="T24" s="4">
        <f>SUM(OSRRefT16x_0)</f>
        <v>479309.92</v>
      </c>
      <c r="U24" s="4"/>
      <c r="V24" s="12">
        <f t="shared" ref="V24:V26" si="12">IF(T$12=0,0,T24/T$12)</f>
        <v>0.31063888151733599</v>
      </c>
      <c r="W24" s="4"/>
      <c r="X24" s="4">
        <f t="shared" ref="X24:X26" si="13">+P24-T24</f>
        <v>-417301.76000000001</v>
      </c>
      <c r="Y24" s="4"/>
      <c r="Z24" s="12">
        <f t="shared" ref="Z24:Z26" si="14">IF(T24=0,0,X24/T24)</f>
        <v>-0.87063034288962771</v>
      </c>
    </row>
    <row r="25" spans="1:26" s="24" customFormat="1" hidden="1" outlineLevel="1" x14ac:dyDescent="0.25">
      <c r="A25" s="44"/>
      <c r="B25" s="11" t="str">
        <f>CONCATENATE("          ", "5053", " - ", "PURCHASES @ COST-FOOD")</f>
        <v xml:space="preserve">          5053 - PURCHASES @ COST-FOOD</v>
      </c>
      <c r="C25" s="11"/>
      <c r="D25" s="2">
        <v>80529.539999999994</v>
      </c>
      <c r="E25" s="2"/>
      <c r="F25" s="19">
        <f t="shared" si="7"/>
        <v>1.47633252925641</v>
      </c>
      <c r="G25" s="2"/>
      <c r="H25" s="2">
        <v>296545.50999999995</v>
      </c>
      <c r="I25" s="2"/>
      <c r="J25" s="19">
        <f t="shared" si="8"/>
        <v>0.34720989123519136</v>
      </c>
      <c r="K25" s="2"/>
      <c r="L25" s="2">
        <f t="shared" si="9"/>
        <v>-216015.96999999997</v>
      </c>
      <c r="M25" s="2"/>
      <c r="N25" s="19">
        <f t="shared" si="10"/>
        <v>-0.72844120958027658</v>
      </c>
      <c r="O25" s="11"/>
      <c r="P25" s="2">
        <v>88810.16</v>
      </c>
      <c r="Q25" s="2"/>
      <c r="R25" s="19">
        <f t="shared" si="11"/>
        <v>1.1865108614112119</v>
      </c>
      <c r="S25" s="2"/>
      <c r="T25" s="2">
        <v>528619.21</v>
      </c>
      <c r="U25" s="2"/>
      <c r="V25" s="19">
        <f t="shared" si="12"/>
        <v>0.34259603920356529</v>
      </c>
      <c r="W25" s="2"/>
      <c r="X25" s="2">
        <f t="shared" si="13"/>
        <v>-439809.04999999993</v>
      </c>
      <c r="Y25" s="2"/>
      <c r="Z25" s="19">
        <f t="shared" si="14"/>
        <v>-0.8319959654890331</v>
      </c>
    </row>
    <row r="26" spans="1:26" s="24" customFormat="1" hidden="1" outlineLevel="1" x14ac:dyDescent="0.25">
      <c r="A26" s="44"/>
      <c r="B26" s="11" t="str">
        <f>CONCATENATE("          ", "5059", " - ", "PURCHASES @ COST-FOOD")</f>
        <v xml:space="preserve">          5059 - PURCHASES @ COST-FOOD</v>
      </c>
      <c r="C26" s="11"/>
      <c r="D26" s="2">
        <v>-30211</v>
      </c>
      <c r="E26" s="2"/>
      <c r="F26" s="19">
        <f t="shared" si="7"/>
        <v>-0.55385243776836934</v>
      </c>
      <c r="G26" s="2"/>
      <c r="H26" s="2">
        <v>-45264.29</v>
      </c>
      <c r="I26" s="2"/>
      <c r="J26" s="19">
        <f t="shared" si="8"/>
        <v>-5.2997629968291077E-2</v>
      </c>
      <c r="K26" s="2"/>
      <c r="L26" s="2">
        <f t="shared" si="9"/>
        <v>15053.29</v>
      </c>
      <c r="M26" s="2"/>
      <c r="N26" s="19">
        <f t="shared" si="10"/>
        <v>-0.33256436807028233</v>
      </c>
      <c r="O26" s="11"/>
      <c r="P26" s="2">
        <v>-26802</v>
      </c>
      <c r="Q26" s="2"/>
      <c r="R26" s="19">
        <f t="shared" si="11"/>
        <v>-0.35807686989352683</v>
      </c>
      <c r="S26" s="2"/>
      <c r="T26" s="2">
        <v>-49309.29</v>
      </c>
      <c r="U26" s="2"/>
      <c r="V26" s="19">
        <f t="shared" si="12"/>
        <v>-3.1957157686229323E-2</v>
      </c>
      <c r="W26" s="2"/>
      <c r="X26" s="2">
        <f t="shared" si="13"/>
        <v>22507.29</v>
      </c>
      <c r="Y26" s="2"/>
      <c r="Z26" s="19">
        <f t="shared" si="14"/>
        <v>-0.45645130968221204</v>
      </c>
    </row>
    <row r="27" spans="1:26" x14ac:dyDescent="0.25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25">
      <c r="A28" s="10"/>
      <c r="B28" s="26" t="s">
        <v>6</v>
      </c>
      <c r="C28" s="26"/>
      <c r="D28" s="22">
        <f>D12-D24</f>
        <v>4228.4800000000105</v>
      </c>
      <c r="E28" s="13"/>
      <c r="F28" s="21">
        <f>IF(D$12=0,0,D28/D$12)</f>
        <v>7.7519908511959223E-2</v>
      </c>
      <c r="G28" s="13"/>
      <c r="H28" s="22">
        <f>H12-H24</f>
        <v>602800.18000000005</v>
      </c>
      <c r="I28" s="13"/>
      <c r="J28" s="21">
        <f>IF(H$12=0,0,H28/H$12)</f>
        <v>0.70578773873309975</v>
      </c>
      <c r="K28" s="16"/>
      <c r="L28" s="22">
        <f>+D28-H28</f>
        <v>-598571.70000000007</v>
      </c>
      <c r="M28" s="16"/>
      <c r="N28" s="21">
        <f>IF(H28=0,0,L28/H28)</f>
        <v>-0.99298527084049648</v>
      </c>
      <c r="O28" s="25"/>
      <c r="P28" s="22">
        <f>P12-P24</f>
        <v>12841.690000000002</v>
      </c>
      <c r="Q28" s="13"/>
      <c r="R28" s="21">
        <f>IF(P$12=0,0,P28/P$12)</f>
        <v>0.17156600848231496</v>
      </c>
      <c r="S28" s="13"/>
      <c r="T28" s="22">
        <f>T12-T24</f>
        <v>1063671.1700000002</v>
      </c>
      <c r="U28" s="13"/>
      <c r="V28" s="21">
        <f>IF(T$12=0,0,T28/T$12)</f>
        <v>0.68936111848266401</v>
      </c>
      <c r="W28" s="16"/>
      <c r="X28" s="22">
        <f>+P28-T28</f>
        <v>-1050829.4800000002</v>
      </c>
      <c r="Y28" s="16"/>
      <c r="Z28" s="21">
        <f>IF(T28=0,0,X28/T28)</f>
        <v>-0.98792701131497251</v>
      </c>
    </row>
    <row r="29" spans="1:26" x14ac:dyDescent="0.25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25">
      <c r="A30" s="10"/>
      <c r="B30" s="25" t="s">
        <v>9</v>
      </c>
      <c r="C30" s="10"/>
      <c r="D30" s="20">
        <f>SUM(OSRRefD22x_0)</f>
        <v>282928.91000000009</v>
      </c>
      <c r="E30" s="20"/>
      <c r="F30" s="35">
        <f t="shared" ref="F30:F40" si="15">IF(D$12=0,0,D30/D$12)</f>
        <v>5.1868811531775716</v>
      </c>
      <c r="G30" s="20"/>
      <c r="H30" s="20">
        <f>SUM(OSRRefH22x_0)</f>
        <v>761049.23</v>
      </c>
      <c r="I30" s="20"/>
      <c r="J30" s="35">
        <f t="shared" ref="J30:J40" si="16">IF(H$12=0,0,H30/H$12)</f>
        <v>0.89107341525058381</v>
      </c>
      <c r="K30" s="4"/>
      <c r="L30" s="20">
        <f t="shared" ref="L30:L40" si="17">+D30-H30</f>
        <v>-478120.31999999989</v>
      </c>
      <c r="M30" s="4"/>
      <c r="N30" s="35">
        <f t="shared" ref="N30:N40" si="18">IF(H30=0,0,L30/H30)</f>
        <v>-0.6282383598233191</v>
      </c>
      <c r="O30" s="10"/>
      <c r="P30" s="20">
        <f>SUM(OSRRefP22x_0)</f>
        <v>596024.06000000006</v>
      </c>
      <c r="Q30" s="20"/>
      <c r="R30" s="35">
        <f t="shared" ref="R30:R40" si="19">IF(P$12=0,0,P30/P$12)</f>
        <v>7.9629292510272229</v>
      </c>
      <c r="S30" s="20"/>
      <c r="T30" s="20">
        <f>SUM(OSRRefT22x_0)</f>
        <v>1570428.8899999997</v>
      </c>
      <c r="U30" s="20"/>
      <c r="V30" s="35">
        <f t="shared" ref="V30:V40" si="20">IF(T$12=0,0,T30/T$12)</f>
        <v>1.0177888116567906</v>
      </c>
      <c r="W30" s="4"/>
      <c r="X30" s="20">
        <f t="shared" ref="X30:X40" si="21">+P30-T30</f>
        <v>-974404.82999999961</v>
      </c>
      <c r="Y30" s="4"/>
      <c r="Z30" s="35">
        <f t="shared" ref="Z30:Z40" si="22">IF(T30=0,0,X30/T30)</f>
        <v>-0.62047051999915759</v>
      </c>
    </row>
    <row r="31" spans="1:26" s="28" customFormat="1" outlineLevel="1" collapsed="1" x14ac:dyDescent="0.25">
      <c r="A31" s="27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93657.88</v>
      </c>
      <c r="E31" s="1"/>
      <c r="F31" s="5">
        <f t="shared" si="15"/>
        <v>1.7170118550930922</v>
      </c>
      <c r="G31" s="1"/>
      <c r="H31" s="1">
        <f>SUM(OSRRefH22_0x_0)</f>
        <v>144777.88999999998</v>
      </c>
      <c r="I31" s="1"/>
      <c r="J31" s="5">
        <f t="shared" si="16"/>
        <v>0.16951298787211616</v>
      </c>
      <c r="K31" s="1"/>
      <c r="L31" s="1">
        <f t="shared" si="17"/>
        <v>-51120.00999999998</v>
      </c>
      <c r="M31" s="1"/>
      <c r="N31" s="5">
        <f t="shared" si="18"/>
        <v>-0.35309265800185363</v>
      </c>
      <c r="O31" s="14"/>
      <c r="P31" s="1">
        <f>SUM(OSRRefP22_0x_0)</f>
        <v>191173.16000000003</v>
      </c>
      <c r="Q31" s="1"/>
      <c r="R31" s="5">
        <f t="shared" si="19"/>
        <v>2.5540887523488691</v>
      </c>
      <c r="S31" s="1"/>
      <c r="T31" s="1">
        <f>SUM(OSRRefT22_0x_0)</f>
        <v>311893.34999999998</v>
      </c>
      <c r="U31" s="1"/>
      <c r="V31" s="5">
        <f t="shared" si="20"/>
        <v>0.20213685833311149</v>
      </c>
      <c r="W31" s="1"/>
      <c r="X31" s="1">
        <f t="shared" si="21"/>
        <v>-120720.18999999994</v>
      </c>
      <c r="Y31" s="1"/>
      <c r="Z31" s="5">
        <f t="shared" si="22"/>
        <v>-0.38705599205625885</v>
      </c>
    </row>
    <row r="32" spans="1:26" s="24" customFormat="1" hidden="1" outlineLevel="2" x14ac:dyDescent="0.25">
      <c r="A32" s="29"/>
      <c r="B32" s="11" t="str">
        <f>CONCATENATE("          ", "6111", " - ", "F.I.C.A.")</f>
        <v xml:space="preserve">          6111 - F.I.C.A.</v>
      </c>
      <c r="C32" s="11"/>
      <c r="D32" s="7">
        <v>9402.5499999999993</v>
      </c>
      <c r="E32" s="2"/>
      <c r="F32" s="6">
        <f t="shared" si="15"/>
        <v>0.17237513616692532</v>
      </c>
      <c r="G32" s="2"/>
      <c r="H32" s="7">
        <v>25677.66</v>
      </c>
      <c r="I32" s="2"/>
      <c r="J32" s="6">
        <f t="shared" si="16"/>
        <v>3.0064651917252851E-2</v>
      </c>
      <c r="K32" s="2"/>
      <c r="L32" s="7">
        <f t="shared" si="17"/>
        <v>-16275.11</v>
      </c>
      <c r="M32" s="2"/>
      <c r="N32" s="6">
        <f t="shared" si="18"/>
        <v>-0.63382372069729098</v>
      </c>
      <c r="O32" s="11"/>
      <c r="P32" s="7">
        <v>18417.710000000003</v>
      </c>
      <c r="Q32" s="2"/>
      <c r="R32" s="6">
        <f t="shared" si="19"/>
        <v>0.24606208295674609</v>
      </c>
      <c r="S32" s="2"/>
      <c r="T32" s="7">
        <v>49268.689999999995</v>
      </c>
      <c r="U32" s="2"/>
      <c r="V32" s="6">
        <f t="shared" si="20"/>
        <v>3.193084498527457E-2</v>
      </c>
      <c r="W32" s="2"/>
      <c r="X32" s="7">
        <f t="shared" si="21"/>
        <v>-30850.979999999992</v>
      </c>
      <c r="Y32" s="2"/>
      <c r="Z32" s="6">
        <f t="shared" si="22"/>
        <v>-0.62617820770148336</v>
      </c>
    </row>
    <row r="33" spans="1:26" s="24" customFormat="1" hidden="1" outlineLevel="2" x14ac:dyDescent="0.25">
      <c r="A33" s="29"/>
      <c r="B33" s="11" t="str">
        <f>CONCATENATE("          ", "6112", " - ", "COMPENSATION INSURANCE")</f>
        <v xml:space="preserve">          6112 - COMPENSATION INSURANCE</v>
      </c>
      <c r="C33" s="11"/>
      <c r="D33" s="7">
        <v>4477.29</v>
      </c>
      <c r="E33" s="2"/>
      <c r="F33" s="6">
        <f t="shared" si="15"/>
        <v>8.2081294266854538E-2</v>
      </c>
      <c r="G33" s="2"/>
      <c r="H33" s="7">
        <v>13173.58</v>
      </c>
      <c r="I33" s="2"/>
      <c r="J33" s="6">
        <f t="shared" si="16"/>
        <v>1.5424267522978489E-2</v>
      </c>
      <c r="K33" s="2"/>
      <c r="L33" s="7">
        <f t="shared" si="17"/>
        <v>-8696.2900000000009</v>
      </c>
      <c r="M33" s="2"/>
      <c r="N33" s="6">
        <f t="shared" si="18"/>
        <v>-0.66013111090531207</v>
      </c>
      <c r="O33" s="11"/>
      <c r="P33" s="7">
        <v>8617.4</v>
      </c>
      <c r="Q33" s="2"/>
      <c r="R33" s="6">
        <f t="shared" si="19"/>
        <v>0.11512915523544802</v>
      </c>
      <c r="S33" s="2"/>
      <c r="T33" s="7">
        <v>25177.14</v>
      </c>
      <c r="U33" s="2"/>
      <c r="V33" s="6">
        <f t="shared" si="20"/>
        <v>1.6317205805808026E-2</v>
      </c>
      <c r="W33" s="2"/>
      <c r="X33" s="7">
        <f t="shared" si="21"/>
        <v>-16559.739999999998</v>
      </c>
      <c r="Y33" s="2"/>
      <c r="Z33" s="6">
        <f t="shared" si="22"/>
        <v>-0.65772919402283181</v>
      </c>
    </row>
    <row r="34" spans="1:26" s="24" customFormat="1" hidden="1" outlineLevel="2" x14ac:dyDescent="0.25">
      <c r="A34" s="29"/>
      <c r="B34" s="11" t="str">
        <f>CONCATENATE("          ", "6113", " - ", "GROUP INSURANCE")</f>
        <v xml:space="preserve">          6113 - GROUP INSURANCE</v>
      </c>
      <c r="C34" s="11"/>
      <c r="D34" s="7">
        <v>55053.17</v>
      </c>
      <c r="E34" s="2"/>
      <c r="F34" s="6">
        <f t="shared" si="15"/>
        <v>1.0092791503550513</v>
      </c>
      <c r="G34" s="2"/>
      <c r="H34" s="7">
        <v>66228.41</v>
      </c>
      <c r="I34" s="2"/>
      <c r="J34" s="6">
        <f t="shared" si="16"/>
        <v>7.7543440238834374E-2</v>
      </c>
      <c r="K34" s="2"/>
      <c r="L34" s="7">
        <f t="shared" si="17"/>
        <v>-11175.240000000005</v>
      </c>
      <c r="M34" s="2"/>
      <c r="N34" s="6">
        <f t="shared" si="18"/>
        <v>-0.16873785736362998</v>
      </c>
      <c r="O34" s="11"/>
      <c r="P34" s="7">
        <v>110362.78</v>
      </c>
      <c r="Q34" s="2"/>
      <c r="R34" s="6">
        <f t="shared" si="19"/>
        <v>1.4744555934313828</v>
      </c>
      <c r="S34" s="2"/>
      <c r="T34" s="7">
        <v>131292</v>
      </c>
      <c r="U34" s="2"/>
      <c r="V34" s="6">
        <f t="shared" si="20"/>
        <v>8.5089830880558617E-2</v>
      </c>
      <c r="W34" s="2"/>
      <c r="X34" s="7">
        <f t="shared" si="21"/>
        <v>-20929.22</v>
      </c>
      <c r="Y34" s="2"/>
      <c r="Z34" s="6">
        <f t="shared" si="22"/>
        <v>-0.15940971270145934</v>
      </c>
    </row>
    <row r="35" spans="1:26" s="24" customFormat="1" hidden="1" outlineLevel="2" x14ac:dyDescent="0.25">
      <c r="A35" s="29"/>
      <c r="B35" s="11" t="str">
        <f>CONCATENATE("          ", "6114", " - ", "STATE UNEMPLOYMENT INSURANCE")</f>
        <v xml:space="preserve">          6114 - STATE UNEMPLOYMENT INSURANCE</v>
      </c>
      <c r="C35" s="11"/>
      <c r="D35" s="7">
        <v>323.45999999999998</v>
      </c>
      <c r="E35" s="2"/>
      <c r="F35" s="6">
        <f t="shared" si="15"/>
        <v>5.9299298110144227E-3</v>
      </c>
      <c r="G35" s="2"/>
      <c r="H35" s="7">
        <v>902.42</v>
      </c>
      <c r="I35" s="2"/>
      <c r="J35" s="6">
        <f t="shared" si="16"/>
        <v>1.0565971814864483E-3</v>
      </c>
      <c r="K35" s="2"/>
      <c r="L35" s="7">
        <f t="shared" si="17"/>
        <v>-578.96</v>
      </c>
      <c r="M35" s="2"/>
      <c r="N35" s="6">
        <f t="shared" si="18"/>
        <v>-0.64156379512865414</v>
      </c>
      <c r="O35" s="11"/>
      <c r="P35" s="7">
        <v>698.03</v>
      </c>
      <c r="Q35" s="2"/>
      <c r="R35" s="6">
        <f t="shared" si="19"/>
        <v>9.3257367917236964E-3</v>
      </c>
      <c r="S35" s="2"/>
      <c r="T35" s="7">
        <v>1725.89</v>
      </c>
      <c r="U35" s="2"/>
      <c r="V35" s="6">
        <f t="shared" si="20"/>
        <v>1.1185425480489848E-3</v>
      </c>
      <c r="W35" s="2"/>
      <c r="X35" s="7">
        <f t="shared" si="21"/>
        <v>-1027.8600000000001</v>
      </c>
      <c r="Y35" s="2"/>
      <c r="Z35" s="6">
        <f t="shared" si="22"/>
        <v>-0.59555359843327216</v>
      </c>
    </row>
    <row r="36" spans="1:26" s="24" customFormat="1" hidden="1" outlineLevel="2" x14ac:dyDescent="0.25">
      <c r="A36" s="29"/>
      <c r="B36" s="11" t="str">
        <f>CONCATENATE("          ", "6115", " - ", "P.E.R.S.")</f>
        <v xml:space="preserve">          6115 - P.E.R.S.</v>
      </c>
      <c r="C36" s="11"/>
      <c r="D36" s="7">
        <v>6333.53</v>
      </c>
      <c r="E36" s="2"/>
      <c r="F36" s="6">
        <f t="shared" si="15"/>
        <v>0.11611138426993811</v>
      </c>
      <c r="G36" s="2"/>
      <c r="H36" s="7">
        <v>9994.9</v>
      </c>
      <c r="I36" s="2"/>
      <c r="J36" s="6">
        <f t="shared" si="16"/>
        <v>1.1702514537841475E-2</v>
      </c>
      <c r="K36" s="2"/>
      <c r="L36" s="7">
        <f t="shared" si="17"/>
        <v>-3661.37</v>
      </c>
      <c r="M36" s="2"/>
      <c r="N36" s="6">
        <f t="shared" si="18"/>
        <v>-0.3663238251508269</v>
      </c>
      <c r="O36" s="11"/>
      <c r="P36" s="7">
        <v>16360.089999999998</v>
      </c>
      <c r="Q36" s="2"/>
      <c r="R36" s="6">
        <f t="shared" si="19"/>
        <v>0.21857211470697666</v>
      </c>
      <c r="S36" s="2"/>
      <c r="T36" s="7">
        <v>19737.02</v>
      </c>
      <c r="U36" s="2"/>
      <c r="V36" s="6">
        <f t="shared" si="20"/>
        <v>1.2791485344775028E-2</v>
      </c>
      <c r="W36" s="2"/>
      <c r="X36" s="7">
        <f t="shared" si="21"/>
        <v>-3376.9300000000021</v>
      </c>
      <c r="Y36" s="2"/>
      <c r="Z36" s="6">
        <f t="shared" si="22"/>
        <v>-0.17109624451918284</v>
      </c>
    </row>
    <row r="37" spans="1:26" s="24" customFormat="1" hidden="1" outlineLevel="2" x14ac:dyDescent="0.25">
      <c r="A37" s="29"/>
      <c r="B37" s="11" t="str">
        <f>CONCATENATE("          ", "6117", " - ", "RETIREMENT STAFF HOURLY")</f>
        <v xml:space="preserve">          6117 - RETIREMENT STAFF HOURLY</v>
      </c>
      <c r="C37" s="11"/>
      <c r="D37" s="7">
        <v>1373.88</v>
      </c>
      <c r="E37" s="2"/>
      <c r="F37" s="6">
        <f t="shared" si="15"/>
        <v>2.5187077130886342E-2</v>
      </c>
      <c r="G37" s="2"/>
      <c r="H37" s="7">
        <v>1221.05</v>
      </c>
      <c r="I37" s="2"/>
      <c r="J37" s="6">
        <f t="shared" si="16"/>
        <v>1.4296646666231111E-3</v>
      </c>
      <c r="K37" s="2"/>
      <c r="L37" s="7">
        <f t="shared" si="17"/>
        <v>152.83000000000015</v>
      </c>
      <c r="M37" s="2"/>
      <c r="N37" s="6">
        <f t="shared" si="18"/>
        <v>0.12516276974734872</v>
      </c>
      <c r="O37" s="11"/>
      <c r="P37" s="7">
        <v>3343.02</v>
      </c>
      <c r="Q37" s="2"/>
      <c r="R37" s="6">
        <f t="shared" si="19"/>
        <v>4.4663015356744197E-2</v>
      </c>
      <c r="S37" s="2"/>
      <c r="T37" s="7">
        <v>2659.31</v>
      </c>
      <c r="U37" s="2"/>
      <c r="V37" s="6">
        <f t="shared" si="20"/>
        <v>1.7234883934967732E-3</v>
      </c>
      <c r="W37" s="2"/>
      <c r="X37" s="7">
        <f t="shared" si="21"/>
        <v>683.71</v>
      </c>
      <c r="Y37" s="2"/>
      <c r="Z37" s="6">
        <f t="shared" si="22"/>
        <v>0.25710052607631306</v>
      </c>
    </row>
    <row r="38" spans="1:26" s="24" customFormat="1" hidden="1" outlineLevel="2" x14ac:dyDescent="0.25">
      <c r="A38" s="29"/>
      <c r="B38" s="11" t="str">
        <f>CONCATENATE("          ", "6118", " - ", "VACATION")</f>
        <v xml:space="preserve">          6118 - VACATION</v>
      </c>
      <c r="C38" s="11"/>
      <c r="D38" s="7">
        <v>8430.9699999999993</v>
      </c>
      <c r="E38" s="2"/>
      <c r="F38" s="6">
        <f t="shared" si="15"/>
        <v>0.15456334736526392</v>
      </c>
      <c r="G38" s="2"/>
      <c r="H38" s="7">
        <v>13045.34</v>
      </c>
      <c r="I38" s="2"/>
      <c r="J38" s="6">
        <f t="shared" si="16"/>
        <v>1.5274117900237612E-2</v>
      </c>
      <c r="K38" s="2"/>
      <c r="L38" s="7">
        <f t="shared" si="17"/>
        <v>-4614.3700000000008</v>
      </c>
      <c r="M38" s="2"/>
      <c r="N38" s="6">
        <f t="shared" si="18"/>
        <v>-0.35371787933468968</v>
      </c>
      <c r="O38" s="11"/>
      <c r="P38" s="7">
        <v>16443.419999999998</v>
      </c>
      <c r="Q38" s="2"/>
      <c r="R38" s="6">
        <f t="shared" si="19"/>
        <v>0.21968541019120275</v>
      </c>
      <c r="S38" s="2"/>
      <c r="T38" s="7">
        <v>32507.699999999997</v>
      </c>
      <c r="U38" s="2"/>
      <c r="V38" s="6">
        <f t="shared" si="20"/>
        <v>2.1068113025286651E-2</v>
      </c>
      <c r="W38" s="2"/>
      <c r="X38" s="7">
        <f t="shared" si="21"/>
        <v>-16064.279999999999</v>
      </c>
      <c r="Y38" s="2"/>
      <c r="Z38" s="6">
        <f t="shared" si="22"/>
        <v>-0.4941684585498205</v>
      </c>
    </row>
    <row r="39" spans="1:26" s="24" customFormat="1" hidden="1" outlineLevel="2" x14ac:dyDescent="0.25">
      <c r="A39" s="29"/>
      <c r="B39" s="11" t="str">
        <f>CONCATENATE("          ", "6119", " - ", "SICK LEAVE")</f>
        <v xml:space="preserve">          6119 - SICK LEAVE</v>
      </c>
      <c r="C39" s="11"/>
      <c r="D39" s="7">
        <v>5575.88</v>
      </c>
      <c r="E39" s="2"/>
      <c r="F39" s="6">
        <f t="shared" si="15"/>
        <v>0.10222153290867218</v>
      </c>
      <c r="G39" s="2"/>
      <c r="H39" s="7">
        <v>8789.92</v>
      </c>
      <c r="I39" s="2"/>
      <c r="J39" s="6">
        <f t="shared" si="16"/>
        <v>1.0291665408004436E-2</v>
      </c>
      <c r="K39" s="2"/>
      <c r="L39" s="7">
        <f t="shared" si="17"/>
        <v>-3214.04</v>
      </c>
      <c r="M39" s="2"/>
      <c r="N39" s="6">
        <f t="shared" si="18"/>
        <v>-0.36565065438593297</v>
      </c>
      <c r="O39" s="11"/>
      <c r="P39" s="7">
        <v>11231.01</v>
      </c>
      <c r="Q39" s="2"/>
      <c r="R39" s="6">
        <f t="shared" si="19"/>
        <v>0.15004719448335566</v>
      </c>
      <c r="S39" s="2"/>
      <c r="T39" s="7">
        <v>38610.1</v>
      </c>
      <c r="U39" s="2"/>
      <c r="V39" s="6">
        <f t="shared" si="20"/>
        <v>2.5023054559923347E-2</v>
      </c>
      <c r="W39" s="2"/>
      <c r="X39" s="7">
        <f t="shared" si="21"/>
        <v>-27379.089999999997</v>
      </c>
      <c r="Y39" s="2"/>
      <c r="Z39" s="6">
        <f t="shared" si="22"/>
        <v>-0.70911730350348734</v>
      </c>
    </row>
    <row r="40" spans="1:26" s="24" customFormat="1" hidden="1" outlineLevel="2" x14ac:dyDescent="0.25">
      <c r="A40" s="29"/>
      <c r="B40" s="11" t="str">
        <f>CONCATENATE("          ", "6156", " - ", "EMPLOYEE MEALS")</f>
        <v xml:space="preserve">          6156 - EMPLOYEE MEALS</v>
      </c>
      <c r="C40" s="11"/>
      <c r="D40" s="7">
        <v>2687.15</v>
      </c>
      <c r="E40" s="2"/>
      <c r="F40" s="6">
        <f t="shared" si="15"/>
        <v>4.9263002818485772E-2</v>
      </c>
      <c r="G40" s="2"/>
      <c r="H40" s="7">
        <v>5744.61</v>
      </c>
      <c r="I40" s="2"/>
      <c r="J40" s="6">
        <f t="shared" si="16"/>
        <v>6.7260684988573686E-3</v>
      </c>
      <c r="K40" s="2"/>
      <c r="L40" s="7">
        <f t="shared" si="17"/>
        <v>-3057.4599999999996</v>
      </c>
      <c r="M40" s="2"/>
      <c r="N40" s="6">
        <f t="shared" si="18"/>
        <v>-0.5322310827018718</v>
      </c>
      <c r="O40" s="11"/>
      <c r="P40" s="7">
        <v>5699.7</v>
      </c>
      <c r="Q40" s="2"/>
      <c r="R40" s="6">
        <f t="shared" si="19"/>
        <v>7.6148449195288959E-2</v>
      </c>
      <c r="S40" s="2"/>
      <c r="T40" s="7">
        <v>10915.5</v>
      </c>
      <c r="U40" s="2"/>
      <c r="V40" s="6">
        <f t="shared" si="20"/>
        <v>7.0742927899395056E-3</v>
      </c>
      <c r="W40" s="2"/>
      <c r="X40" s="7">
        <f t="shared" si="21"/>
        <v>-5215.8</v>
      </c>
      <c r="Y40" s="2"/>
      <c r="Z40" s="6">
        <f t="shared" si="22"/>
        <v>-0.4778342723649856</v>
      </c>
    </row>
    <row r="41" spans="1:26" s="28" customFormat="1" outlineLevel="1" collapsed="1" x14ac:dyDescent="0.25">
      <c r="A41" s="27"/>
      <c r="B41" s="14" t="str">
        <f>CONCATENATE("     ","*Payroll                                          ")</f>
        <v xml:space="preserve">     *Payroll                                          </v>
      </c>
      <c r="C41" s="14"/>
      <c r="D41" s="1">
        <f>SUM(OSRRefD22_1x_0)</f>
        <v>118437.17</v>
      </c>
      <c r="E41" s="1"/>
      <c r="F41" s="5">
        <f t="shared" ref="F41:F48" si="23">IF(D$12=0,0,D41/D$12)</f>
        <v>2.1712858007641844</v>
      </c>
      <c r="G41" s="1"/>
      <c r="H41" s="1">
        <f>SUM(OSRRefH22_1x_0)</f>
        <v>376743.27999999997</v>
      </c>
      <c r="I41" s="1"/>
      <c r="J41" s="5">
        <f t="shared" ref="J41:J48" si="24">IF(H$12=0,0,H41/H$12)</f>
        <v>0.44110933688521958</v>
      </c>
      <c r="K41" s="1"/>
      <c r="L41" s="1">
        <f t="shared" ref="L41:L48" si="25">+D41-H41</f>
        <v>-258306.11</v>
      </c>
      <c r="M41" s="1"/>
      <c r="N41" s="5">
        <f t="shared" ref="N41:N48" si="26">IF(H41=0,0,L41/H41)</f>
        <v>-0.68562897790771482</v>
      </c>
      <c r="O41" s="14"/>
      <c r="P41" s="1">
        <f>SUM(OSRRefP22_1x_0)</f>
        <v>241862.75</v>
      </c>
      <c r="Q41" s="1"/>
      <c r="R41" s="5">
        <f t="shared" ref="R41:R48" si="27">IF(P$12=0,0,P41/P$12)</f>
        <v>3.2313057407596673</v>
      </c>
      <c r="S41" s="1"/>
      <c r="T41" s="1">
        <f>SUM(OSRRefT22_1x_0)</f>
        <v>742519.63</v>
      </c>
      <c r="U41" s="1"/>
      <c r="V41" s="5">
        <f t="shared" ref="V41:V48" si="28">IF(T$12=0,0,T41/T$12)</f>
        <v>0.4812240634783152</v>
      </c>
      <c r="W41" s="1"/>
      <c r="X41" s="1">
        <f t="shared" ref="X41:X48" si="29">+P41-T41</f>
        <v>-500656.88</v>
      </c>
      <c r="Y41" s="1"/>
      <c r="Z41" s="5">
        <f t="shared" ref="Z41:Z48" si="30">IF(T41=0,0,X41/T41)</f>
        <v>-0.67426753417953411</v>
      </c>
    </row>
    <row r="42" spans="1:26" s="24" customFormat="1" hidden="1" outlineLevel="2" x14ac:dyDescent="0.25">
      <c r="A42" s="29"/>
      <c r="B42" s="11" t="str">
        <f>CONCATENATE("          ", "6001", " - ", "ADMINISTRATIVE SALARIES")</f>
        <v xml:space="preserve">          6001 - ADMINISTRATIVE SALARIES</v>
      </c>
      <c r="C42" s="11"/>
      <c r="D42" s="7">
        <v>16445</v>
      </c>
      <c r="E42" s="2"/>
      <c r="F42" s="6">
        <f t="shared" si="23"/>
        <v>0.30148301410416184</v>
      </c>
      <c r="G42" s="2"/>
      <c r="H42" s="7">
        <v>20350.510000000002</v>
      </c>
      <c r="I42" s="2"/>
      <c r="J42" s="6">
        <f t="shared" si="24"/>
        <v>2.3827365869342199E-2</v>
      </c>
      <c r="K42" s="2"/>
      <c r="L42" s="7">
        <f t="shared" si="25"/>
        <v>-3905.510000000002</v>
      </c>
      <c r="M42" s="2"/>
      <c r="N42" s="6">
        <f t="shared" si="26"/>
        <v>-0.19191214372514506</v>
      </c>
      <c r="O42" s="11"/>
      <c r="P42" s="7">
        <v>38851.870000000003</v>
      </c>
      <c r="Q42" s="2"/>
      <c r="R42" s="6">
        <f t="shared" si="27"/>
        <v>0.51906409966085432</v>
      </c>
      <c r="S42" s="2"/>
      <c r="T42" s="7">
        <v>48514.71</v>
      </c>
      <c r="U42" s="2"/>
      <c r="V42" s="6">
        <f t="shared" si="28"/>
        <v>3.1442193500893778E-2</v>
      </c>
      <c r="W42" s="2"/>
      <c r="X42" s="7">
        <f t="shared" si="29"/>
        <v>-9662.8399999999965</v>
      </c>
      <c r="Y42" s="2"/>
      <c r="Z42" s="6">
        <f t="shared" si="30"/>
        <v>-0.19917340534448205</v>
      </c>
    </row>
    <row r="43" spans="1:26" s="24" customFormat="1" hidden="1" outlineLevel="2" x14ac:dyDescent="0.25">
      <c r="A43" s="29"/>
      <c r="B43" s="11" t="str">
        <f>CONCATENATE("          ", "6002", " - ", "STAFF SALARIES")</f>
        <v xml:space="preserve">          6002 - STAFF SALARIES</v>
      </c>
      <c r="C43" s="11"/>
      <c r="D43" s="7">
        <v>42270.979999999996</v>
      </c>
      <c r="E43" s="2"/>
      <c r="F43" s="6">
        <f t="shared" si="23"/>
        <v>0.77494572572433829</v>
      </c>
      <c r="G43" s="2"/>
      <c r="H43" s="7">
        <v>87438.76</v>
      </c>
      <c r="I43" s="2"/>
      <c r="J43" s="6">
        <f t="shared" si="24"/>
        <v>0.10237754855684715</v>
      </c>
      <c r="K43" s="2"/>
      <c r="L43" s="7">
        <f t="shared" si="25"/>
        <v>-45167.78</v>
      </c>
      <c r="M43" s="2"/>
      <c r="N43" s="6">
        <f t="shared" si="26"/>
        <v>-0.51656473627942578</v>
      </c>
      <c r="O43" s="11"/>
      <c r="P43" s="7">
        <v>97606.48</v>
      </c>
      <c r="Q43" s="2"/>
      <c r="R43" s="6">
        <f t="shared" si="27"/>
        <v>1.3040304021985347</v>
      </c>
      <c r="S43" s="2"/>
      <c r="T43" s="7">
        <v>190849.47999999998</v>
      </c>
      <c r="U43" s="2"/>
      <c r="V43" s="6">
        <f t="shared" si="28"/>
        <v>0.12368880035982811</v>
      </c>
      <c r="W43" s="2"/>
      <c r="X43" s="7">
        <f t="shared" si="29"/>
        <v>-93242.999999999985</v>
      </c>
      <c r="Y43" s="2"/>
      <c r="Z43" s="6">
        <f t="shared" si="30"/>
        <v>-0.48856826856431568</v>
      </c>
    </row>
    <row r="44" spans="1:26" s="24" customFormat="1" hidden="1" outlineLevel="2" x14ac:dyDescent="0.25">
      <c r="A44" s="29"/>
      <c r="B44" s="11" t="str">
        <f>CONCATENATE("          ", "6004", " - ", "STAFF HOURLY")</f>
        <v xml:space="preserve">          6004 - STAFF HOURLY</v>
      </c>
      <c r="C44" s="11"/>
      <c r="D44" s="7">
        <v>46538.990000000005</v>
      </c>
      <c r="E44" s="2"/>
      <c r="F44" s="6">
        <f t="shared" si="23"/>
        <v>0.85319033010419276</v>
      </c>
      <c r="G44" s="2"/>
      <c r="H44" s="7">
        <v>55345.77</v>
      </c>
      <c r="I44" s="2"/>
      <c r="J44" s="6">
        <f t="shared" si="24"/>
        <v>6.4801516576757201E-2</v>
      </c>
      <c r="K44" s="2"/>
      <c r="L44" s="7">
        <f t="shared" si="25"/>
        <v>-8806.7799999999916</v>
      </c>
      <c r="M44" s="2"/>
      <c r="N44" s="6">
        <f t="shared" si="26"/>
        <v>-0.15912291038682796</v>
      </c>
      <c r="O44" s="11"/>
      <c r="P44" s="7">
        <v>82471.199999999997</v>
      </c>
      <c r="Q44" s="2"/>
      <c r="R44" s="6">
        <f t="shared" si="27"/>
        <v>1.1018218473383712</v>
      </c>
      <c r="S44" s="2"/>
      <c r="T44" s="7">
        <v>116428.26999999999</v>
      </c>
      <c r="U44" s="2"/>
      <c r="V44" s="6">
        <f t="shared" si="28"/>
        <v>7.5456705694299853E-2</v>
      </c>
      <c r="W44" s="2"/>
      <c r="X44" s="7">
        <f t="shared" si="29"/>
        <v>-33957.069999999992</v>
      </c>
      <c r="Y44" s="2"/>
      <c r="Z44" s="6">
        <f t="shared" si="30"/>
        <v>-0.29165657103725751</v>
      </c>
    </row>
    <row r="45" spans="1:26" s="24" customFormat="1" hidden="1" outlineLevel="2" x14ac:dyDescent="0.25">
      <c r="A45" s="29"/>
      <c r="B45" s="11" t="str">
        <f>CONCATENATE("          ", "6005", " - ", "TEMPORARY WAGES-HOURLY")</f>
        <v xml:space="preserve">          6005 - TEMPORARY WAGES-HOURLY</v>
      </c>
      <c r="C45" s="11"/>
      <c r="D45" s="7">
        <v>1108.2</v>
      </c>
      <c r="E45" s="2"/>
      <c r="F45" s="6">
        <f t="shared" si="23"/>
        <v>2.0316416918834429E-2</v>
      </c>
      <c r="G45" s="2"/>
      <c r="H45" s="7">
        <v>66390.38</v>
      </c>
      <c r="I45" s="2"/>
      <c r="J45" s="6">
        <f t="shared" si="24"/>
        <v>7.7733082584400037E-2</v>
      </c>
      <c r="K45" s="2"/>
      <c r="L45" s="7">
        <f t="shared" si="25"/>
        <v>-65282.180000000008</v>
      </c>
      <c r="M45" s="2"/>
      <c r="N45" s="6">
        <f t="shared" si="26"/>
        <v>-0.98330782260923955</v>
      </c>
      <c r="O45" s="11"/>
      <c r="P45" s="7">
        <v>1108.2</v>
      </c>
      <c r="Q45" s="2"/>
      <c r="R45" s="6">
        <f t="shared" si="27"/>
        <v>1.4805640893067922E-2</v>
      </c>
      <c r="S45" s="2"/>
      <c r="T45" s="7">
        <v>127888.62999999999</v>
      </c>
      <c r="U45" s="2"/>
      <c r="V45" s="6">
        <f t="shared" si="28"/>
        <v>8.288412011582072E-2</v>
      </c>
      <c r="W45" s="2"/>
      <c r="X45" s="7">
        <f t="shared" si="29"/>
        <v>-126780.43</v>
      </c>
      <c r="Y45" s="2"/>
      <c r="Z45" s="6">
        <f t="shared" si="30"/>
        <v>-0.99133464796675042</v>
      </c>
    </row>
    <row r="46" spans="1:26" s="24" customFormat="1" hidden="1" outlineLevel="2" x14ac:dyDescent="0.25">
      <c r="A46" s="29"/>
      <c r="B46" s="11" t="str">
        <f>CONCATENATE("          ", "6006", " - ", "TEMPORARY PART TIME")</f>
        <v xml:space="preserve">          6006 - TEMPORARY PART TIME</v>
      </c>
      <c r="C46" s="11"/>
      <c r="D46" s="7"/>
      <c r="E46" s="2"/>
      <c r="F46" s="6">
        <f t="shared" si="23"/>
        <v>0</v>
      </c>
      <c r="G46" s="2"/>
      <c r="H46" s="7">
        <v>7103.69</v>
      </c>
      <c r="I46" s="2"/>
      <c r="J46" s="6">
        <f t="shared" si="24"/>
        <v>8.3173453958838104E-3</v>
      </c>
      <c r="K46" s="2"/>
      <c r="L46" s="7">
        <f t="shared" si="25"/>
        <v>-7103.69</v>
      </c>
      <c r="M46" s="2"/>
      <c r="N46" s="6">
        <f t="shared" si="26"/>
        <v>-1</v>
      </c>
      <c r="O46" s="11"/>
      <c r="P46" s="7"/>
      <c r="Q46" s="2"/>
      <c r="R46" s="6">
        <f t="shared" si="27"/>
        <v>0</v>
      </c>
      <c r="S46" s="2"/>
      <c r="T46" s="7">
        <v>15678.9</v>
      </c>
      <c r="U46" s="2"/>
      <c r="V46" s="6">
        <f t="shared" si="28"/>
        <v>1.0161433669935643E-2</v>
      </c>
      <c r="W46" s="2"/>
      <c r="X46" s="7">
        <f t="shared" si="29"/>
        <v>-15678.9</v>
      </c>
      <c r="Y46" s="2"/>
      <c r="Z46" s="6">
        <f t="shared" si="30"/>
        <v>-1</v>
      </c>
    </row>
    <row r="47" spans="1:26" s="24" customFormat="1" hidden="1" outlineLevel="2" x14ac:dyDescent="0.25">
      <c r="A47" s="29"/>
      <c r="B47" s="11" t="str">
        <f>CONCATENATE("          ", "6007", " - ", "STUDENT HOURLY")</f>
        <v xml:space="preserve">          6007 - STUDENT HOURLY</v>
      </c>
      <c r="C47" s="11"/>
      <c r="D47" s="7">
        <v>11457.67</v>
      </c>
      <c r="E47" s="2"/>
      <c r="F47" s="6">
        <f t="shared" si="23"/>
        <v>0.21005125486231876</v>
      </c>
      <c r="G47" s="2"/>
      <c r="H47" s="7">
        <v>127234.93000000001</v>
      </c>
      <c r="I47" s="2"/>
      <c r="J47" s="6">
        <f t="shared" si="24"/>
        <v>0.14897283795197977</v>
      </c>
      <c r="K47" s="2"/>
      <c r="L47" s="7">
        <f t="shared" si="25"/>
        <v>-115777.26000000001</v>
      </c>
      <c r="M47" s="2"/>
      <c r="N47" s="6">
        <f t="shared" si="26"/>
        <v>-0.90994870669555916</v>
      </c>
      <c r="O47" s="11"/>
      <c r="P47" s="7">
        <v>21208.670000000002</v>
      </c>
      <c r="Q47" s="2"/>
      <c r="R47" s="6">
        <f t="shared" si="27"/>
        <v>0.28334953243059274</v>
      </c>
      <c r="S47" s="2"/>
      <c r="T47" s="7">
        <v>220276.98</v>
      </c>
      <c r="U47" s="2"/>
      <c r="V47" s="6">
        <f t="shared" si="28"/>
        <v>0.14276064783140019</v>
      </c>
      <c r="W47" s="2"/>
      <c r="X47" s="7">
        <f t="shared" si="29"/>
        <v>-199068.31</v>
      </c>
      <c r="Y47" s="2"/>
      <c r="Z47" s="6">
        <f t="shared" si="30"/>
        <v>-0.90371817336518767</v>
      </c>
    </row>
    <row r="48" spans="1:26" s="24" customFormat="1" hidden="1" outlineLevel="2" x14ac:dyDescent="0.25">
      <c r="A48" s="29"/>
      <c r="B48" s="11" t="str">
        <f>CONCATENATE("          ", "6008", " - ", "STUDENT HOURLY-FICA EXEMPT")</f>
        <v xml:space="preserve">          6008 - STUDENT HOURLY-FICA EXEMPT</v>
      </c>
      <c r="C48" s="11"/>
      <c r="D48" s="7">
        <v>616.33000000000004</v>
      </c>
      <c r="E48" s="2"/>
      <c r="F48" s="6">
        <f t="shared" si="23"/>
        <v>1.1299059050338589E-2</v>
      </c>
      <c r="G48" s="2"/>
      <c r="H48" s="7">
        <v>12879.24</v>
      </c>
      <c r="I48" s="2"/>
      <c r="J48" s="6">
        <f t="shared" si="24"/>
        <v>1.5079639950009448E-2</v>
      </c>
      <c r="K48" s="2"/>
      <c r="L48" s="7">
        <f t="shared" si="25"/>
        <v>-12262.91</v>
      </c>
      <c r="M48" s="2"/>
      <c r="N48" s="6">
        <f t="shared" si="26"/>
        <v>-0.95214546821085722</v>
      </c>
      <c r="O48" s="11"/>
      <c r="P48" s="7">
        <v>616.33000000000004</v>
      </c>
      <c r="Q48" s="2"/>
      <c r="R48" s="6">
        <f t="shared" si="27"/>
        <v>8.2342182382463026E-3</v>
      </c>
      <c r="S48" s="2"/>
      <c r="T48" s="7">
        <v>22882.66</v>
      </c>
      <c r="U48" s="2"/>
      <c r="V48" s="6">
        <f t="shared" si="28"/>
        <v>1.4830162306136881E-2</v>
      </c>
      <c r="W48" s="2"/>
      <c r="X48" s="7">
        <f t="shared" si="29"/>
        <v>-22266.329999999998</v>
      </c>
      <c r="Y48" s="2"/>
      <c r="Z48" s="6">
        <f t="shared" si="30"/>
        <v>-0.97306563135579505</v>
      </c>
    </row>
    <row r="49" spans="1:26" s="28" customFormat="1" outlineLevel="1" collapsed="1" x14ac:dyDescent="0.25">
      <c r="A49" s="27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704.51</v>
      </c>
      <c r="E49" s="1"/>
      <c r="F49" s="5">
        <f t="shared" ref="F49:F58" si="31">IF(D$12=0,0,D49/D$12)</f>
        <v>1.2915645987626821E-2</v>
      </c>
      <c r="G49" s="1"/>
      <c r="H49" s="1">
        <f>SUM(OSRRefH22_2x_0)</f>
        <v>8051.84</v>
      </c>
      <c r="I49" s="1"/>
      <c r="J49" s="5">
        <f t="shared" ref="J49:J58" si="32">IF(H$12=0,0,H49/H$12)</f>
        <v>9.4274854832337995E-3</v>
      </c>
      <c r="K49" s="1"/>
      <c r="L49" s="1">
        <f t="shared" ref="L49:L58" si="33">+D49-H49</f>
        <v>-7347.33</v>
      </c>
      <c r="M49" s="1"/>
      <c r="N49" s="5">
        <f t="shared" ref="N49:N58" si="34">IF(H49=0,0,L49/H49)</f>
        <v>-0.91250322907559012</v>
      </c>
      <c r="O49" s="14"/>
      <c r="P49" s="1">
        <f>SUM(OSRRefP22_2x_0)</f>
        <v>1474.97</v>
      </c>
      <c r="Q49" s="1"/>
      <c r="R49" s="5">
        <f t="shared" ref="R49:R58" si="35">IF(P$12=0,0,P49/P$12)</f>
        <v>1.9705717513127947E-2</v>
      </c>
      <c r="S49" s="1"/>
      <c r="T49" s="1">
        <f>SUM(OSRRefT22_2x_0)</f>
        <v>11968.74</v>
      </c>
      <c r="U49" s="1"/>
      <c r="V49" s="5">
        <f t="shared" ref="V49:V58" si="36">IF(T$12=0,0,T49/T$12)</f>
        <v>7.7568935080079299E-3</v>
      </c>
      <c r="W49" s="1"/>
      <c r="X49" s="1">
        <f t="shared" ref="X49:X58" si="37">+P49-T49</f>
        <v>-10493.77</v>
      </c>
      <c r="Y49" s="1"/>
      <c r="Z49" s="5">
        <f t="shared" ref="Z49:Z58" si="38">IF(T49=0,0,X49/T49)</f>
        <v>-0.87676480565205694</v>
      </c>
    </row>
    <row r="50" spans="1:26" s="24" customFormat="1" hidden="1" outlineLevel="2" x14ac:dyDescent="0.25">
      <c r="A50" s="29"/>
      <c r="B50" s="11" t="str">
        <f>CONCATENATE("          ", "6362", " - ", "ADVERTISING EXPENSE")</f>
        <v xml:space="preserve">          6362 - ADVERTISING EXPENSE</v>
      </c>
      <c r="C50" s="11"/>
      <c r="D50" s="7">
        <v>704.51</v>
      </c>
      <c r="E50" s="2"/>
      <c r="F50" s="6">
        <f t="shared" si="31"/>
        <v>1.2915645987626821E-2</v>
      </c>
      <c r="G50" s="2"/>
      <c r="H50" s="7">
        <v>8051.84</v>
      </c>
      <c r="I50" s="2"/>
      <c r="J50" s="6">
        <f t="shared" si="32"/>
        <v>9.4274854832337995E-3</v>
      </c>
      <c r="K50" s="2"/>
      <c r="L50" s="7">
        <f t="shared" si="33"/>
        <v>-7347.33</v>
      </c>
      <c r="M50" s="2"/>
      <c r="N50" s="6">
        <f t="shared" si="34"/>
        <v>-0.91250322907559012</v>
      </c>
      <c r="O50" s="11"/>
      <c r="P50" s="7">
        <v>1474.97</v>
      </c>
      <c r="Q50" s="2"/>
      <c r="R50" s="6">
        <f t="shared" si="35"/>
        <v>1.9705717513127947E-2</v>
      </c>
      <c r="S50" s="2"/>
      <c r="T50" s="7">
        <v>11968.74</v>
      </c>
      <c r="U50" s="2"/>
      <c r="V50" s="6">
        <f t="shared" si="36"/>
        <v>7.7568935080079299E-3</v>
      </c>
      <c r="W50" s="2"/>
      <c r="X50" s="7">
        <f t="shared" si="37"/>
        <v>-10493.77</v>
      </c>
      <c r="Y50" s="2"/>
      <c r="Z50" s="6">
        <f t="shared" si="38"/>
        <v>-0.87676480565205694</v>
      </c>
    </row>
    <row r="51" spans="1:26" s="28" customFormat="1" outlineLevel="1" collapsed="1" x14ac:dyDescent="0.25">
      <c r="A51" s="27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31.86</v>
      </c>
      <c r="E51" s="1"/>
      <c r="F51" s="5">
        <f t="shared" si="31"/>
        <v>5.8408323681110349E-4</v>
      </c>
      <c r="G51" s="1"/>
      <c r="H51" s="1">
        <f>SUM(OSRRefH22_3x_0)</f>
        <v>5.55</v>
      </c>
      <c r="I51" s="1"/>
      <c r="J51" s="5">
        <f t="shared" si="32"/>
        <v>6.4982096554262853E-6</v>
      </c>
      <c r="K51" s="1"/>
      <c r="L51" s="1">
        <f t="shared" si="33"/>
        <v>26.31</v>
      </c>
      <c r="M51" s="1"/>
      <c r="N51" s="5">
        <f t="shared" si="34"/>
        <v>4.7405405405405405</v>
      </c>
      <c r="O51" s="14"/>
      <c r="P51" s="1">
        <f>SUM(OSRRefP22_3x_0)</f>
        <v>31.86</v>
      </c>
      <c r="Q51" s="1"/>
      <c r="R51" s="5">
        <f t="shared" si="35"/>
        <v>4.2565215561554226E-4</v>
      </c>
      <c r="S51" s="1"/>
      <c r="T51" s="1">
        <f>SUM(OSRRefT22_3x_0)</f>
        <v>-15.13</v>
      </c>
      <c r="U51" s="1"/>
      <c r="V51" s="5">
        <f t="shared" si="36"/>
        <v>-9.8056937301804518E-6</v>
      </c>
      <c r="W51" s="1"/>
      <c r="X51" s="1">
        <f t="shared" si="37"/>
        <v>46.99</v>
      </c>
      <c r="Y51" s="1"/>
      <c r="Z51" s="5">
        <f t="shared" si="38"/>
        <v>-3.1057501652346331</v>
      </c>
    </row>
    <row r="52" spans="1:26" s="24" customFormat="1" hidden="1" outlineLevel="2" x14ac:dyDescent="0.25">
      <c r="A52" s="29"/>
      <c r="B52" s="11" t="str">
        <f>CONCATENATE("          ", "6272", " - ", "CASH (OVER/SHORT)")</f>
        <v xml:space="preserve">          6272 - CASH (OVER/SHORT)</v>
      </c>
      <c r="C52" s="11"/>
      <c r="D52" s="7">
        <v>31.86</v>
      </c>
      <c r="E52" s="2"/>
      <c r="F52" s="6">
        <f t="shared" si="31"/>
        <v>5.8408323681110349E-4</v>
      </c>
      <c r="G52" s="2"/>
      <c r="H52" s="7">
        <v>5.55</v>
      </c>
      <c r="I52" s="2"/>
      <c r="J52" s="6">
        <f t="shared" si="32"/>
        <v>6.4982096554262853E-6</v>
      </c>
      <c r="K52" s="2"/>
      <c r="L52" s="7">
        <f t="shared" si="33"/>
        <v>26.31</v>
      </c>
      <c r="M52" s="2"/>
      <c r="N52" s="6">
        <f t="shared" si="34"/>
        <v>4.7405405405405405</v>
      </c>
      <c r="O52" s="11"/>
      <c r="P52" s="7">
        <v>31.86</v>
      </c>
      <c r="Q52" s="2"/>
      <c r="R52" s="6">
        <f t="shared" si="35"/>
        <v>4.2565215561554226E-4</v>
      </c>
      <c r="S52" s="2"/>
      <c r="T52" s="7">
        <v>-15.13</v>
      </c>
      <c r="U52" s="2"/>
      <c r="V52" s="6">
        <f t="shared" si="36"/>
        <v>-9.8056937301804518E-6</v>
      </c>
      <c r="W52" s="2"/>
      <c r="X52" s="7">
        <f t="shared" si="37"/>
        <v>46.99</v>
      </c>
      <c r="Y52" s="2"/>
      <c r="Z52" s="6">
        <f t="shared" si="38"/>
        <v>-3.1057501652346331</v>
      </c>
    </row>
    <row r="53" spans="1:26" s="28" customFormat="1" outlineLevel="1" collapsed="1" x14ac:dyDescent="0.25">
      <c r="A53" s="27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333.07</v>
      </c>
      <c r="E53" s="1"/>
      <c r="F53" s="5">
        <f t="shared" si="31"/>
        <v>6.1061080880312063E-3</v>
      </c>
      <c r="G53" s="1"/>
      <c r="H53" s="1">
        <f>SUM(OSRRefH22_4x_0)</f>
        <v>9024.08</v>
      </c>
      <c r="I53" s="1"/>
      <c r="J53" s="5">
        <f t="shared" si="32"/>
        <v>1.0565831313034096E-2</v>
      </c>
      <c r="K53" s="1"/>
      <c r="L53" s="1">
        <f t="shared" si="33"/>
        <v>-8691.01</v>
      </c>
      <c r="M53" s="1"/>
      <c r="N53" s="5">
        <f t="shared" si="34"/>
        <v>-0.96309097437079461</v>
      </c>
      <c r="O53" s="14"/>
      <c r="P53" s="1">
        <f>SUM(OSRRefP22_4x_0)</f>
        <v>615.89</v>
      </c>
      <c r="Q53" s="1"/>
      <c r="R53" s="5">
        <f t="shared" si="35"/>
        <v>8.2283398029521764E-3</v>
      </c>
      <c r="S53" s="1"/>
      <c r="T53" s="1">
        <f>SUM(OSRRefT22_4x_0)</f>
        <v>13566.72</v>
      </c>
      <c r="U53" s="1"/>
      <c r="V53" s="5">
        <f t="shared" si="36"/>
        <v>8.7925380861278071E-3</v>
      </c>
      <c r="W53" s="1"/>
      <c r="X53" s="1">
        <f t="shared" si="37"/>
        <v>-12950.83</v>
      </c>
      <c r="Y53" s="1"/>
      <c r="Z53" s="5">
        <f t="shared" si="38"/>
        <v>-0.95460288116803471</v>
      </c>
    </row>
    <row r="54" spans="1:26" s="24" customFormat="1" hidden="1" outlineLevel="2" x14ac:dyDescent="0.25">
      <c r="A54" s="29"/>
      <c r="B54" s="11" t="str">
        <f>CONCATENATE("          ", "6381", " - ", "BANK/CREDIT CARD FEES")</f>
        <v xml:space="preserve">          6381 - BANK/CREDIT CARD FEES</v>
      </c>
      <c r="C54" s="11"/>
      <c r="D54" s="7">
        <v>333.07</v>
      </c>
      <c r="E54" s="2"/>
      <c r="F54" s="6">
        <f t="shared" si="31"/>
        <v>6.1061080880312063E-3</v>
      </c>
      <c r="G54" s="2"/>
      <c r="H54" s="7">
        <v>9024.08</v>
      </c>
      <c r="I54" s="2"/>
      <c r="J54" s="6">
        <f t="shared" si="32"/>
        <v>1.0565831313034096E-2</v>
      </c>
      <c r="K54" s="2"/>
      <c r="L54" s="7">
        <f t="shared" si="33"/>
        <v>-8691.01</v>
      </c>
      <c r="M54" s="2"/>
      <c r="N54" s="6">
        <f t="shared" si="34"/>
        <v>-0.96309097437079461</v>
      </c>
      <c r="O54" s="11"/>
      <c r="P54" s="7">
        <v>615.89</v>
      </c>
      <c r="Q54" s="2"/>
      <c r="R54" s="6">
        <f t="shared" si="35"/>
        <v>8.2283398029521764E-3</v>
      </c>
      <c r="S54" s="2"/>
      <c r="T54" s="7">
        <v>13566.72</v>
      </c>
      <c r="U54" s="2"/>
      <c r="V54" s="6">
        <f t="shared" si="36"/>
        <v>8.7925380861278071E-3</v>
      </c>
      <c r="W54" s="2"/>
      <c r="X54" s="7">
        <f t="shared" si="37"/>
        <v>-12950.83</v>
      </c>
      <c r="Y54" s="2"/>
      <c r="Z54" s="6">
        <f t="shared" si="38"/>
        <v>-0.95460288116803471</v>
      </c>
    </row>
    <row r="55" spans="1:26" s="28" customFormat="1" outlineLevel="1" collapsed="1" x14ac:dyDescent="0.25">
      <c r="A55" s="27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38466.019999999997</v>
      </c>
      <c r="E55" s="1"/>
      <c r="F55" s="5">
        <f t="shared" si="31"/>
        <v>0.70519012771000122</v>
      </c>
      <c r="G55" s="1"/>
      <c r="H55" s="1">
        <f>SUM(OSRRefH22_5x_0)</f>
        <v>39571.050000000003</v>
      </c>
      <c r="I55" s="1"/>
      <c r="J55" s="5">
        <f t="shared" si="32"/>
        <v>4.633170796132547E-2</v>
      </c>
      <c r="K55" s="1"/>
      <c r="L55" s="1">
        <f t="shared" si="33"/>
        <v>-1105.0300000000061</v>
      </c>
      <c r="M55" s="1"/>
      <c r="N55" s="5">
        <f t="shared" si="34"/>
        <v>-2.7925213002940433E-2</v>
      </c>
      <c r="O55" s="14"/>
      <c r="P55" s="1">
        <f>SUM(OSRRefP22_5x_0)</f>
        <v>76235.05</v>
      </c>
      <c r="Q55" s="1"/>
      <c r="R55" s="5">
        <f t="shared" si="35"/>
        <v>1.0185063831123242</v>
      </c>
      <c r="S55" s="1"/>
      <c r="T55" s="1">
        <f>SUM(OSRRefT22_5x_0)</f>
        <v>79142.100000000006</v>
      </c>
      <c r="U55" s="1"/>
      <c r="V55" s="5">
        <f t="shared" si="36"/>
        <v>5.1291684981051841E-2</v>
      </c>
      <c r="W55" s="1"/>
      <c r="X55" s="1">
        <f t="shared" si="37"/>
        <v>-2907.0500000000029</v>
      </c>
      <c r="Y55" s="1"/>
      <c r="Z55" s="5">
        <f t="shared" si="38"/>
        <v>-3.6732030107869296E-2</v>
      </c>
    </row>
    <row r="56" spans="1:26" s="24" customFormat="1" hidden="1" outlineLevel="2" x14ac:dyDescent="0.25">
      <c r="A56" s="29"/>
      <c r="B56" s="11" t="str">
        <f>CONCATENATE("          ", "6321", " - ", "BUILDING DEPRECIATION")</f>
        <v xml:space="preserve">          6321 - BUILDING DEPRECIATION</v>
      </c>
      <c r="C56" s="11"/>
      <c r="D56" s="7">
        <v>23844.89</v>
      </c>
      <c r="E56" s="2"/>
      <c r="F56" s="6">
        <f t="shared" si="31"/>
        <v>0.43714377064044924</v>
      </c>
      <c r="G56" s="2"/>
      <c r="H56" s="7">
        <v>24042.959999999999</v>
      </c>
      <c r="I56" s="2"/>
      <c r="J56" s="6">
        <f t="shared" si="32"/>
        <v>2.8150665732797831E-2</v>
      </c>
      <c r="K56" s="2"/>
      <c r="L56" s="7">
        <f t="shared" si="33"/>
        <v>-198.06999999999971</v>
      </c>
      <c r="M56" s="2"/>
      <c r="N56" s="6">
        <f t="shared" si="34"/>
        <v>-8.2381703417549138E-3</v>
      </c>
      <c r="O56" s="11"/>
      <c r="P56" s="7">
        <v>47689.78</v>
      </c>
      <c r="Q56" s="2"/>
      <c r="R56" s="6">
        <f t="shared" si="35"/>
        <v>0.63713928618427418</v>
      </c>
      <c r="S56" s="2"/>
      <c r="T56" s="7">
        <v>48085.919999999998</v>
      </c>
      <c r="U56" s="2"/>
      <c r="V56" s="6">
        <f t="shared" si="36"/>
        <v>3.1164296381623182E-2</v>
      </c>
      <c r="W56" s="2"/>
      <c r="X56" s="7">
        <f t="shared" si="37"/>
        <v>-396.13999999999942</v>
      </c>
      <c r="Y56" s="2"/>
      <c r="Z56" s="6">
        <f t="shared" si="38"/>
        <v>-8.2381703417549138E-3</v>
      </c>
    </row>
    <row r="57" spans="1:26" s="24" customFormat="1" hidden="1" outlineLevel="2" x14ac:dyDescent="0.25">
      <c r="A57" s="29"/>
      <c r="B57" s="11" t="str">
        <f>CONCATENATE("          ", "6322", " - ", "EQUIPMENT DEPRECIATION EXPENSE")</f>
        <v xml:space="preserve">          6322 - EQUIPMENT DEPRECIATION EXPENSE</v>
      </c>
      <c r="C57" s="11"/>
      <c r="D57" s="7">
        <v>14621.13</v>
      </c>
      <c r="E57" s="2"/>
      <c r="F57" s="6">
        <f t="shared" si="31"/>
        <v>0.26804635706955204</v>
      </c>
      <c r="G57" s="2"/>
      <c r="H57" s="7">
        <v>15103.84</v>
      </c>
      <c r="I57" s="2"/>
      <c r="J57" s="6">
        <f t="shared" si="32"/>
        <v>1.7684309715678154E-2</v>
      </c>
      <c r="K57" s="2"/>
      <c r="L57" s="7">
        <f t="shared" si="33"/>
        <v>-482.71000000000095</v>
      </c>
      <c r="M57" s="2"/>
      <c r="N57" s="6">
        <f t="shared" si="34"/>
        <v>-3.1959422239642432E-2</v>
      </c>
      <c r="O57" s="11"/>
      <c r="P57" s="7">
        <v>28545.27</v>
      </c>
      <c r="Q57" s="2"/>
      <c r="R57" s="6">
        <f t="shared" si="35"/>
        <v>0.38136709692804993</v>
      </c>
      <c r="S57" s="2"/>
      <c r="T57" s="7">
        <v>30207.68</v>
      </c>
      <c r="U57" s="2"/>
      <c r="V57" s="6">
        <f t="shared" si="36"/>
        <v>1.9577479073317743E-2</v>
      </c>
      <c r="W57" s="2"/>
      <c r="X57" s="7">
        <f t="shared" si="37"/>
        <v>-1662.4099999999999</v>
      </c>
      <c r="Y57" s="2"/>
      <c r="Z57" s="6">
        <f t="shared" si="38"/>
        <v>-5.503269367260246E-2</v>
      </c>
    </row>
    <row r="58" spans="1:26" s="24" customFormat="1" hidden="1" outlineLevel="2" x14ac:dyDescent="0.25">
      <c r="A58" s="29"/>
      <c r="B58" s="11" t="str">
        <f>CONCATENATE("          ", "6326", " - ", "VEHICLES DEPRECIATION EXPENSE")</f>
        <v xml:space="preserve">          6326 - VEHICLES DEPRECIATION EXPENSE</v>
      </c>
      <c r="C58" s="11"/>
      <c r="D58" s="7"/>
      <c r="E58" s="2"/>
      <c r="F58" s="6">
        <f t="shared" si="31"/>
        <v>0</v>
      </c>
      <c r="G58" s="2"/>
      <c r="H58" s="7">
        <v>424.25</v>
      </c>
      <c r="I58" s="2"/>
      <c r="J58" s="6">
        <f t="shared" si="32"/>
        <v>4.9673251284947778E-4</v>
      </c>
      <c r="K58" s="2"/>
      <c r="L58" s="7">
        <f t="shared" si="33"/>
        <v>-424.25</v>
      </c>
      <c r="M58" s="2"/>
      <c r="N58" s="6">
        <f t="shared" si="34"/>
        <v>-1</v>
      </c>
      <c r="O58" s="11"/>
      <c r="P58" s="7"/>
      <c r="Q58" s="2"/>
      <c r="R58" s="6">
        <f t="shared" si="35"/>
        <v>0</v>
      </c>
      <c r="S58" s="2"/>
      <c r="T58" s="7">
        <v>848.5</v>
      </c>
      <c r="U58" s="2"/>
      <c r="V58" s="6">
        <f t="shared" si="36"/>
        <v>5.4990952611091298E-4</v>
      </c>
      <c r="W58" s="2"/>
      <c r="X58" s="7">
        <f t="shared" si="37"/>
        <v>-848.5</v>
      </c>
      <c r="Y58" s="2"/>
      <c r="Z58" s="6">
        <f t="shared" si="38"/>
        <v>-1</v>
      </c>
    </row>
    <row r="59" spans="1:26" s="28" customFormat="1" outlineLevel="1" collapsed="1" x14ac:dyDescent="0.25">
      <c r="A59" s="27"/>
      <c r="B59" s="14" t="str">
        <f>CONCATENATE("     ","Donations                                         ")</f>
        <v xml:space="preserve">     Donations                                         </v>
      </c>
      <c r="C59" s="14"/>
      <c r="D59" s="1">
        <f>SUM(OSRRefD22_6x_0)</f>
        <v>2222.02</v>
      </c>
      <c r="E59" s="1"/>
      <c r="F59" s="5">
        <f t="shared" ref="F59:F67" si="39">IF(D$12=0,0,D59/D$12)</f>
        <v>4.0735864214030387E-2</v>
      </c>
      <c r="G59" s="1"/>
      <c r="H59" s="1">
        <f>SUM(OSRRefH22_6x_0)</f>
        <v>7780.75</v>
      </c>
      <c r="I59" s="1"/>
      <c r="J59" s="5">
        <f t="shared" ref="J59:J67" si="40">IF(H$12=0,0,H59/H$12)</f>
        <v>9.1100801399023549E-3</v>
      </c>
      <c r="K59" s="1"/>
      <c r="L59" s="1">
        <f t="shared" ref="L59:L67" si="41">+D59-H59</f>
        <v>-5558.73</v>
      </c>
      <c r="M59" s="1"/>
      <c r="N59" s="5">
        <f t="shared" ref="N59:N67" si="42">IF(H59=0,0,L59/H59)</f>
        <v>-0.71442084631944214</v>
      </c>
      <c r="O59" s="14"/>
      <c r="P59" s="1">
        <f>SUM(OSRRefP22_6x_0)</f>
        <v>2222.02</v>
      </c>
      <c r="Q59" s="1"/>
      <c r="R59" s="5">
        <f t="shared" ref="R59:R67" si="43">IF(P$12=0,0,P59/P$12)</f>
        <v>2.9686365436938082E-2</v>
      </c>
      <c r="S59" s="1"/>
      <c r="T59" s="1">
        <f>SUM(OSRRefT22_6x_0)</f>
        <v>7780.75</v>
      </c>
      <c r="U59" s="1"/>
      <c r="V59" s="5">
        <f t="shared" ref="V59:V67" si="44">IF(T$12=0,0,T59/T$12)</f>
        <v>5.0426735949174852E-3</v>
      </c>
      <c r="W59" s="1"/>
      <c r="X59" s="1">
        <f t="shared" ref="X59:X67" si="45">+P59-T59</f>
        <v>-5558.73</v>
      </c>
      <c r="Y59" s="1"/>
      <c r="Z59" s="5">
        <f t="shared" ref="Z59:Z67" si="46">IF(T59=0,0,X59/T59)</f>
        <v>-0.71442084631944214</v>
      </c>
    </row>
    <row r="60" spans="1:26" s="24" customFormat="1" hidden="1" outlineLevel="2" x14ac:dyDescent="0.25">
      <c r="A60" s="29"/>
      <c r="B60" s="11" t="str">
        <f>CONCATENATE("          ", "6399", " - ", "DONATION-ON CAMPUS")</f>
        <v xml:space="preserve">          6399 - DONATION-ON CAMPUS</v>
      </c>
      <c r="C60" s="11"/>
      <c r="D60" s="7">
        <v>2222.02</v>
      </c>
      <c r="E60" s="2"/>
      <c r="F60" s="6">
        <f t="shared" si="39"/>
        <v>4.0735864214030387E-2</v>
      </c>
      <c r="G60" s="2"/>
      <c r="H60" s="7">
        <v>7780.75</v>
      </c>
      <c r="I60" s="2"/>
      <c r="J60" s="6">
        <f t="shared" si="40"/>
        <v>9.1100801399023549E-3</v>
      </c>
      <c r="K60" s="2"/>
      <c r="L60" s="7">
        <f t="shared" si="41"/>
        <v>-5558.73</v>
      </c>
      <c r="M60" s="2"/>
      <c r="N60" s="6">
        <f t="shared" si="42"/>
        <v>-0.71442084631944214</v>
      </c>
      <c r="O60" s="11"/>
      <c r="P60" s="7">
        <v>2222.02</v>
      </c>
      <c r="Q60" s="2"/>
      <c r="R60" s="6">
        <f t="shared" si="43"/>
        <v>2.9686365436938082E-2</v>
      </c>
      <c r="S60" s="2"/>
      <c r="T60" s="7">
        <v>7780.75</v>
      </c>
      <c r="U60" s="2"/>
      <c r="V60" s="6">
        <f t="shared" si="44"/>
        <v>5.0426735949174852E-3</v>
      </c>
      <c r="W60" s="2"/>
      <c r="X60" s="7">
        <f t="shared" si="45"/>
        <v>-5558.73</v>
      </c>
      <c r="Y60" s="2"/>
      <c r="Z60" s="6">
        <f t="shared" si="46"/>
        <v>-0.71442084631944214</v>
      </c>
    </row>
    <row r="61" spans="1:26" s="28" customFormat="1" outlineLevel="1" collapsed="1" x14ac:dyDescent="0.25">
      <c r="A61" s="27"/>
      <c r="B61" s="14" t="str">
        <f>CONCATENATE("     ","Employees' Appreciation                           ")</f>
        <v xml:space="preserve">     Employees' Appreciation                           </v>
      </c>
      <c r="C61" s="14"/>
      <c r="D61" s="1">
        <f>SUM(OSRRefD22_7x_0)</f>
        <v>0</v>
      </c>
      <c r="E61" s="1"/>
      <c r="F61" s="5">
        <f t="shared" si="39"/>
        <v>0</v>
      </c>
      <c r="G61" s="1"/>
      <c r="H61" s="1">
        <f>SUM(OSRRefH22_7x_0)</f>
        <v>403.02</v>
      </c>
      <c r="I61" s="1"/>
      <c r="J61" s="5">
        <f t="shared" si="40"/>
        <v>4.7187539735673906E-4</v>
      </c>
      <c r="K61" s="1"/>
      <c r="L61" s="1">
        <f t="shared" si="41"/>
        <v>-403.02</v>
      </c>
      <c r="M61" s="1"/>
      <c r="N61" s="5">
        <f t="shared" si="42"/>
        <v>-1</v>
      </c>
      <c r="O61" s="14"/>
      <c r="P61" s="1">
        <f>SUM(OSRRefP22_7x_0)</f>
        <v>0</v>
      </c>
      <c r="Q61" s="1"/>
      <c r="R61" s="5">
        <f t="shared" si="43"/>
        <v>0</v>
      </c>
      <c r="S61" s="1"/>
      <c r="T61" s="1">
        <f>SUM(OSRRefT22_7x_0)</f>
        <v>512.78</v>
      </c>
      <c r="U61" s="1"/>
      <c r="V61" s="5">
        <f t="shared" si="44"/>
        <v>3.3233070925062339E-4</v>
      </c>
      <c r="W61" s="1"/>
      <c r="X61" s="1">
        <f t="shared" si="45"/>
        <v>-512.78</v>
      </c>
      <c r="Y61" s="1"/>
      <c r="Z61" s="5">
        <f t="shared" si="46"/>
        <v>-1</v>
      </c>
    </row>
    <row r="62" spans="1:26" s="24" customFormat="1" hidden="1" outlineLevel="2" x14ac:dyDescent="0.25">
      <c r="A62" s="29"/>
      <c r="B62" s="11" t="str">
        <f>CONCATENATE("          ", "6277", " - ", "EMPLOYEE APPRECIATION")</f>
        <v xml:space="preserve">          6277 - EMPLOYEE APPRECIATION</v>
      </c>
      <c r="C62" s="11"/>
      <c r="D62" s="7"/>
      <c r="E62" s="2"/>
      <c r="F62" s="6">
        <f t="shared" si="39"/>
        <v>0</v>
      </c>
      <c r="G62" s="2"/>
      <c r="H62" s="7">
        <v>403.02</v>
      </c>
      <c r="I62" s="2"/>
      <c r="J62" s="6">
        <f t="shared" si="40"/>
        <v>4.7187539735673906E-4</v>
      </c>
      <c r="K62" s="2"/>
      <c r="L62" s="7">
        <f t="shared" si="41"/>
        <v>-403.02</v>
      </c>
      <c r="M62" s="2"/>
      <c r="N62" s="6">
        <f t="shared" si="42"/>
        <v>-1</v>
      </c>
      <c r="O62" s="11"/>
      <c r="P62" s="7"/>
      <c r="Q62" s="2"/>
      <c r="R62" s="6">
        <f t="shared" si="43"/>
        <v>0</v>
      </c>
      <c r="S62" s="2"/>
      <c r="T62" s="7">
        <v>512.78</v>
      </c>
      <c r="U62" s="2"/>
      <c r="V62" s="6">
        <f t="shared" si="44"/>
        <v>3.3233070925062339E-4</v>
      </c>
      <c r="W62" s="2"/>
      <c r="X62" s="7">
        <f t="shared" si="45"/>
        <v>-512.78</v>
      </c>
      <c r="Y62" s="2"/>
      <c r="Z62" s="6">
        <f t="shared" si="46"/>
        <v>-1</v>
      </c>
    </row>
    <row r="63" spans="1:26" s="28" customFormat="1" outlineLevel="1" collapsed="1" x14ac:dyDescent="0.25">
      <c r="A63" s="27"/>
      <c r="B63" s="14" t="str">
        <f>CONCATENATE("     ","Equipment Rental                                  ")</f>
        <v xml:space="preserve">     Equipment Rental                                  </v>
      </c>
      <c r="C63" s="14"/>
      <c r="D63" s="1">
        <f>SUM(OSRRefD22_8x_0)</f>
        <v>839.01</v>
      </c>
      <c r="E63" s="1"/>
      <c r="F63" s="5">
        <f t="shared" si="39"/>
        <v>1.5381408553574512E-2</v>
      </c>
      <c r="G63" s="1"/>
      <c r="H63" s="1">
        <f>SUM(OSRRefH22_8x_0)</f>
        <v>5077.03</v>
      </c>
      <c r="I63" s="1"/>
      <c r="J63" s="5">
        <f t="shared" si="40"/>
        <v>5.944433399439444E-3</v>
      </c>
      <c r="K63" s="1"/>
      <c r="L63" s="1">
        <f t="shared" si="41"/>
        <v>-4238.0199999999995</v>
      </c>
      <c r="M63" s="1"/>
      <c r="N63" s="5">
        <f t="shared" si="42"/>
        <v>-0.83474393493833987</v>
      </c>
      <c r="O63" s="14"/>
      <c r="P63" s="1">
        <f>SUM(OSRRefP22_8x_0)</f>
        <v>2089.5100000000002</v>
      </c>
      <c r="Q63" s="1"/>
      <c r="R63" s="5">
        <f t="shared" si="43"/>
        <v>2.7916021207791332E-2</v>
      </c>
      <c r="S63" s="1"/>
      <c r="T63" s="1">
        <f>SUM(OSRRefT22_8x_0)</f>
        <v>6866.67</v>
      </c>
      <c r="U63" s="1"/>
      <c r="V63" s="5">
        <f t="shared" si="44"/>
        <v>4.4502619277077462E-3</v>
      </c>
      <c r="W63" s="1"/>
      <c r="X63" s="1">
        <f t="shared" si="45"/>
        <v>-4777.16</v>
      </c>
      <c r="Y63" s="1"/>
      <c r="Z63" s="5">
        <f t="shared" si="46"/>
        <v>-0.69570257490166265</v>
      </c>
    </row>
    <row r="64" spans="1:26" s="24" customFormat="1" hidden="1" outlineLevel="2" x14ac:dyDescent="0.25">
      <c r="A64" s="29"/>
      <c r="B64" s="11" t="str">
        <f>CONCATENATE("          ", "6351", " - ", "EQUIPMENT RENTAL")</f>
        <v xml:space="preserve">          6351 - EQUIPMENT RENTAL</v>
      </c>
      <c r="C64" s="11"/>
      <c r="D64" s="7">
        <v>839.01</v>
      </c>
      <c r="E64" s="2"/>
      <c r="F64" s="6">
        <f t="shared" si="39"/>
        <v>1.5381408553574512E-2</v>
      </c>
      <c r="G64" s="2"/>
      <c r="H64" s="7">
        <v>5077.03</v>
      </c>
      <c r="I64" s="2"/>
      <c r="J64" s="6">
        <f t="shared" si="40"/>
        <v>5.944433399439444E-3</v>
      </c>
      <c r="K64" s="2"/>
      <c r="L64" s="7">
        <f t="shared" si="41"/>
        <v>-4238.0199999999995</v>
      </c>
      <c r="M64" s="2"/>
      <c r="N64" s="6">
        <f t="shared" si="42"/>
        <v>-0.83474393493833987</v>
      </c>
      <c r="O64" s="11"/>
      <c r="P64" s="7">
        <v>2089.5100000000002</v>
      </c>
      <c r="Q64" s="2"/>
      <c r="R64" s="6">
        <f t="shared" si="43"/>
        <v>2.7916021207791332E-2</v>
      </c>
      <c r="S64" s="2"/>
      <c r="T64" s="7">
        <v>6866.67</v>
      </c>
      <c r="U64" s="2"/>
      <c r="V64" s="6">
        <f t="shared" si="44"/>
        <v>4.4502619277077462E-3</v>
      </c>
      <c r="W64" s="2"/>
      <c r="X64" s="7">
        <f t="shared" si="45"/>
        <v>-4777.16</v>
      </c>
      <c r="Y64" s="2"/>
      <c r="Z64" s="6">
        <f t="shared" si="46"/>
        <v>-0.69570257490166265</v>
      </c>
    </row>
    <row r="65" spans="1:26" s="28" customFormat="1" outlineLevel="1" collapsed="1" x14ac:dyDescent="0.25">
      <c r="A65" s="27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-1026.6199999999999</v>
      </c>
      <c r="E65" s="1"/>
      <c r="F65" s="5">
        <f t="shared" si="39"/>
        <v>-1.8820826508945857E-2</v>
      </c>
      <c r="G65" s="1"/>
      <c r="H65" s="1">
        <f>SUM(OSRRefH22_9x_0)</f>
        <v>4937.93</v>
      </c>
      <c r="I65" s="1"/>
      <c r="J65" s="5">
        <f t="shared" si="40"/>
        <v>5.7815683610484905E-3</v>
      </c>
      <c r="K65" s="1"/>
      <c r="L65" s="1">
        <f t="shared" si="41"/>
        <v>-5964.55</v>
      </c>
      <c r="M65" s="1"/>
      <c r="N65" s="5">
        <f t="shared" si="42"/>
        <v>-1.2079049318236588</v>
      </c>
      <c r="O65" s="14"/>
      <c r="P65" s="1">
        <f>SUM(OSRRefP22_9x_0)</f>
        <v>9595.23</v>
      </c>
      <c r="Q65" s="1"/>
      <c r="R65" s="5">
        <f t="shared" si="43"/>
        <v>0.12819304247102697</v>
      </c>
      <c r="S65" s="1"/>
      <c r="T65" s="1">
        <f>SUM(OSRRefT22_9x_0)</f>
        <v>28176.84</v>
      </c>
      <c r="U65" s="1"/>
      <c r="V65" s="5">
        <f t="shared" si="44"/>
        <v>1.8261299624870969E-2</v>
      </c>
      <c r="W65" s="1"/>
      <c r="X65" s="1">
        <f t="shared" si="45"/>
        <v>-18581.61</v>
      </c>
      <c r="Y65" s="1"/>
      <c r="Z65" s="5">
        <f t="shared" si="46"/>
        <v>-0.65946394272743147</v>
      </c>
    </row>
    <row r="66" spans="1:26" s="24" customFormat="1" hidden="1" outlineLevel="2" x14ac:dyDescent="0.25">
      <c r="A66" s="29"/>
      <c r="B66" s="11" t="str">
        <f>CONCATENATE("          ", "6269", " - ", "ENTERTAINMENT")</f>
        <v xml:space="preserve">          6269 - ENTERTAINMENT</v>
      </c>
      <c r="C66" s="11"/>
      <c r="D66" s="7"/>
      <c r="E66" s="2"/>
      <c r="F66" s="6">
        <f t="shared" si="39"/>
        <v>0</v>
      </c>
      <c r="G66" s="2"/>
      <c r="H66" s="7">
        <v>2600</v>
      </c>
      <c r="I66" s="2"/>
      <c r="J66" s="6">
        <f t="shared" si="40"/>
        <v>3.0442063250645662E-3</v>
      </c>
      <c r="K66" s="2"/>
      <c r="L66" s="7">
        <f t="shared" si="41"/>
        <v>-2600</v>
      </c>
      <c r="M66" s="2"/>
      <c r="N66" s="6">
        <f t="shared" si="42"/>
        <v>-1</v>
      </c>
      <c r="O66" s="11"/>
      <c r="P66" s="7"/>
      <c r="Q66" s="2"/>
      <c r="R66" s="6">
        <f t="shared" si="43"/>
        <v>0</v>
      </c>
      <c r="S66" s="2"/>
      <c r="T66" s="7">
        <v>2600</v>
      </c>
      <c r="U66" s="2"/>
      <c r="V66" s="6">
        <f t="shared" si="44"/>
        <v>1.6850498148360327E-3</v>
      </c>
      <c r="W66" s="2"/>
      <c r="X66" s="7">
        <f t="shared" si="45"/>
        <v>-2600</v>
      </c>
      <c r="Y66" s="2"/>
      <c r="Z66" s="6">
        <f t="shared" si="46"/>
        <v>-1</v>
      </c>
    </row>
    <row r="67" spans="1:26" s="24" customFormat="1" hidden="1" outlineLevel="2" x14ac:dyDescent="0.25">
      <c r="A67" s="29"/>
      <c r="B67" s="11" t="str">
        <f>CONCATENATE("          ", "6279", " - ", "GENERAL EXPENSE")</f>
        <v xml:space="preserve">          6279 - GENERAL EXPENSE</v>
      </c>
      <c r="C67" s="11"/>
      <c r="D67" s="7">
        <v>-1026.6199999999999</v>
      </c>
      <c r="E67" s="2"/>
      <c r="F67" s="6">
        <f t="shared" si="39"/>
        <v>-1.8820826508945857E-2</v>
      </c>
      <c r="G67" s="2"/>
      <c r="H67" s="7">
        <v>2337.9299999999998</v>
      </c>
      <c r="I67" s="2"/>
      <c r="J67" s="6">
        <f t="shared" si="40"/>
        <v>2.7373620359839234E-3</v>
      </c>
      <c r="K67" s="2"/>
      <c r="L67" s="7">
        <f t="shared" si="41"/>
        <v>-3364.5499999999997</v>
      </c>
      <c r="M67" s="2"/>
      <c r="N67" s="6">
        <f t="shared" si="42"/>
        <v>-1.4391149435611845</v>
      </c>
      <c r="O67" s="11"/>
      <c r="P67" s="7">
        <v>9595.23</v>
      </c>
      <c r="Q67" s="2"/>
      <c r="R67" s="6">
        <f t="shared" si="43"/>
        <v>0.12819304247102697</v>
      </c>
      <c r="S67" s="2"/>
      <c r="T67" s="7">
        <v>25576.84</v>
      </c>
      <c r="U67" s="2"/>
      <c r="V67" s="6">
        <f t="shared" si="44"/>
        <v>1.6576249810034936E-2</v>
      </c>
      <c r="W67" s="2"/>
      <c r="X67" s="7">
        <f t="shared" si="45"/>
        <v>-15981.61</v>
      </c>
      <c r="Y67" s="2"/>
      <c r="Z67" s="6">
        <f t="shared" si="46"/>
        <v>-0.62484693183364326</v>
      </c>
    </row>
    <row r="68" spans="1:26" s="28" customFormat="1" outlineLevel="1" collapsed="1" x14ac:dyDescent="0.25">
      <c r="A68" s="27"/>
      <c r="B68" s="14" t="str">
        <f>CONCATENATE("     ","Insurance                                         ")</f>
        <v xml:space="preserve">     Insurance                                         </v>
      </c>
      <c r="C68" s="14"/>
      <c r="D68" s="1">
        <f>SUM(OSRRefD22_10x_0)</f>
        <v>4246.03</v>
      </c>
      <c r="E68" s="1"/>
      <c r="F68" s="5">
        <f t="shared" ref="F68:F80" si="47">IF(D$12=0,0,D68/D$12)</f>
        <v>7.7841649277999039E-2</v>
      </c>
      <c r="G68" s="1"/>
      <c r="H68" s="1">
        <f>SUM(OSRRefH22_10x_0)</f>
        <v>4246.03</v>
      </c>
      <c r="I68" s="1"/>
      <c r="J68" s="5">
        <f t="shared" ref="J68:J80" si="48">IF(H$12=0,0,H68/H$12)</f>
        <v>4.9714582240053462E-3</v>
      </c>
      <c r="K68" s="1"/>
      <c r="L68" s="1">
        <f t="shared" ref="L68:L80" si="49">+D68-H68</f>
        <v>0</v>
      </c>
      <c r="M68" s="1"/>
      <c r="N68" s="5">
        <f t="shared" ref="N68:N80" si="50">IF(H68=0,0,L68/H68)</f>
        <v>0</v>
      </c>
      <c r="O68" s="14"/>
      <c r="P68" s="1">
        <f>SUM(OSRRefP22_10x_0)</f>
        <v>8492.06</v>
      </c>
      <c r="Q68" s="1"/>
      <c r="R68" s="5">
        <f t="shared" ref="R68:R80" si="51">IF(P$12=0,0,P68/P$12)</f>
        <v>0.11345460278143508</v>
      </c>
      <c r="S68" s="1"/>
      <c r="T68" s="1">
        <f>SUM(OSRRefT22_10x_0)</f>
        <v>8492.06</v>
      </c>
      <c r="U68" s="1"/>
      <c r="V68" s="5">
        <f t="shared" ref="V68:V80" si="52">IF(T$12=0,0,T68/T$12)</f>
        <v>5.5036708194524915E-3</v>
      </c>
      <c r="W68" s="1"/>
      <c r="X68" s="1">
        <f t="shared" ref="X68:X80" si="53">+P68-T68</f>
        <v>0</v>
      </c>
      <c r="Y68" s="1"/>
      <c r="Z68" s="5">
        <f t="shared" ref="Z68:Z80" si="54">IF(T68=0,0,X68/T68)</f>
        <v>0</v>
      </c>
    </row>
    <row r="69" spans="1:26" s="24" customFormat="1" hidden="1" outlineLevel="2" x14ac:dyDescent="0.25">
      <c r="A69" s="29"/>
      <c r="B69" s="11" t="str">
        <f>CONCATENATE("          ", "6314", " - ", "LIABILITY INSURANCE")</f>
        <v xml:space="preserve">          6314 - LIABILITY INSURANCE</v>
      </c>
      <c r="C69" s="11"/>
      <c r="D69" s="7">
        <v>4246.03</v>
      </c>
      <c r="E69" s="2"/>
      <c r="F69" s="6">
        <f t="shared" si="47"/>
        <v>7.7841649277999039E-2</v>
      </c>
      <c r="G69" s="2"/>
      <c r="H69" s="7">
        <v>4246.03</v>
      </c>
      <c r="I69" s="2"/>
      <c r="J69" s="6">
        <f t="shared" si="48"/>
        <v>4.9714582240053462E-3</v>
      </c>
      <c r="K69" s="2"/>
      <c r="L69" s="7">
        <f t="shared" si="49"/>
        <v>0</v>
      </c>
      <c r="M69" s="2"/>
      <c r="N69" s="6">
        <f t="shared" si="50"/>
        <v>0</v>
      </c>
      <c r="O69" s="11"/>
      <c r="P69" s="7">
        <v>8492.06</v>
      </c>
      <c r="Q69" s="2"/>
      <c r="R69" s="6">
        <f t="shared" si="51"/>
        <v>0.11345460278143508</v>
      </c>
      <c r="S69" s="2"/>
      <c r="T69" s="7">
        <v>8492.06</v>
      </c>
      <c r="U69" s="2"/>
      <c r="V69" s="6">
        <f t="shared" si="52"/>
        <v>5.5036708194524915E-3</v>
      </c>
      <c r="W69" s="2"/>
      <c r="X69" s="7">
        <f t="shared" si="53"/>
        <v>0</v>
      </c>
      <c r="Y69" s="2"/>
      <c r="Z69" s="6">
        <f t="shared" si="54"/>
        <v>0</v>
      </c>
    </row>
    <row r="70" spans="1:26" s="28" customFormat="1" outlineLevel="1" collapsed="1" x14ac:dyDescent="0.25">
      <c r="A70" s="27"/>
      <c r="B70" s="14" t="str">
        <f>CONCATENATE("     ","Interest                                          ")</f>
        <v xml:space="preserve">     Interest                                          </v>
      </c>
      <c r="C70" s="14"/>
      <c r="D70" s="1">
        <f>SUM(OSRRefD22_11x_0)</f>
        <v>7510</v>
      </c>
      <c r="E70" s="1"/>
      <c r="F70" s="5">
        <f t="shared" si="47"/>
        <v>0.13767938193507179</v>
      </c>
      <c r="G70" s="1"/>
      <c r="H70" s="1">
        <f>SUM(OSRRefH22_11x_0)</f>
        <v>7630</v>
      </c>
      <c r="I70" s="1"/>
      <c r="J70" s="5">
        <f t="shared" si="48"/>
        <v>8.9335747154779387E-3</v>
      </c>
      <c r="K70" s="1"/>
      <c r="L70" s="1">
        <f t="shared" si="49"/>
        <v>-120</v>
      </c>
      <c r="M70" s="1"/>
      <c r="N70" s="5">
        <f t="shared" si="50"/>
        <v>-1.5727391874180863E-2</v>
      </c>
      <c r="O70" s="14"/>
      <c r="P70" s="1">
        <f>SUM(OSRRefP22_11x_0)</f>
        <v>15020</v>
      </c>
      <c r="Q70" s="1"/>
      <c r="R70" s="5">
        <f t="shared" si="51"/>
        <v>0.20066840481310247</v>
      </c>
      <c r="S70" s="1"/>
      <c r="T70" s="1">
        <f>SUM(OSRRefT22_11x_0)</f>
        <v>15260</v>
      </c>
      <c r="U70" s="1"/>
      <c r="V70" s="5">
        <f t="shared" si="52"/>
        <v>9.8899462209222529E-3</v>
      </c>
      <c r="W70" s="1"/>
      <c r="X70" s="1">
        <f t="shared" si="53"/>
        <v>-240</v>
      </c>
      <c r="Y70" s="1"/>
      <c r="Z70" s="5">
        <f t="shared" si="54"/>
        <v>-1.5727391874180863E-2</v>
      </c>
    </row>
    <row r="71" spans="1:26" s="24" customFormat="1" hidden="1" outlineLevel="2" x14ac:dyDescent="0.25">
      <c r="A71" s="29"/>
      <c r="B71" s="11" t="str">
        <f>CONCATENATE("          ", "6401", " - ", "INTEREST EXPENSE")</f>
        <v xml:space="preserve">          6401 - INTEREST EXPENSE</v>
      </c>
      <c r="C71" s="11"/>
      <c r="D71" s="7">
        <v>7510</v>
      </c>
      <c r="E71" s="2"/>
      <c r="F71" s="6">
        <f t="shared" si="47"/>
        <v>0.13767938193507179</v>
      </c>
      <c r="G71" s="2"/>
      <c r="H71" s="7">
        <v>7630</v>
      </c>
      <c r="I71" s="2"/>
      <c r="J71" s="6">
        <f t="shared" si="48"/>
        <v>8.9335747154779387E-3</v>
      </c>
      <c r="K71" s="2"/>
      <c r="L71" s="7">
        <f t="shared" si="49"/>
        <v>-120</v>
      </c>
      <c r="M71" s="2"/>
      <c r="N71" s="6">
        <f t="shared" si="50"/>
        <v>-1.5727391874180863E-2</v>
      </c>
      <c r="O71" s="11"/>
      <c r="P71" s="7">
        <v>15020</v>
      </c>
      <c r="Q71" s="2"/>
      <c r="R71" s="6">
        <f t="shared" si="51"/>
        <v>0.20066840481310247</v>
      </c>
      <c r="S71" s="2"/>
      <c r="T71" s="7">
        <v>15260</v>
      </c>
      <c r="U71" s="2"/>
      <c r="V71" s="6">
        <f t="shared" si="52"/>
        <v>9.8899462209222529E-3</v>
      </c>
      <c r="W71" s="2"/>
      <c r="X71" s="7">
        <f t="shared" si="53"/>
        <v>-240</v>
      </c>
      <c r="Y71" s="2"/>
      <c r="Z71" s="6">
        <f t="shared" si="54"/>
        <v>-1.5727391874180863E-2</v>
      </c>
    </row>
    <row r="72" spans="1:26" s="28" customFormat="1" outlineLevel="1" collapsed="1" x14ac:dyDescent="0.25">
      <c r="A72" s="27"/>
      <c r="B72" s="14" t="str">
        <f>CONCATENATE("     ","Professional Services                             ")</f>
        <v xml:space="preserve">     Professional Services                             </v>
      </c>
      <c r="C72" s="14"/>
      <c r="D72" s="1">
        <f>SUM(OSRRefD22_12x_0)</f>
        <v>0</v>
      </c>
      <c r="E72" s="1"/>
      <c r="F72" s="5">
        <f t="shared" si="47"/>
        <v>0</v>
      </c>
      <c r="G72" s="1"/>
      <c r="H72" s="1">
        <f>SUM(OSRRefH22_12x_0)</f>
        <v>125</v>
      </c>
      <c r="I72" s="1"/>
      <c r="J72" s="5">
        <f t="shared" si="48"/>
        <v>1.4635607332041185E-4</v>
      </c>
      <c r="K72" s="1"/>
      <c r="L72" s="1">
        <f t="shared" si="49"/>
        <v>-125</v>
      </c>
      <c r="M72" s="1"/>
      <c r="N72" s="5">
        <f t="shared" si="50"/>
        <v>-1</v>
      </c>
      <c r="O72" s="14"/>
      <c r="P72" s="1">
        <f>SUM(OSRRefP22_12x_0)</f>
        <v>0</v>
      </c>
      <c r="Q72" s="1"/>
      <c r="R72" s="5">
        <f t="shared" si="51"/>
        <v>0</v>
      </c>
      <c r="S72" s="1"/>
      <c r="T72" s="1">
        <f>SUM(OSRRefT22_12x_0)</f>
        <v>125</v>
      </c>
      <c r="U72" s="1"/>
      <c r="V72" s="5">
        <f t="shared" si="52"/>
        <v>8.1012010328655414E-5</v>
      </c>
      <c r="W72" s="1"/>
      <c r="X72" s="1">
        <f t="shared" si="53"/>
        <v>-125</v>
      </c>
      <c r="Y72" s="1"/>
      <c r="Z72" s="5">
        <f t="shared" si="54"/>
        <v>-1</v>
      </c>
    </row>
    <row r="73" spans="1:26" s="24" customFormat="1" hidden="1" outlineLevel="2" x14ac:dyDescent="0.25">
      <c r="A73" s="29"/>
      <c r="B73" s="11" t="str">
        <f>CONCATENATE("          ", "6336", " - ", "PROFESSIONAL SERVICES")</f>
        <v xml:space="preserve">          6336 - PROFESSIONAL SERVICES</v>
      </c>
      <c r="C73" s="11"/>
      <c r="D73" s="7"/>
      <c r="E73" s="2"/>
      <c r="F73" s="6">
        <f t="shared" si="47"/>
        <v>0</v>
      </c>
      <c r="G73" s="2"/>
      <c r="H73" s="7">
        <v>125</v>
      </c>
      <c r="I73" s="2"/>
      <c r="J73" s="6">
        <f t="shared" si="48"/>
        <v>1.4635607332041185E-4</v>
      </c>
      <c r="K73" s="2"/>
      <c r="L73" s="7">
        <f t="shared" si="49"/>
        <v>-125</v>
      </c>
      <c r="M73" s="2"/>
      <c r="N73" s="6">
        <f t="shared" si="50"/>
        <v>-1</v>
      </c>
      <c r="O73" s="11"/>
      <c r="P73" s="7"/>
      <c r="Q73" s="2"/>
      <c r="R73" s="6">
        <f t="shared" si="51"/>
        <v>0</v>
      </c>
      <c r="S73" s="2"/>
      <c r="T73" s="7">
        <v>125</v>
      </c>
      <c r="U73" s="2"/>
      <c r="V73" s="6">
        <f t="shared" si="52"/>
        <v>8.1012010328655414E-5</v>
      </c>
      <c r="W73" s="2"/>
      <c r="X73" s="7">
        <f t="shared" si="53"/>
        <v>-125</v>
      </c>
      <c r="Y73" s="2"/>
      <c r="Z73" s="6">
        <f t="shared" si="54"/>
        <v>-1</v>
      </c>
    </row>
    <row r="74" spans="1:26" s="28" customFormat="1" outlineLevel="1" collapsed="1" x14ac:dyDescent="0.25">
      <c r="A74" s="27"/>
      <c r="B74" s="14" t="str">
        <f>CONCATENATE("     ","R/H Commissions                                   ")</f>
        <v xml:space="preserve">     R/H Commissions                                   </v>
      </c>
      <c r="C74" s="14"/>
      <c r="D74" s="1">
        <f>SUM(OSRRefD22_13x_0)</f>
        <v>3533.81</v>
      </c>
      <c r="E74" s="1"/>
      <c r="F74" s="5">
        <f t="shared" si="47"/>
        <v>6.4784657347000799E-2</v>
      </c>
      <c r="G74" s="1"/>
      <c r="H74" s="1">
        <f>SUM(OSRRefH22_13x_0)</f>
        <v>32320.179999999997</v>
      </c>
      <c r="I74" s="1"/>
      <c r="J74" s="5">
        <f t="shared" si="48"/>
        <v>3.7842037070471263E-2</v>
      </c>
      <c r="K74" s="1"/>
      <c r="L74" s="1">
        <f t="shared" si="49"/>
        <v>-28786.369999999995</v>
      </c>
      <c r="M74" s="1"/>
      <c r="N74" s="5">
        <f t="shared" si="50"/>
        <v>-0.89066242824142683</v>
      </c>
      <c r="O74" s="14"/>
      <c r="P74" s="1">
        <f>SUM(OSRRefP22_13x_0)</f>
        <v>4685.49</v>
      </c>
      <c r="Q74" s="1"/>
      <c r="R74" s="5">
        <f t="shared" si="51"/>
        <v>6.2598522241527524E-2</v>
      </c>
      <c r="S74" s="1"/>
      <c r="T74" s="1">
        <f>SUM(OSRRefT22_13x_0)</f>
        <v>72032.83</v>
      </c>
      <c r="U74" s="1"/>
      <c r="V74" s="5">
        <f t="shared" si="52"/>
        <v>4.6684194943698236E-2</v>
      </c>
      <c r="W74" s="1"/>
      <c r="X74" s="1">
        <f t="shared" si="53"/>
        <v>-67347.34</v>
      </c>
      <c r="Y74" s="1"/>
      <c r="Z74" s="5">
        <f t="shared" si="54"/>
        <v>-0.93495340943844629</v>
      </c>
    </row>
    <row r="75" spans="1:26" s="24" customFormat="1" hidden="1" outlineLevel="2" x14ac:dyDescent="0.25">
      <c r="A75" s="29"/>
      <c r="B75" s="11" t="str">
        <f>CONCATENATE("          ", "6387", " - ", "COMMISSION DUE HOUSING")</f>
        <v xml:space="preserve">          6387 - COMMISSION DUE HOUSING</v>
      </c>
      <c r="C75" s="11"/>
      <c r="D75" s="7">
        <v>3533.81</v>
      </c>
      <c r="E75" s="2"/>
      <c r="F75" s="6">
        <f t="shared" si="47"/>
        <v>6.4784657347000799E-2</v>
      </c>
      <c r="G75" s="2"/>
      <c r="H75" s="7">
        <v>32320.179999999997</v>
      </c>
      <c r="I75" s="2"/>
      <c r="J75" s="6">
        <f t="shared" si="48"/>
        <v>3.7842037070471263E-2</v>
      </c>
      <c r="K75" s="2"/>
      <c r="L75" s="7">
        <f t="shared" si="49"/>
        <v>-28786.369999999995</v>
      </c>
      <c r="M75" s="2"/>
      <c r="N75" s="6">
        <f t="shared" si="50"/>
        <v>-0.89066242824142683</v>
      </c>
      <c r="O75" s="11"/>
      <c r="P75" s="7">
        <v>4685.49</v>
      </c>
      <c r="Q75" s="2"/>
      <c r="R75" s="6">
        <f t="shared" si="51"/>
        <v>6.2598522241527524E-2</v>
      </c>
      <c r="S75" s="2"/>
      <c r="T75" s="7">
        <v>72032.83</v>
      </c>
      <c r="U75" s="2"/>
      <c r="V75" s="6">
        <f t="shared" si="52"/>
        <v>4.6684194943698236E-2</v>
      </c>
      <c r="W75" s="2"/>
      <c r="X75" s="7">
        <f t="shared" si="53"/>
        <v>-67347.34</v>
      </c>
      <c r="Y75" s="2"/>
      <c r="Z75" s="6">
        <f t="shared" si="54"/>
        <v>-0.93495340943844629</v>
      </c>
    </row>
    <row r="76" spans="1:26" s="28" customFormat="1" outlineLevel="1" collapsed="1" x14ac:dyDescent="0.25">
      <c r="A76" s="27"/>
      <c r="B76" s="14" t="str">
        <f>CONCATENATE("     ","Rent                                              ")</f>
        <v xml:space="preserve">     Rent                                              </v>
      </c>
      <c r="C76" s="14"/>
      <c r="D76" s="1">
        <f>SUM(OSRRefD22_14x_0)</f>
        <v>0</v>
      </c>
      <c r="E76" s="1"/>
      <c r="F76" s="5">
        <f t="shared" si="47"/>
        <v>0</v>
      </c>
      <c r="G76" s="1"/>
      <c r="H76" s="1">
        <f>SUM(OSRRefH22_14x_0)</f>
        <v>1850</v>
      </c>
      <c r="I76" s="1"/>
      <c r="J76" s="5">
        <f t="shared" si="48"/>
        <v>2.1660698851420951E-3</v>
      </c>
      <c r="K76" s="1"/>
      <c r="L76" s="1">
        <f t="shared" si="49"/>
        <v>-1850</v>
      </c>
      <c r="M76" s="1"/>
      <c r="N76" s="5">
        <f t="shared" si="50"/>
        <v>-1</v>
      </c>
      <c r="O76" s="14"/>
      <c r="P76" s="1">
        <f>SUM(OSRRefP22_14x_0)</f>
        <v>0</v>
      </c>
      <c r="Q76" s="1"/>
      <c r="R76" s="5">
        <f t="shared" si="51"/>
        <v>0</v>
      </c>
      <c r="S76" s="1"/>
      <c r="T76" s="1">
        <f>SUM(OSRRefT22_14x_0)</f>
        <v>3700</v>
      </c>
      <c r="U76" s="1"/>
      <c r="V76" s="5">
        <f t="shared" si="52"/>
        <v>2.3979555057282004E-3</v>
      </c>
      <c r="W76" s="1"/>
      <c r="X76" s="1">
        <f t="shared" si="53"/>
        <v>-3700</v>
      </c>
      <c r="Y76" s="1"/>
      <c r="Z76" s="5">
        <f t="shared" si="54"/>
        <v>-1</v>
      </c>
    </row>
    <row r="77" spans="1:26" s="24" customFormat="1" hidden="1" outlineLevel="2" x14ac:dyDescent="0.25">
      <c r="A77" s="29"/>
      <c r="B77" s="11" t="str">
        <f>CONCATENATE("          ", "6273", " - ", "RENT")</f>
        <v xml:space="preserve">          6273 - RENT</v>
      </c>
      <c r="C77" s="11"/>
      <c r="D77" s="7"/>
      <c r="E77" s="2"/>
      <c r="F77" s="6">
        <f t="shared" si="47"/>
        <v>0</v>
      </c>
      <c r="G77" s="2"/>
      <c r="H77" s="7">
        <v>1850</v>
      </c>
      <c r="I77" s="2"/>
      <c r="J77" s="6">
        <f t="shared" si="48"/>
        <v>2.1660698851420951E-3</v>
      </c>
      <c r="K77" s="2"/>
      <c r="L77" s="7">
        <f t="shared" si="49"/>
        <v>-1850</v>
      </c>
      <c r="M77" s="2"/>
      <c r="N77" s="6">
        <f t="shared" si="50"/>
        <v>-1</v>
      </c>
      <c r="O77" s="11"/>
      <c r="P77" s="7"/>
      <c r="Q77" s="2"/>
      <c r="R77" s="6">
        <f t="shared" si="51"/>
        <v>0</v>
      </c>
      <c r="S77" s="2"/>
      <c r="T77" s="7">
        <v>3700</v>
      </c>
      <c r="U77" s="2"/>
      <c r="V77" s="6">
        <f t="shared" si="52"/>
        <v>2.3979555057282004E-3</v>
      </c>
      <c r="W77" s="2"/>
      <c r="X77" s="7">
        <f t="shared" si="53"/>
        <v>-3700</v>
      </c>
      <c r="Y77" s="2"/>
      <c r="Z77" s="6">
        <f t="shared" si="54"/>
        <v>-1</v>
      </c>
    </row>
    <row r="78" spans="1:26" s="28" customFormat="1" outlineLevel="1" collapsed="1" x14ac:dyDescent="0.25">
      <c r="A78" s="27"/>
      <c r="B78" s="14" t="str">
        <f>CONCATENATE("     ","Repair and Maintenance                            ")</f>
        <v xml:space="preserve">     Repair and Maintenance                            </v>
      </c>
      <c r="C78" s="14"/>
      <c r="D78" s="1">
        <f>SUM(OSRRefD22_15x_0)</f>
        <v>6762.41</v>
      </c>
      <c r="E78" s="1"/>
      <c r="F78" s="5">
        <f t="shared" si="47"/>
        <v>0.12397395861405443</v>
      </c>
      <c r="G78" s="1"/>
      <c r="H78" s="1">
        <f>SUM(OSRRefH22_15x_0)</f>
        <v>21962.65</v>
      </c>
      <c r="I78" s="1"/>
      <c r="J78" s="5">
        <f t="shared" si="48"/>
        <v>2.5714937709684346E-2</v>
      </c>
      <c r="K78" s="1"/>
      <c r="L78" s="1">
        <f t="shared" si="49"/>
        <v>-15200.240000000002</v>
      </c>
      <c r="M78" s="1"/>
      <c r="N78" s="5">
        <f t="shared" si="50"/>
        <v>-0.69209498853735774</v>
      </c>
      <c r="O78" s="14"/>
      <c r="P78" s="1">
        <f>SUM(OSRRefP22_15x_0)</f>
        <v>10874.470000000001</v>
      </c>
      <c r="Q78" s="1"/>
      <c r="R78" s="5">
        <f t="shared" si="51"/>
        <v>0.14528379148388407</v>
      </c>
      <c r="S78" s="1"/>
      <c r="T78" s="1">
        <f>SUM(OSRRefT22_15x_0)</f>
        <v>47839.02</v>
      </c>
      <c r="U78" s="1"/>
      <c r="V78" s="5">
        <f t="shared" si="52"/>
        <v>3.1004281458822024E-2</v>
      </c>
      <c r="W78" s="1"/>
      <c r="X78" s="1">
        <f t="shared" si="53"/>
        <v>-36964.549999999996</v>
      </c>
      <c r="Y78" s="1"/>
      <c r="Z78" s="5">
        <f t="shared" si="54"/>
        <v>-0.77268618796956956</v>
      </c>
    </row>
    <row r="79" spans="1:26" s="24" customFormat="1" hidden="1" outlineLevel="2" x14ac:dyDescent="0.25">
      <c r="A79" s="29"/>
      <c r="B79" s="11" t="str">
        <f>CONCATENATE("          ", "6373", " - ", "MAINTENANCE CONTRACTS")</f>
        <v xml:space="preserve">          6373 - MAINTENANCE CONTRACTS</v>
      </c>
      <c r="C79" s="11"/>
      <c r="D79" s="7">
        <v>4161.01</v>
      </c>
      <c r="E79" s="2"/>
      <c r="F79" s="6">
        <f t="shared" si="47"/>
        <v>7.6282994011405203E-2</v>
      </c>
      <c r="G79" s="2"/>
      <c r="H79" s="7">
        <v>10082.709999999999</v>
      </c>
      <c r="I79" s="2"/>
      <c r="J79" s="6">
        <f t="shared" si="48"/>
        <v>1.1805326752227596E-2</v>
      </c>
      <c r="K79" s="2"/>
      <c r="L79" s="7">
        <f t="shared" si="49"/>
        <v>-5921.6999999999989</v>
      </c>
      <c r="M79" s="2"/>
      <c r="N79" s="6">
        <f t="shared" si="50"/>
        <v>-0.58731233963884699</v>
      </c>
      <c r="O79" s="11"/>
      <c r="P79" s="7">
        <v>6516.25</v>
      </c>
      <c r="Q79" s="2"/>
      <c r="R79" s="6">
        <f t="shared" si="51"/>
        <v>8.7057622693966649E-2</v>
      </c>
      <c r="S79" s="2"/>
      <c r="T79" s="7">
        <v>16120.409999999998</v>
      </c>
      <c r="U79" s="2"/>
      <c r="V79" s="6">
        <f t="shared" si="52"/>
        <v>1.044757457137728E-2</v>
      </c>
      <c r="W79" s="2"/>
      <c r="X79" s="7">
        <f t="shared" si="53"/>
        <v>-9604.159999999998</v>
      </c>
      <c r="Y79" s="2"/>
      <c r="Z79" s="6">
        <f t="shared" si="54"/>
        <v>-0.59577641015333971</v>
      </c>
    </row>
    <row r="80" spans="1:26" s="24" customFormat="1" hidden="1" outlineLevel="2" x14ac:dyDescent="0.25">
      <c r="A80" s="29"/>
      <c r="B80" s="11" t="str">
        <f>CONCATENATE("          ", "6375", " - ", "OUTSIDE REPAIRS &amp; MAINTENANCE")</f>
        <v xml:space="preserve">          6375 - OUTSIDE REPAIRS &amp; MAINTENANCE</v>
      </c>
      <c r="C80" s="11"/>
      <c r="D80" s="7">
        <v>2601.4</v>
      </c>
      <c r="E80" s="2"/>
      <c r="F80" s="6">
        <f t="shared" si="47"/>
        <v>4.7690964602649238E-2</v>
      </c>
      <c r="G80" s="2"/>
      <c r="H80" s="7">
        <v>11879.94</v>
      </c>
      <c r="I80" s="2"/>
      <c r="J80" s="6">
        <f t="shared" si="48"/>
        <v>1.3909610957456749E-2</v>
      </c>
      <c r="K80" s="2"/>
      <c r="L80" s="7">
        <f t="shared" si="49"/>
        <v>-9278.5400000000009</v>
      </c>
      <c r="M80" s="2"/>
      <c r="N80" s="6">
        <f t="shared" si="50"/>
        <v>-0.78102583009678506</v>
      </c>
      <c r="O80" s="11"/>
      <c r="P80" s="7">
        <v>4358.22</v>
      </c>
      <c r="Q80" s="2"/>
      <c r="R80" s="6">
        <f t="shared" si="51"/>
        <v>5.8226168789917411E-2</v>
      </c>
      <c r="S80" s="2"/>
      <c r="T80" s="7">
        <v>31718.609999999997</v>
      </c>
      <c r="U80" s="2"/>
      <c r="V80" s="6">
        <f t="shared" si="52"/>
        <v>2.055670688744474E-2</v>
      </c>
      <c r="W80" s="2"/>
      <c r="X80" s="7">
        <f t="shared" si="53"/>
        <v>-27360.389999999996</v>
      </c>
      <c r="Y80" s="2"/>
      <c r="Z80" s="6">
        <f t="shared" si="54"/>
        <v>-0.86259738368106287</v>
      </c>
    </row>
    <row r="81" spans="1:26" s="28" customFormat="1" outlineLevel="1" collapsed="1" x14ac:dyDescent="0.25">
      <c r="A81" s="27"/>
      <c r="B81" s="14" t="str">
        <f>CONCATENATE("     ","Royalty &amp; Commissions                             ")</f>
        <v xml:space="preserve">     Royalty &amp; Commissions                             </v>
      </c>
      <c r="C81" s="14"/>
      <c r="D81" s="1">
        <f>SUM(OSRRefD22_16x_0)</f>
        <v>0</v>
      </c>
      <c r="E81" s="1"/>
      <c r="F81" s="5">
        <f t="shared" ref="F81:F83" si="55">IF(D$12=0,0,D81/D$12)</f>
        <v>0</v>
      </c>
      <c r="G81" s="1"/>
      <c r="H81" s="1">
        <f>SUM(OSRRefH22_16x_0)</f>
        <v>16843.939999999999</v>
      </c>
      <c r="I81" s="1"/>
      <c r="J81" s="5">
        <f t="shared" ref="J81:J83" si="56">IF(H$12=0,0,H81/H$12)</f>
        <v>1.9721703341156943E-2</v>
      </c>
      <c r="K81" s="1"/>
      <c r="L81" s="1">
        <f t="shared" ref="L81:L83" si="57">+D81-H81</f>
        <v>-16843.939999999999</v>
      </c>
      <c r="M81" s="1"/>
      <c r="N81" s="5">
        <f t="shared" ref="N81:N83" si="58">IF(H81=0,0,L81/H81)</f>
        <v>-1</v>
      </c>
      <c r="O81" s="14"/>
      <c r="P81" s="1">
        <f>SUM(OSRRefP22_16x_0)</f>
        <v>0</v>
      </c>
      <c r="Q81" s="1"/>
      <c r="R81" s="5">
        <f t="shared" ref="R81:R83" si="59">IF(P$12=0,0,P81/P$12)</f>
        <v>0</v>
      </c>
      <c r="S81" s="1"/>
      <c r="T81" s="1">
        <f>SUM(OSRRefT22_16x_0)</f>
        <v>33702.04</v>
      </c>
      <c r="U81" s="1"/>
      <c r="V81" s="5">
        <f t="shared" ref="V81:V83" si="60">IF(T$12=0,0,T81/T$12)</f>
        <v>2.1842160100614065E-2</v>
      </c>
      <c r="W81" s="1"/>
      <c r="X81" s="1">
        <f t="shared" ref="X81:X83" si="61">+P81-T81</f>
        <v>-33702.04</v>
      </c>
      <c r="Y81" s="1"/>
      <c r="Z81" s="5">
        <f t="shared" ref="Z81:Z83" si="62">IF(T81=0,0,X81/T81)</f>
        <v>-1</v>
      </c>
    </row>
    <row r="82" spans="1:26" s="24" customFormat="1" hidden="1" outlineLevel="2" x14ac:dyDescent="0.25">
      <c r="A82" s="29"/>
      <c r="B82" s="11" t="str">
        <f>CONCATENATE("          ", "6254", " - ", "ROYALTY &amp; COMMISSIONS")</f>
        <v xml:space="preserve">          6254 - ROYALTY &amp; COMMISSIONS</v>
      </c>
      <c r="C82" s="11"/>
      <c r="D82" s="7"/>
      <c r="E82" s="2"/>
      <c r="F82" s="6">
        <f t="shared" si="55"/>
        <v>0</v>
      </c>
      <c r="G82" s="2"/>
      <c r="H82" s="7">
        <v>10870.98</v>
      </c>
      <c r="I82" s="2"/>
      <c r="J82" s="6">
        <f t="shared" si="56"/>
        <v>1.2728271567557846E-2</v>
      </c>
      <c r="K82" s="2"/>
      <c r="L82" s="7">
        <f t="shared" si="57"/>
        <v>-10870.98</v>
      </c>
      <c r="M82" s="2"/>
      <c r="N82" s="6">
        <f t="shared" si="58"/>
        <v>-1</v>
      </c>
      <c r="O82" s="11"/>
      <c r="P82" s="7"/>
      <c r="Q82" s="2"/>
      <c r="R82" s="6">
        <f t="shared" si="59"/>
        <v>0</v>
      </c>
      <c r="S82" s="2"/>
      <c r="T82" s="7">
        <v>24843.64</v>
      </c>
      <c r="U82" s="2"/>
      <c r="V82" s="6">
        <f t="shared" si="60"/>
        <v>1.6101065762251173E-2</v>
      </c>
      <c r="W82" s="2"/>
      <c r="X82" s="7">
        <f t="shared" si="61"/>
        <v>-24843.64</v>
      </c>
      <c r="Y82" s="2"/>
      <c r="Z82" s="6">
        <f t="shared" si="62"/>
        <v>-1</v>
      </c>
    </row>
    <row r="83" spans="1:26" s="24" customFormat="1" hidden="1" outlineLevel="2" x14ac:dyDescent="0.25">
      <c r="A83" s="29"/>
      <c r="B83" s="11" t="str">
        <f>CONCATENATE("          ", "6259", " - ", "ROYALTY &amp; COMMISSIONS")</f>
        <v xml:space="preserve">          6259 - ROYALTY &amp; COMMISSIONS</v>
      </c>
      <c r="C83" s="11"/>
      <c r="D83" s="7"/>
      <c r="E83" s="2"/>
      <c r="F83" s="6">
        <f t="shared" si="55"/>
        <v>0</v>
      </c>
      <c r="G83" s="2"/>
      <c r="H83" s="7">
        <v>5972.96</v>
      </c>
      <c r="I83" s="2"/>
      <c r="J83" s="6">
        <f t="shared" si="56"/>
        <v>6.9934317735990967E-3</v>
      </c>
      <c r="K83" s="2"/>
      <c r="L83" s="7">
        <f t="shared" si="57"/>
        <v>-5972.96</v>
      </c>
      <c r="M83" s="2"/>
      <c r="N83" s="6">
        <f t="shared" si="58"/>
        <v>-1</v>
      </c>
      <c r="O83" s="11"/>
      <c r="P83" s="7"/>
      <c r="Q83" s="2"/>
      <c r="R83" s="6">
        <f t="shared" si="59"/>
        <v>0</v>
      </c>
      <c r="S83" s="2"/>
      <c r="T83" s="7">
        <v>8858.4</v>
      </c>
      <c r="U83" s="2"/>
      <c r="V83" s="6">
        <f t="shared" si="60"/>
        <v>5.7410943383628893E-3</v>
      </c>
      <c r="W83" s="2"/>
      <c r="X83" s="7">
        <f t="shared" si="61"/>
        <v>-8858.4</v>
      </c>
      <c r="Y83" s="2"/>
      <c r="Z83" s="6">
        <f t="shared" si="62"/>
        <v>-1</v>
      </c>
    </row>
    <row r="84" spans="1:26" s="28" customFormat="1" outlineLevel="1" collapsed="1" x14ac:dyDescent="0.25">
      <c r="A84" s="27"/>
      <c r="B84" s="14" t="str">
        <f>CONCATENATE("     ","Services                                          ")</f>
        <v xml:space="preserve">     Services                                          </v>
      </c>
      <c r="C84" s="14"/>
      <c r="D84" s="1">
        <f>SUM(OSRRefD22_17x_0)</f>
        <v>12221.41</v>
      </c>
      <c r="E84" s="1"/>
      <c r="F84" s="5">
        <f t="shared" ref="F84:F89" si="63">IF(D$12=0,0,D84/D$12)</f>
        <v>0.22405275301932165</v>
      </c>
      <c r="G84" s="1"/>
      <c r="H84" s="1">
        <f>SUM(OSRRefH22_17x_0)</f>
        <v>35512.020000000004</v>
      </c>
      <c r="I84" s="1"/>
      <c r="J84" s="5">
        <f t="shared" ref="J84:J89" si="64">IF(H$12=0,0,H84/H$12)</f>
        <v>4.157919842300746E-2</v>
      </c>
      <c r="K84" s="1"/>
      <c r="L84" s="1">
        <f t="shared" ref="L84:L89" si="65">+D84-H84</f>
        <v>-23290.610000000004</v>
      </c>
      <c r="M84" s="1"/>
      <c r="N84" s="5">
        <f t="shared" ref="N84:N89" si="66">IF(H84=0,0,L84/H84)</f>
        <v>-0.65585145536638023</v>
      </c>
      <c r="O84" s="14"/>
      <c r="P84" s="1">
        <f>SUM(OSRRefP22_17x_0)</f>
        <v>24981.279999999999</v>
      </c>
      <c r="Q84" s="1"/>
      <c r="R84" s="5">
        <f t="shared" ref="R84:R89" si="67">IF(P$12=0,0,P84/P$12)</f>
        <v>0.33375190464643545</v>
      </c>
      <c r="S84" s="1"/>
      <c r="T84" s="1">
        <f>SUM(OSRRefT22_17x_0)</f>
        <v>76748.959999999992</v>
      </c>
      <c r="U84" s="1"/>
      <c r="V84" s="5">
        <f t="shared" ref="V84:V89" si="68">IF(T$12=0,0,T84/T$12)</f>
        <v>4.9740700321868489E-2</v>
      </c>
      <c r="W84" s="1"/>
      <c r="X84" s="1">
        <f t="shared" ref="X84:X89" si="69">+P84-T84</f>
        <v>-51767.679999999993</v>
      </c>
      <c r="Y84" s="1"/>
      <c r="Z84" s="5">
        <f t="shared" ref="Z84:Z89" si="70">IF(T84=0,0,X84/T84)</f>
        <v>-0.67450659917736999</v>
      </c>
    </row>
    <row r="85" spans="1:26" s="24" customFormat="1" hidden="1" outlineLevel="2" x14ac:dyDescent="0.25">
      <c r="A85" s="29"/>
      <c r="B85" s="11" t="str">
        <f>CONCATENATE("          ", "6282", " - ", "JANITORIAL/EXTERMINATOR EXPENS")</f>
        <v xml:space="preserve">          6282 - JANITORIAL/EXTERMINATOR EXPENS</v>
      </c>
      <c r="C85" s="11"/>
      <c r="D85" s="7">
        <v>1396.32</v>
      </c>
      <c r="E85" s="2"/>
      <c r="F85" s="6">
        <f t="shared" si="63"/>
        <v>2.5598465324045198E-2</v>
      </c>
      <c r="G85" s="2"/>
      <c r="H85" s="7">
        <v>2935.87</v>
      </c>
      <c r="I85" s="2"/>
      <c r="J85" s="6">
        <f t="shared" si="64"/>
        <v>3.43745923983358E-3</v>
      </c>
      <c r="K85" s="2"/>
      <c r="L85" s="7">
        <f t="shared" si="65"/>
        <v>-1539.55</v>
      </c>
      <c r="M85" s="2"/>
      <c r="N85" s="6">
        <f t="shared" si="66"/>
        <v>-0.52439311004915068</v>
      </c>
      <c r="O85" s="11"/>
      <c r="P85" s="7">
        <v>2904.62</v>
      </c>
      <c r="Q85" s="2"/>
      <c r="R85" s="6">
        <f t="shared" si="67"/>
        <v>3.8805956190960965E-2</v>
      </c>
      <c r="S85" s="2"/>
      <c r="T85" s="7">
        <v>5721.74</v>
      </c>
      <c r="U85" s="2"/>
      <c r="V85" s="6">
        <f t="shared" si="68"/>
        <v>3.7082372798230468E-3</v>
      </c>
      <c r="W85" s="2"/>
      <c r="X85" s="7">
        <f t="shared" si="69"/>
        <v>-2817.12</v>
      </c>
      <c r="Y85" s="2"/>
      <c r="Z85" s="6">
        <f t="shared" si="70"/>
        <v>-0.49235372456630327</v>
      </c>
    </row>
    <row r="86" spans="1:26" s="24" customFormat="1" hidden="1" outlineLevel="2" x14ac:dyDescent="0.25">
      <c r="A86" s="29"/>
      <c r="B86" s="11" t="str">
        <f>CONCATENATE("          ", "6283", " - ", "PLANT SERVICE")</f>
        <v xml:space="preserve">          6283 - PLANT SERVICE</v>
      </c>
      <c r="C86" s="11"/>
      <c r="D86" s="7"/>
      <c r="E86" s="2"/>
      <c r="F86" s="6">
        <f t="shared" si="63"/>
        <v>0</v>
      </c>
      <c r="G86" s="2"/>
      <c r="H86" s="7">
        <v>199.78</v>
      </c>
      <c r="I86" s="2"/>
      <c r="J86" s="6">
        <f t="shared" si="64"/>
        <v>2.3391213062361503E-4</v>
      </c>
      <c r="K86" s="2"/>
      <c r="L86" s="7">
        <f t="shared" si="65"/>
        <v>-199.78</v>
      </c>
      <c r="M86" s="2"/>
      <c r="N86" s="6">
        <f t="shared" si="66"/>
        <v>-1</v>
      </c>
      <c r="O86" s="11"/>
      <c r="P86" s="7"/>
      <c r="Q86" s="2"/>
      <c r="R86" s="6">
        <f t="shared" si="67"/>
        <v>0</v>
      </c>
      <c r="S86" s="2"/>
      <c r="T86" s="7">
        <v>399.56</v>
      </c>
      <c r="U86" s="2"/>
      <c r="V86" s="6">
        <f t="shared" si="68"/>
        <v>2.5895327077534049E-4</v>
      </c>
      <c r="W86" s="2"/>
      <c r="X86" s="7">
        <f t="shared" si="69"/>
        <v>-399.56</v>
      </c>
      <c r="Y86" s="2"/>
      <c r="Z86" s="6">
        <f t="shared" si="70"/>
        <v>-1</v>
      </c>
    </row>
    <row r="87" spans="1:26" s="24" customFormat="1" hidden="1" outlineLevel="2" x14ac:dyDescent="0.25">
      <c r="A87" s="29"/>
      <c r="B87" s="11" t="str">
        <f>CONCATENATE("          ", "6284", " - ", "TRASH REMOVAL EXPENSE")</f>
        <v xml:space="preserve">          6284 - TRASH REMOVAL EXPENSE</v>
      </c>
      <c r="C87" s="11"/>
      <c r="D87" s="7">
        <v>1000</v>
      </c>
      <c r="E87" s="2"/>
      <c r="F87" s="6">
        <f t="shared" si="63"/>
        <v>1.8332807181767215E-2</v>
      </c>
      <c r="G87" s="2"/>
      <c r="H87" s="7"/>
      <c r="I87" s="2"/>
      <c r="J87" s="6">
        <f t="shared" si="64"/>
        <v>0</v>
      </c>
      <c r="K87" s="2"/>
      <c r="L87" s="7">
        <f t="shared" si="65"/>
        <v>1000</v>
      </c>
      <c r="M87" s="2"/>
      <c r="N87" s="6">
        <f t="shared" si="66"/>
        <v>0</v>
      </c>
      <c r="O87" s="11"/>
      <c r="P87" s="7">
        <v>2000</v>
      </c>
      <c r="Q87" s="2"/>
      <c r="R87" s="6">
        <f t="shared" si="67"/>
        <v>2.6720160427843205E-2</v>
      </c>
      <c r="S87" s="2"/>
      <c r="T87" s="7">
        <v>4199</v>
      </c>
      <c r="U87" s="2"/>
      <c r="V87" s="6">
        <f t="shared" si="68"/>
        <v>2.7213554509601928E-3</v>
      </c>
      <c r="W87" s="2"/>
      <c r="X87" s="7">
        <f t="shared" si="69"/>
        <v>-2199</v>
      </c>
      <c r="Y87" s="2"/>
      <c r="Z87" s="6">
        <f t="shared" si="70"/>
        <v>-0.5236961181233627</v>
      </c>
    </row>
    <row r="88" spans="1:26" s="24" customFormat="1" hidden="1" outlineLevel="2" x14ac:dyDescent="0.25">
      <c r="A88" s="29"/>
      <c r="B88" s="11" t="str">
        <f>CONCATENATE("          ", "6285", " - ", "JANITORIAL SERVICES")</f>
        <v xml:space="preserve">          6285 - JANITORIAL SERVICES</v>
      </c>
      <c r="C88" s="11"/>
      <c r="D88" s="7">
        <v>7312.63</v>
      </c>
      <c r="E88" s="2"/>
      <c r="F88" s="6">
        <f t="shared" si="63"/>
        <v>0.13406103578160639</v>
      </c>
      <c r="G88" s="2"/>
      <c r="H88" s="7">
        <v>24905.43</v>
      </c>
      <c r="I88" s="2"/>
      <c r="J88" s="6">
        <f t="shared" si="64"/>
        <v>2.9160487513251079E-2</v>
      </c>
      <c r="K88" s="2"/>
      <c r="L88" s="7">
        <f t="shared" si="65"/>
        <v>-17592.8</v>
      </c>
      <c r="M88" s="2"/>
      <c r="N88" s="6">
        <f t="shared" si="66"/>
        <v>-0.70638410981059152</v>
      </c>
      <c r="O88" s="11"/>
      <c r="P88" s="7">
        <v>15626.729999999998</v>
      </c>
      <c r="Q88" s="2"/>
      <c r="R88" s="6">
        <f t="shared" si="67"/>
        <v>0.20877436628129512</v>
      </c>
      <c r="S88" s="2"/>
      <c r="T88" s="7">
        <v>50810.899999999994</v>
      </c>
      <c r="U88" s="2"/>
      <c r="V88" s="6">
        <f t="shared" si="68"/>
        <v>3.2930345244866217E-2</v>
      </c>
      <c r="W88" s="2"/>
      <c r="X88" s="7">
        <f t="shared" si="69"/>
        <v>-35184.17</v>
      </c>
      <c r="Y88" s="2"/>
      <c r="Z88" s="6">
        <f t="shared" si="70"/>
        <v>-0.69245319409811679</v>
      </c>
    </row>
    <row r="89" spans="1:26" s="24" customFormat="1" hidden="1" outlineLevel="2" x14ac:dyDescent="0.25">
      <c r="A89" s="29"/>
      <c r="B89" s="11" t="str">
        <f>CONCATENATE("          ", "6286", " - ", "LAUNDRY EXPENSE")</f>
        <v xml:space="preserve">          6286 - LAUNDRY EXPENSE</v>
      </c>
      <c r="C89" s="11"/>
      <c r="D89" s="7">
        <v>2512.46</v>
      </c>
      <c r="E89" s="2"/>
      <c r="F89" s="6">
        <f t="shared" si="63"/>
        <v>4.6060444731902857E-2</v>
      </c>
      <c r="G89" s="2"/>
      <c r="H89" s="7">
        <v>7470.94</v>
      </c>
      <c r="I89" s="2"/>
      <c r="J89" s="6">
        <f t="shared" si="64"/>
        <v>8.7473395392991815E-3</v>
      </c>
      <c r="K89" s="2"/>
      <c r="L89" s="7">
        <f t="shared" si="65"/>
        <v>-4958.4799999999996</v>
      </c>
      <c r="M89" s="2"/>
      <c r="N89" s="6">
        <f t="shared" si="66"/>
        <v>-0.66370229181334606</v>
      </c>
      <c r="O89" s="11"/>
      <c r="P89" s="7">
        <v>4449.93</v>
      </c>
      <c r="Q89" s="2"/>
      <c r="R89" s="6">
        <f t="shared" si="67"/>
        <v>5.9451421746336164E-2</v>
      </c>
      <c r="S89" s="2"/>
      <c r="T89" s="7">
        <v>15617.76</v>
      </c>
      <c r="U89" s="2"/>
      <c r="V89" s="6">
        <f t="shared" si="68"/>
        <v>1.0121809075443692E-2</v>
      </c>
      <c r="W89" s="2"/>
      <c r="X89" s="7">
        <f t="shared" si="69"/>
        <v>-11167.83</v>
      </c>
      <c r="Y89" s="2"/>
      <c r="Z89" s="6">
        <f t="shared" si="70"/>
        <v>-0.71507245597319968</v>
      </c>
    </row>
    <row r="90" spans="1:26" s="28" customFormat="1" outlineLevel="1" collapsed="1" x14ac:dyDescent="0.25">
      <c r="A90" s="27"/>
      <c r="B90" s="14" t="str">
        <f>CONCATENATE("     ","Subscriptions &amp; Dues                              ")</f>
        <v xml:space="preserve">     Subscriptions &amp; Dues                              </v>
      </c>
      <c r="C90" s="14"/>
      <c r="D90" s="1">
        <f>SUM(OSRRefD22_18x_0)</f>
        <v>0</v>
      </c>
      <c r="E90" s="1"/>
      <c r="F90" s="5">
        <f t="shared" ref="F90:F101" si="71">IF(D$12=0,0,D90/D$12)</f>
        <v>0</v>
      </c>
      <c r="G90" s="1"/>
      <c r="H90" s="1">
        <f>SUM(OSRRefH22_18x_0)</f>
        <v>454.78</v>
      </c>
      <c r="I90" s="1"/>
      <c r="J90" s="5">
        <f t="shared" ref="J90:J101" si="72">IF(H$12=0,0,H90/H$12)</f>
        <v>5.3247852019725514E-4</v>
      </c>
      <c r="K90" s="1"/>
      <c r="L90" s="1">
        <f t="shared" ref="L90:L101" si="73">+D90-H90</f>
        <v>-454.78</v>
      </c>
      <c r="M90" s="1"/>
      <c r="N90" s="5">
        <f t="shared" ref="N90:N101" si="74">IF(H90=0,0,L90/H90)</f>
        <v>-1</v>
      </c>
      <c r="O90" s="14"/>
      <c r="P90" s="1">
        <f>SUM(OSRRefP22_18x_0)</f>
        <v>9.32</v>
      </c>
      <c r="Q90" s="1"/>
      <c r="R90" s="5">
        <f t="shared" ref="R90:R101" si="75">IF(P$12=0,0,P90/P$12)</f>
        <v>1.2451594759374935E-4</v>
      </c>
      <c r="S90" s="1"/>
      <c r="T90" s="1">
        <f>SUM(OSRRefT22_18x_0)</f>
        <v>848.2</v>
      </c>
      <c r="U90" s="1"/>
      <c r="V90" s="5">
        <f t="shared" ref="V90:V101" si="76">IF(T$12=0,0,T90/T$12)</f>
        <v>5.4971509728612424E-4</v>
      </c>
      <c r="W90" s="1"/>
      <c r="X90" s="1">
        <f t="shared" ref="X90:X101" si="77">+P90-T90</f>
        <v>-838.88</v>
      </c>
      <c r="Y90" s="1"/>
      <c r="Z90" s="5">
        <f t="shared" ref="Z90:Z101" si="78">IF(T90=0,0,X90/T90)</f>
        <v>-0.989012025465692</v>
      </c>
    </row>
    <row r="91" spans="1:26" s="24" customFormat="1" hidden="1" outlineLevel="2" x14ac:dyDescent="0.25">
      <c r="A91" s="29"/>
      <c r="B91" s="11" t="str">
        <f>CONCATENATE("          ", "6275", " - ", "SUBSCRIPTIONS")</f>
        <v xml:space="preserve">          6275 - SUBSCRIPTIONS</v>
      </c>
      <c r="C91" s="11"/>
      <c r="D91" s="7"/>
      <c r="E91" s="2"/>
      <c r="F91" s="6">
        <f t="shared" si="71"/>
        <v>0</v>
      </c>
      <c r="G91" s="2"/>
      <c r="H91" s="7">
        <v>454.78</v>
      </c>
      <c r="I91" s="2"/>
      <c r="J91" s="6">
        <f t="shared" si="72"/>
        <v>5.3247852019725514E-4</v>
      </c>
      <c r="K91" s="2"/>
      <c r="L91" s="7">
        <f t="shared" si="73"/>
        <v>-454.78</v>
      </c>
      <c r="M91" s="2"/>
      <c r="N91" s="6">
        <f t="shared" si="74"/>
        <v>-1</v>
      </c>
      <c r="O91" s="11"/>
      <c r="P91" s="7">
        <v>9.32</v>
      </c>
      <c r="Q91" s="2"/>
      <c r="R91" s="6">
        <f t="shared" si="75"/>
        <v>1.2451594759374935E-4</v>
      </c>
      <c r="S91" s="2"/>
      <c r="T91" s="7">
        <v>848.2</v>
      </c>
      <c r="U91" s="2"/>
      <c r="V91" s="6">
        <f t="shared" si="76"/>
        <v>5.4971509728612424E-4</v>
      </c>
      <c r="W91" s="2"/>
      <c r="X91" s="7">
        <f t="shared" si="77"/>
        <v>-838.88</v>
      </c>
      <c r="Y91" s="2"/>
      <c r="Z91" s="6">
        <f t="shared" si="78"/>
        <v>-0.989012025465692</v>
      </c>
    </row>
    <row r="92" spans="1:26" s="28" customFormat="1" outlineLevel="1" collapsed="1" x14ac:dyDescent="0.25">
      <c r="A92" s="27"/>
      <c r="B92" s="14" t="str">
        <f>CONCATENATE("     ","Supplies                                          ")</f>
        <v xml:space="preserve">     Supplies                                          </v>
      </c>
      <c r="C92" s="14"/>
      <c r="D92" s="1">
        <f>SUM(OSRRefD22_19x_0)</f>
        <v>-9521.130000000001</v>
      </c>
      <c r="E92" s="1"/>
      <c r="F92" s="5">
        <f t="shared" si="71"/>
        <v>-0.1745490404425393</v>
      </c>
      <c r="G92" s="1"/>
      <c r="H92" s="1">
        <f>SUM(OSRRefH22_19x_0)</f>
        <v>41052.530000000006</v>
      </c>
      <c r="I92" s="1"/>
      <c r="J92" s="5">
        <f t="shared" si="72"/>
        <v>4.8066296725347263E-2</v>
      </c>
      <c r="K92" s="1"/>
      <c r="L92" s="1">
        <f t="shared" si="73"/>
        <v>-50573.66</v>
      </c>
      <c r="M92" s="1"/>
      <c r="N92" s="5">
        <f t="shared" si="74"/>
        <v>-1.2319255354054914</v>
      </c>
      <c r="O92" s="14"/>
      <c r="P92" s="1">
        <f>SUM(OSRRefP22_19x_0)</f>
        <v>-2166.4699999999989</v>
      </c>
      <c r="Q92" s="1"/>
      <c r="R92" s="5">
        <f t="shared" si="75"/>
        <v>-2.8944212981054721E-2</v>
      </c>
      <c r="S92" s="1"/>
      <c r="T92" s="1">
        <f>SUM(OSRRefT22_19x_0)</f>
        <v>85975.61</v>
      </c>
      <c r="U92" s="1"/>
      <c r="V92" s="5">
        <f t="shared" si="76"/>
        <v>5.57204560426596E-2</v>
      </c>
      <c r="W92" s="1"/>
      <c r="X92" s="1">
        <f t="shared" si="77"/>
        <v>-88142.080000000002</v>
      </c>
      <c r="Y92" s="1"/>
      <c r="Z92" s="5">
        <f t="shared" si="78"/>
        <v>-1.0251986580845429</v>
      </c>
    </row>
    <row r="93" spans="1:26" s="24" customFormat="1" hidden="1" outlineLevel="2" x14ac:dyDescent="0.25">
      <c r="A93" s="29"/>
      <c r="B93" s="11" t="str">
        <f>CONCATENATE("          ", "6234", " - ", "EXPENDABLE SUPPLIES &amp; EQUIPMEN")</f>
        <v xml:space="preserve">          6234 - EXPENDABLE SUPPLIES &amp; EQUIPMEN</v>
      </c>
      <c r="C93" s="11"/>
      <c r="D93" s="7">
        <v>255.78</v>
      </c>
      <c r="E93" s="2"/>
      <c r="F93" s="6">
        <f t="shared" si="71"/>
        <v>4.6891654209524182E-3</v>
      </c>
      <c r="G93" s="2"/>
      <c r="H93" s="7"/>
      <c r="I93" s="2"/>
      <c r="J93" s="6">
        <f t="shared" si="72"/>
        <v>0</v>
      </c>
      <c r="K93" s="2"/>
      <c r="L93" s="7">
        <f t="shared" si="73"/>
        <v>255.78</v>
      </c>
      <c r="M93" s="2"/>
      <c r="N93" s="6">
        <f t="shared" si="74"/>
        <v>0</v>
      </c>
      <c r="O93" s="11"/>
      <c r="P93" s="7">
        <v>255.78</v>
      </c>
      <c r="Q93" s="2"/>
      <c r="R93" s="6">
        <f t="shared" si="75"/>
        <v>3.4172413171168676E-3</v>
      </c>
      <c r="S93" s="2"/>
      <c r="T93" s="7"/>
      <c r="U93" s="2"/>
      <c r="V93" s="6">
        <f t="shared" si="76"/>
        <v>0</v>
      </c>
      <c r="W93" s="2"/>
      <c r="X93" s="7">
        <f t="shared" si="77"/>
        <v>255.78</v>
      </c>
      <c r="Y93" s="2"/>
      <c r="Z93" s="6">
        <f t="shared" si="78"/>
        <v>0</v>
      </c>
    </row>
    <row r="94" spans="1:26" s="24" customFormat="1" hidden="1" outlineLevel="2" x14ac:dyDescent="0.25">
      <c r="A94" s="29"/>
      <c r="B94" s="11" t="str">
        <f>CONCATENATE("          ", "6235", " - ", "COVID-19 EXPENSES")</f>
        <v xml:space="preserve">          6235 - COVID-19 EXPENSES</v>
      </c>
      <c r="C94" s="11"/>
      <c r="D94" s="7">
        <v>8993.76</v>
      </c>
      <c r="E94" s="2"/>
      <c r="F94" s="6">
        <f t="shared" si="71"/>
        <v>0.16488086791909071</v>
      </c>
      <c r="G94" s="2"/>
      <c r="H94" s="7"/>
      <c r="I94" s="2"/>
      <c r="J94" s="6">
        <f t="shared" si="72"/>
        <v>0</v>
      </c>
      <c r="K94" s="2"/>
      <c r="L94" s="7">
        <f t="shared" si="73"/>
        <v>8993.76</v>
      </c>
      <c r="M94" s="2"/>
      <c r="N94" s="6">
        <f t="shared" si="74"/>
        <v>0</v>
      </c>
      <c r="O94" s="11"/>
      <c r="P94" s="7">
        <v>14495.7</v>
      </c>
      <c r="Q94" s="2"/>
      <c r="R94" s="6">
        <f t="shared" si="75"/>
        <v>0.19366371475694338</v>
      </c>
      <c r="S94" s="2"/>
      <c r="T94" s="7"/>
      <c r="U94" s="2"/>
      <c r="V94" s="6">
        <f t="shared" si="76"/>
        <v>0</v>
      </c>
      <c r="W94" s="2"/>
      <c r="X94" s="7">
        <f t="shared" si="77"/>
        <v>14495.7</v>
      </c>
      <c r="Y94" s="2"/>
      <c r="Z94" s="6">
        <f t="shared" si="78"/>
        <v>0</v>
      </c>
    </row>
    <row r="95" spans="1:26" s="24" customFormat="1" hidden="1" outlineLevel="2" x14ac:dyDescent="0.25">
      <c r="A95" s="29"/>
      <c r="B95" s="11" t="str">
        <f>CONCATENATE("          ", "6237", " - ", "JANITORIAL SUPPLIES")</f>
        <v xml:space="preserve">          6237 - JANITORIAL SUPPLIES</v>
      </c>
      <c r="C95" s="11"/>
      <c r="D95" s="7">
        <v>1416.91</v>
      </c>
      <c r="E95" s="2"/>
      <c r="F95" s="6">
        <f t="shared" si="71"/>
        <v>2.5975937823917786E-2</v>
      </c>
      <c r="G95" s="2"/>
      <c r="H95" s="7">
        <v>12148.14</v>
      </c>
      <c r="I95" s="2"/>
      <c r="J95" s="6">
        <f t="shared" si="72"/>
        <v>1.4223632548373022E-2</v>
      </c>
      <c r="K95" s="2"/>
      <c r="L95" s="7">
        <f t="shared" si="73"/>
        <v>-10731.23</v>
      </c>
      <c r="M95" s="2"/>
      <c r="N95" s="6">
        <f t="shared" si="74"/>
        <v>-0.88336403762222038</v>
      </c>
      <c r="O95" s="11"/>
      <c r="P95" s="7">
        <v>2604.9499999999998</v>
      </c>
      <c r="Q95" s="2"/>
      <c r="R95" s="6">
        <f t="shared" si="75"/>
        <v>3.480234095325508E-2</v>
      </c>
      <c r="S95" s="2"/>
      <c r="T95" s="7">
        <v>23273.91</v>
      </c>
      <c r="U95" s="2"/>
      <c r="V95" s="6">
        <f t="shared" si="76"/>
        <v>1.5083729898465573E-2</v>
      </c>
      <c r="W95" s="2"/>
      <c r="X95" s="7">
        <f t="shared" si="77"/>
        <v>-20668.96</v>
      </c>
      <c r="Y95" s="2"/>
      <c r="Z95" s="6">
        <f t="shared" si="78"/>
        <v>-0.88807424278945823</v>
      </c>
    </row>
    <row r="96" spans="1:26" s="24" customFormat="1" hidden="1" outlineLevel="2" x14ac:dyDescent="0.25">
      <c r="A96" s="29"/>
      <c r="B96" s="11" t="str">
        <f>CONCATENATE("          ", "6239", " - ", "KITCHEN SUPPLIES")</f>
        <v xml:space="preserve">          6239 - KITCHEN SUPPLIES</v>
      </c>
      <c r="C96" s="11"/>
      <c r="D96" s="7">
        <v>2324.31</v>
      </c>
      <c r="E96" s="2"/>
      <c r="F96" s="6">
        <f t="shared" si="71"/>
        <v>4.2611127060653356E-2</v>
      </c>
      <c r="G96" s="2"/>
      <c r="H96" s="7">
        <v>8964.77</v>
      </c>
      <c r="I96" s="2"/>
      <c r="J96" s="6">
        <f t="shared" si="72"/>
        <v>1.0496388283365028E-2</v>
      </c>
      <c r="K96" s="2"/>
      <c r="L96" s="7">
        <f t="shared" si="73"/>
        <v>-6640.4600000000009</v>
      </c>
      <c r="M96" s="2"/>
      <c r="N96" s="6">
        <f t="shared" si="74"/>
        <v>-0.7407284291733085</v>
      </c>
      <c r="O96" s="11"/>
      <c r="P96" s="7">
        <v>2374.31</v>
      </c>
      <c r="Q96" s="2"/>
      <c r="R96" s="6">
        <f t="shared" si="75"/>
        <v>3.17209720527162E-2</v>
      </c>
      <c r="S96" s="2"/>
      <c r="T96" s="7">
        <v>16217.270000000002</v>
      </c>
      <c r="U96" s="2"/>
      <c r="V96" s="6">
        <f t="shared" si="76"/>
        <v>1.0510349157940751E-2</v>
      </c>
      <c r="W96" s="2"/>
      <c r="X96" s="7">
        <f t="shared" si="77"/>
        <v>-13842.960000000003</v>
      </c>
      <c r="Y96" s="2"/>
      <c r="Z96" s="6">
        <f t="shared" si="78"/>
        <v>-0.85359373063407107</v>
      </c>
    </row>
    <row r="97" spans="1:26" s="24" customFormat="1" hidden="1" outlineLevel="2" x14ac:dyDescent="0.25">
      <c r="A97" s="29"/>
      <c r="B97" s="11" t="str">
        <f>CONCATENATE("          ", "6241", " - ", "OFFICE EXPENSE")</f>
        <v xml:space="preserve">          6241 - OFFICE EXPENSE</v>
      </c>
      <c r="C97" s="11"/>
      <c r="D97" s="7">
        <v>-29035.16</v>
      </c>
      <c r="E97" s="2"/>
      <c r="F97" s="6">
        <f t="shared" si="71"/>
        <v>-0.53229598977176018</v>
      </c>
      <c r="G97" s="2"/>
      <c r="H97" s="7">
        <v>5216.0200000000004</v>
      </c>
      <c r="I97" s="2"/>
      <c r="J97" s="6">
        <f t="shared" si="72"/>
        <v>6.107169644485877E-3</v>
      </c>
      <c r="K97" s="2"/>
      <c r="L97" s="7">
        <f t="shared" si="73"/>
        <v>-34251.18</v>
      </c>
      <c r="M97" s="2"/>
      <c r="N97" s="6">
        <f t="shared" si="74"/>
        <v>-6.5665354043887865</v>
      </c>
      <c r="O97" s="11"/>
      <c r="P97" s="7">
        <v>-29068.36</v>
      </c>
      <c r="Q97" s="2"/>
      <c r="R97" s="6">
        <f t="shared" si="75"/>
        <v>-0.38835562128715018</v>
      </c>
      <c r="S97" s="2"/>
      <c r="T97" s="7">
        <v>28810.9</v>
      </c>
      <c r="U97" s="2"/>
      <c r="V97" s="6">
        <f t="shared" si="76"/>
        <v>1.8672231427022869E-2</v>
      </c>
      <c r="W97" s="2"/>
      <c r="X97" s="7">
        <f t="shared" si="77"/>
        <v>-57879.26</v>
      </c>
      <c r="Y97" s="2"/>
      <c r="Z97" s="6">
        <f t="shared" si="78"/>
        <v>-2.0089362012293956</v>
      </c>
    </row>
    <row r="98" spans="1:26" s="24" customFormat="1" hidden="1" outlineLevel="2" x14ac:dyDescent="0.25">
      <c r="A98" s="29"/>
      <c r="B98" s="11" t="str">
        <f>CONCATENATE("          ", "6243", " - ", "PAPER SUPPLIES")</f>
        <v xml:space="preserve">          6243 - PAPER SUPPLIES</v>
      </c>
      <c r="C98" s="11"/>
      <c r="D98" s="7">
        <v>3012.29</v>
      </c>
      <c r="E98" s="2"/>
      <c r="F98" s="6">
        <f t="shared" si="71"/>
        <v>5.5223731745565566E-2</v>
      </c>
      <c r="G98" s="2"/>
      <c r="H98" s="7">
        <v>9038.2199999999993</v>
      </c>
      <c r="I98" s="2"/>
      <c r="J98" s="6">
        <f t="shared" si="72"/>
        <v>1.05823871120481E-2</v>
      </c>
      <c r="K98" s="2"/>
      <c r="L98" s="7">
        <f t="shared" si="73"/>
        <v>-6025.9299999999994</v>
      </c>
      <c r="M98" s="2"/>
      <c r="N98" s="6">
        <f t="shared" si="74"/>
        <v>-0.66671645523122913</v>
      </c>
      <c r="O98" s="11"/>
      <c r="P98" s="7">
        <v>3660.17</v>
      </c>
      <c r="Q98" s="2"/>
      <c r="R98" s="6">
        <f t="shared" si="75"/>
        <v>4.8900164796589436E-2</v>
      </c>
      <c r="S98" s="2"/>
      <c r="T98" s="7">
        <v>16473.66</v>
      </c>
      <c r="U98" s="2"/>
      <c r="V98" s="6">
        <f t="shared" si="76"/>
        <v>1.0676514512566061E-2</v>
      </c>
      <c r="W98" s="2"/>
      <c r="X98" s="7">
        <f t="shared" si="77"/>
        <v>-12813.49</v>
      </c>
      <c r="Y98" s="2"/>
      <c r="Z98" s="6">
        <f t="shared" si="78"/>
        <v>-0.77781683001834445</v>
      </c>
    </row>
    <row r="99" spans="1:26" s="24" customFormat="1" hidden="1" outlineLevel="2" x14ac:dyDescent="0.25">
      <c r="A99" s="29"/>
      <c r="B99" s="11" t="str">
        <f>CONCATENATE("          ", "6245", " - ", "PRINTING")</f>
        <v xml:space="preserve">          6245 - PRINTING</v>
      </c>
      <c r="C99" s="11"/>
      <c r="D99" s="7"/>
      <c r="E99" s="2"/>
      <c r="F99" s="6">
        <f t="shared" si="71"/>
        <v>0</v>
      </c>
      <c r="G99" s="2"/>
      <c r="H99" s="7">
        <v>1356.16</v>
      </c>
      <c r="I99" s="2"/>
      <c r="J99" s="6">
        <f t="shared" si="72"/>
        <v>1.5878580191536779E-3</v>
      </c>
      <c r="K99" s="2"/>
      <c r="L99" s="7">
        <f t="shared" si="73"/>
        <v>-1356.16</v>
      </c>
      <c r="M99" s="2"/>
      <c r="N99" s="6">
        <f t="shared" si="74"/>
        <v>-1</v>
      </c>
      <c r="O99" s="11"/>
      <c r="P99" s="7"/>
      <c r="Q99" s="2"/>
      <c r="R99" s="6">
        <f t="shared" si="75"/>
        <v>0</v>
      </c>
      <c r="S99" s="2"/>
      <c r="T99" s="7">
        <v>1493.92</v>
      </c>
      <c r="U99" s="2"/>
      <c r="V99" s="6">
        <f t="shared" si="76"/>
        <v>9.6820369976147928E-4</v>
      </c>
      <c r="W99" s="2"/>
      <c r="X99" s="7">
        <f t="shared" si="77"/>
        <v>-1493.92</v>
      </c>
      <c r="Y99" s="2"/>
      <c r="Z99" s="6">
        <f t="shared" si="78"/>
        <v>-1</v>
      </c>
    </row>
    <row r="100" spans="1:26" s="24" customFormat="1" hidden="1" outlineLevel="2" x14ac:dyDescent="0.25">
      <c r="A100" s="29"/>
      <c r="B100" s="11" t="str">
        <f>CONCATENATE("          ", "6247", " - ", "STORE SUPPLIES")</f>
        <v xml:space="preserve">          6247 - STORE SUPPLIES</v>
      </c>
      <c r="C100" s="11"/>
      <c r="D100" s="7"/>
      <c r="E100" s="2"/>
      <c r="F100" s="6">
        <f t="shared" si="71"/>
        <v>0</v>
      </c>
      <c r="G100" s="2"/>
      <c r="H100" s="7">
        <v>1120.58</v>
      </c>
      <c r="I100" s="2"/>
      <c r="J100" s="6">
        <f t="shared" si="72"/>
        <v>1.3120295091310968E-3</v>
      </c>
      <c r="K100" s="2"/>
      <c r="L100" s="7">
        <f t="shared" si="73"/>
        <v>-1120.58</v>
      </c>
      <c r="M100" s="2"/>
      <c r="N100" s="6">
        <f t="shared" si="74"/>
        <v>-1</v>
      </c>
      <c r="O100" s="11"/>
      <c r="P100" s="7"/>
      <c r="Q100" s="2"/>
      <c r="R100" s="6">
        <f t="shared" si="75"/>
        <v>0</v>
      </c>
      <c r="S100" s="2"/>
      <c r="T100" s="7">
        <v>1487.22</v>
      </c>
      <c r="U100" s="2"/>
      <c r="V100" s="6">
        <f t="shared" si="76"/>
        <v>9.638614560078633E-4</v>
      </c>
      <c r="W100" s="2"/>
      <c r="X100" s="7">
        <f t="shared" si="77"/>
        <v>-1487.22</v>
      </c>
      <c r="Y100" s="2"/>
      <c r="Z100" s="6">
        <f t="shared" si="78"/>
        <v>-1</v>
      </c>
    </row>
    <row r="101" spans="1:26" s="24" customFormat="1" hidden="1" outlineLevel="2" x14ac:dyDescent="0.25">
      <c r="A101" s="29"/>
      <c r="B101" s="11" t="str">
        <f>CONCATENATE("          ", "6248", " - ", "UNIFORMS")</f>
        <v xml:space="preserve">          6248 - UNIFORMS</v>
      </c>
      <c r="C101" s="11"/>
      <c r="D101" s="7">
        <v>3510.98</v>
      </c>
      <c r="E101" s="2"/>
      <c r="F101" s="6">
        <f t="shared" si="71"/>
        <v>6.436611935904106E-2</v>
      </c>
      <c r="G101" s="2"/>
      <c r="H101" s="7">
        <v>3208.64</v>
      </c>
      <c r="I101" s="2"/>
      <c r="J101" s="6">
        <f t="shared" si="72"/>
        <v>3.7568316087904499E-3</v>
      </c>
      <c r="K101" s="2"/>
      <c r="L101" s="7">
        <f t="shared" si="73"/>
        <v>302.34000000000015</v>
      </c>
      <c r="M101" s="2"/>
      <c r="N101" s="6">
        <f t="shared" si="74"/>
        <v>9.4226837538645705E-2</v>
      </c>
      <c r="O101" s="11"/>
      <c r="P101" s="7">
        <v>3510.98</v>
      </c>
      <c r="Q101" s="2"/>
      <c r="R101" s="6">
        <f t="shared" si="75"/>
        <v>4.6906974429474474E-2</v>
      </c>
      <c r="S101" s="2"/>
      <c r="T101" s="7">
        <v>-1781.27</v>
      </c>
      <c r="U101" s="2"/>
      <c r="V101" s="6">
        <f t="shared" si="76"/>
        <v>-1.1544341091049922E-3</v>
      </c>
      <c r="W101" s="2"/>
      <c r="X101" s="7">
        <f t="shared" si="77"/>
        <v>5292.25</v>
      </c>
      <c r="Y101" s="2"/>
      <c r="Z101" s="6">
        <f t="shared" si="78"/>
        <v>-2.9710543600913955</v>
      </c>
    </row>
    <row r="102" spans="1:26" s="28" customFormat="1" outlineLevel="1" collapsed="1" x14ac:dyDescent="0.25">
      <c r="A102" s="27"/>
      <c r="B102" s="14" t="str">
        <f>CONCATENATE("     ","Telephone/Data Lines                              ")</f>
        <v xml:space="preserve">     Telephone/Data Lines                              </v>
      </c>
      <c r="C102" s="14"/>
      <c r="D102" s="1">
        <f>SUM(OSRRefD22_20x_0)</f>
        <v>1861.46</v>
      </c>
      <c r="E102" s="1"/>
      <c r="F102" s="5">
        <f t="shared" ref="F102:F109" si="79">IF(D$12=0,0,D102/D$12)</f>
        <v>3.41257872565724E-2</v>
      </c>
      <c r="G102" s="1"/>
      <c r="H102" s="1">
        <f>SUM(OSRRefH22_20x_0)</f>
        <v>2107.84</v>
      </c>
      <c r="I102" s="1"/>
      <c r="J102" s="5">
        <f t="shared" ref="J102:J109" si="80">IF(H$12=0,0,H102/H$12)</f>
        <v>2.4679614847015752E-3</v>
      </c>
      <c r="K102" s="1"/>
      <c r="L102" s="1">
        <f t="shared" ref="L102:L109" si="81">+D102-H102</f>
        <v>-246.38000000000011</v>
      </c>
      <c r="M102" s="1"/>
      <c r="N102" s="5">
        <f t="shared" ref="N102:N109" si="82">IF(H102=0,0,L102/H102)</f>
        <v>-0.11688742978594205</v>
      </c>
      <c r="O102" s="14"/>
      <c r="P102" s="1">
        <f>SUM(OSRRefP22_20x_0)</f>
        <v>3697.78</v>
      </c>
      <c r="Q102" s="1"/>
      <c r="R102" s="5">
        <f t="shared" ref="R102:R109" si="83">IF(P$12=0,0,P102/P$12)</f>
        <v>4.9402637413435029E-2</v>
      </c>
      <c r="S102" s="1"/>
      <c r="T102" s="1">
        <f>SUM(OSRRefT22_20x_0)</f>
        <v>2621.83</v>
      </c>
      <c r="U102" s="1"/>
      <c r="V102" s="5">
        <f t="shared" ref="V102:V109" si="84">IF(T$12=0,0,T102/T$12)</f>
        <v>1.699197752319829E-3</v>
      </c>
      <c r="W102" s="1"/>
      <c r="X102" s="1">
        <f t="shared" ref="X102:X109" si="85">+P102-T102</f>
        <v>1075.9500000000003</v>
      </c>
      <c r="Y102" s="1"/>
      <c r="Z102" s="5">
        <f t="shared" ref="Z102:Z109" si="86">IF(T102=0,0,X102/T102)</f>
        <v>0.41038129855864047</v>
      </c>
    </row>
    <row r="103" spans="1:26" s="24" customFormat="1" hidden="1" outlineLevel="2" x14ac:dyDescent="0.25">
      <c r="A103" s="29"/>
      <c r="B103" s="11" t="str">
        <f>CONCATENATE("          ", "6309", " - ", "TELEPHONE")</f>
        <v xml:space="preserve">          6309 - TELEPHONE</v>
      </c>
      <c r="C103" s="11"/>
      <c r="D103" s="7">
        <v>1861.46</v>
      </c>
      <c r="E103" s="2"/>
      <c r="F103" s="6">
        <f t="shared" si="79"/>
        <v>3.41257872565724E-2</v>
      </c>
      <c r="G103" s="2"/>
      <c r="H103" s="7">
        <v>2107.84</v>
      </c>
      <c r="I103" s="2"/>
      <c r="J103" s="6">
        <f t="shared" si="80"/>
        <v>2.4679614847015752E-3</v>
      </c>
      <c r="K103" s="2"/>
      <c r="L103" s="7">
        <f t="shared" si="81"/>
        <v>-246.38000000000011</v>
      </c>
      <c r="M103" s="2"/>
      <c r="N103" s="6">
        <f t="shared" si="82"/>
        <v>-0.11688742978594205</v>
      </c>
      <c r="O103" s="11"/>
      <c r="P103" s="7">
        <v>3697.78</v>
      </c>
      <c r="Q103" s="2"/>
      <c r="R103" s="6">
        <f t="shared" si="83"/>
        <v>4.9402637413435029E-2</v>
      </c>
      <c r="S103" s="2"/>
      <c r="T103" s="7">
        <v>2621.83</v>
      </c>
      <c r="U103" s="2"/>
      <c r="V103" s="6">
        <f t="shared" si="84"/>
        <v>1.699197752319829E-3</v>
      </c>
      <c r="W103" s="2"/>
      <c r="X103" s="7">
        <f t="shared" si="85"/>
        <v>1075.9500000000003</v>
      </c>
      <c r="Y103" s="2"/>
      <c r="Z103" s="6">
        <f t="shared" si="86"/>
        <v>0.41038129855864047</v>
      </c>
    </row>
    <row r="104" spans="1:26" s="28" customFormat="1" outlineLevel="1" collapsed="1" x14ac:dyDescent="0.25">
      <c r="A104" s="27"/>
      <c r="B104" s="14" t="str">
        <f>CONCATENATE("     ","Training                                          ")</f>
        <v xml:space="preserve">     Training                                          </v>
      </c>
      <c r="C104" s="14"/>
      <c r="D104" s="1">
        <f>SUM(OSRRefD22_21x_0)</f>
        <v>350</v>
      </c>
      <c r="E104" s="1"/>
      <c r="F104" s="5">
        <f t="shared" si="79"/>
        <v>6.4164825136185256E-3</v>
      </c>
      <c r="G104" s="1"/>
      <c r="H104" s="1">
        <f>SUM(OSRRefH22_21x_0)</f>
        <v>364.9</v>
      </c>
      <c r="I104" s="1"/>
      <c r="J104" s="5">
        <f t="shared" si="80"/>
        <v>4.2724264923694625E-4</v>
      </c>
      <c r="K104" s="1"/>
      <c r="L104" s="1">
        <f t="shared" si="81"/>
        <v>-14.899999999999977</v>
      </c>
      <c r="M104" s="1"/>
      <c r="N104" s="5">
        <f t="shared" si="82"/>
        <v>-4.0833104960263024E-2</v>
      </c>
      <c r="O104" s="14"/>
      <c r="P104" s="1">
        <f>SUM(OSRRefP22_21x_0)</f>
        <v>350</v>
      </c>
      <c r="Q104" s="1"/>
      <c r="R104" s="5">
        <f t="shared" si="83"/>
        <v>4.6760280748725609E-3</v>
      </c>
      <c r="S104" s="1"/>
      <c r="T104" s="1">
        <f>SUM(OSRRefT22_21x_0)</f>
        <v>4440.12</v>
      </c>
      <c r="U104" s="1"/>
      <c r="V104" s="5">
        <f t="shared" si="84"/>
        <v>2.8776243784037559E-3</v>
      </c>
      <c r="W104" s="1"/>
      <c r="X104" s="1">
        <f t="shared" si="85"/>
        <v>-4090.12</v>
      </c>
      <c r="Y104" s="1"/>
      <c r="Z104" s="5">
        <f t="shared" si="86"/>
        <v>-0.92117330162247868</v>
      </c>
    </row>
    <row r="105" spans="1:26" s="24" customFormat="1" hidden="1" outlineLevel="2" x14ac:dyDescent="0.25">
      <c r="A105" s="29"/>
      <c r="B105" s="11" t="str">
        <f>CONCATENATE("          ", "6376", " - ", "TRAINING")</f>
        <v xml:space="preserve">          6376 - TRAINING</v>
      </c>
      <c r="C105" s="11"/>
      <c r="D105" s="7">
        <v>350</v>
      </c>
      <c r="E105" s="2"/>
      <c r="F105" s="6">
        <f t="shared" si="79"/>
        <v>6.4164825136185256E-3</v>
      </c>
      <c r="G105" s="2"/>
      <c r="H105" s="7">
        <v>364.9</v>
      </c>
      <c r="I105" s="2"/>
      <c r="J105" s="6">
        <f t="shared" si="80"/>
        <v>4.2724264923694625E-4</v>
      </c>
      <c r="K105" s="2"/>
      <c r="L105" s="7">
        <f t="shared" si="81"/>
        <v>-14.899999999999977</v>
      </c>
      <c r="M105" s="2"/>
      <c r="N105" s="6">
        <f t="shared" si="82"/>
        <v>-4.0833104960263024E-2</v>
      </c>
      <c r="O105" s="11"/>
      <c r="P105" s="7">
        <v>350</v>
      </c>
      <c r="Q105" s="2"/>
      <c r="R105" s="6">
        <f t="shared" si="83"/>
        <v>4.6760280748725609E-3</v>
      </c>
      <c r="S105" s="2"/>
      <c r="T105" s="7">
        <v>4440.12</v>
      </c>
      <c r="U105" s="2"/>
      <c r="V105" s="6">
        <f t="shared" si="84"/>
        <v>2.8776243784037559E-3</v>
      </c>
      <c r="W105" s="2"/>
      <c r="X105" s="7">
        <f t="shared" si="85"/>
        <v>-4090.12</v>
      </c>
      <c r="Y105" s="2"/>
      <c r="Z105" s="6">
        <f t="shared" si="86"/>
        <v>-0.92117330162247868</v>
      </c>
    </row>
    <row r="106" spans="1:26" s="28" customFormat="1" outlineLevel="1" collapsed="1" x14ac:dyDescent="0.25">
      <c r="A106" s="27"/>
      <c r="B106" s="14" t="str">
        <f>CONCATENATE("     ","Travel                                            ")</f>
        <v xml:space="preserve">     Travel                                            </v>
      </c>
      <c r="C106" s="14"/>
      <c r="D106" s="1">
        <f>SUM(OSRRefD22_22x_0)</f>
        <v>0</v>
      </c>
      <c r="E106" s="1"/>
      <c r="F106" s="5">
        <f t="shared" si="79"/>
        <v>0</v>
      </c>
      <c r="G106" s="1"/>
      <c r="H106" s="1">
        <f>SUM(OSRRefH22_22x_0)</f>
        <v>206.94</v>
      </c>
      <c r="I106" s="1"/>
      <c r="J106" s="5">
        <f t="shared" si="80"/>
        <v>2.422954065034082E-4</v>
      </c>
      <c r="K106" s="1"/>
      <c r="L106" s="1">
        <f t="shared" si="81"/>
        <v>-206.94</v>
      </c>
      <c r="M106" s="1"/>
      <c r="N106" s="5">
        <f t="shared" si="82"/>
        <v>-1</v>
      </c>
      <c r="O106" s="14"/>
      <c r="P106" s="1">
        <f>SUM(OSRRefP22_22x_0)</f>
        <v>179.69</v>
      </c>
      <c r="Q106" s="1"/>
      <c r="R106" s="5">
        <f t="shared" si="83"/>
        <v>2.4006728136395728E-3</v>
      </c>
      <c r="S106" s="1"/>
      <c r="T106" s="1">
        <f>SUM(OSRRefT22_22x_0)</f>
        <v>2539.7699999999995</v>
      </c>
      <c r="U106" s="1"/>
      <c r="V106" s="5">
        <f t="shared" si="84"/>
        <v>1.646014987779273E-3</v>
      </c>
      <c r="W106" s="1"/>
      <c r="X106" s="1">
        <f t="shared" si="85"/>
        <v>-2360.0799999999995</v>
      </c>
      <c r="Y106" s="1"/>
      <c r="Z106" s="5">
        <f t="shared" si="86"/>
        <v>-0.92924949897037912</v>
      </c>
    </row>
    <row r="107" spans="1:26" s="24" customFormat="1" hidden="1" outlineLevel="2" x14ac:dyDescent="0.25">
      <c r="A107" s="29"/>
      <c r="B107" s="11" t="str">
        <f>CONCATENATE("          ", "6292", " - ", "TRAVEL/CONFERENCE")</f>
        <v xml:space="preserve">          6292 - TRAVEL/CONFERENCE</v>
      </c>
      <c r="C107" s="11"/>
      <c r="D107" s="7"/>
      <c r="E107" s="2"/>
      <c r="F107" s="6">
        <f t="shared" si="79"/>
        <v>0</v>
      </c>
      <c r="G107" s="2"/>
      <c r="H107" s="7">
        <v>160.36000000000001</v>
      </c>
      <c r="I107" s="2"/>
      <c r="J107" s="6">
        <f t="shared" si="80"/>
        <v>1.8775727934128997E-4</v>
      </c>
      <c r="K107" s="2"/>
      <c r="L107" s="7">
        <f t="shared" si="81"/>
        <v>-160.36000000000001</v>
      </c>
      <c r="M107" s="2"/>
      <c r="N107" s="6">
        <f t="shared" si="82"/>
        <v>-1</v>
      </c>
      <c r="O107" s="11"/>
      <c r="P107" s="7"/>
      <c r="Q107" s="2"/>
      <c r="R107" s="6">
        <f t="shared" si="83"/>
        <v>0</v>
      </c>
      <c r="S107" s="2"/>
      <c r="T107" s="7">
        <v>2234.1</v>
      </c>
      <c r="U107" s="2"/>
      <c r="V107" s="6">
        <f t="shared" si="84"/>
        <v>1.4479114582019925E-3</v>
      </c>
      <c r="W107" s="2"/>
      <c r="X107" s="7">
        <f t="shared" si="85"/>
        <v>-2234.1</v>
      </c>
      <c r="Y107" s="2"/>
      <c r="Z107" s="6">
        <f t="shared" si="86"/>
        <v>-1</v>
      </c>
    </row>
    <row r="108" spans="1:26" s="24" customFormat="1" hidden="1" outlineLevel="2" x14ac:dyDescent="0.25">
      <c r="A108" s="29"/>
      <c r="B108" s="11" t="str">
        <f>CONCATENATE("          ", "6294", " - ", "TRAVEL OPERATIONAL")</f>
        <v xml:space="preserve">          6294 - TRAVEL OPERATIONAL</v>
      </c>
      <c r="C108" s="11"/>
      <c r="D108" s="7"/>
      <c r="E108" s="2"/>
      <c r="F108" s="6">
        <f t="shared" si="79"/>
        <v>0</v>
      </c>
      <c r="G108" s="2"/>
      <c r="H108" s="7"/>
      <c r="I108" s="2"/>
      <c r="J108" s="6">
        <f t="shared" si="80"/>
        <v>0</v>
      </c>
      <c r="K108" s="2"/>
      <c r="L108" s="7">
        <f t="shared" si="81"/>
        <v>0</v>
      </c>
      <c r="M108" s="2"/>
      <c r="N108" s="6">
        <f t="shared" si="82"/>
        <v>0</v>
      </c>
      <c r="O108" s="11"/>
      <c r="P108" s="7"/>
      <c r="Q108" s="2"/>
      <c r="R108" s="6">
        <f t="shared" si="83"/>
        <v>0</v>
      </c>
      <c r="S108" s="2"/>
      <c r="T108" s="7">
        <v>45.49</v>
      </c>
      <c r="U108" s="2"/>
      <c r="V108" s="6">
        <f t="shared" si="84"/>
        <v>2.9481890798804279E-5</v>
      </c>
      <c r="W108" s="2"/>
      <c r="X108" s="7">
        <f t="shared" si="85"/>
        <v>-45.49</v>
      </c>
      <c r="Y108" s="2"/>
      <c r="Z108" s="6">
        <f t="shared" si="86"/>
        <v>-1</v>
      </c>
    </row>
    <row r="109" spans="1:26" s="24" customFormat="1" hidden="1" outlineLevel="2" x14ac:dyDescent="0.25">
      <c r="A109" s="29"/>
      <c r="B109" s="11" t="str">
        <f>CONCATENATE("          ", "6298", " - ", "VEHICLE MILEAGE")</f>
        <v xml:space="preserve">          6298 - VEHICLE MILEAGE</v>
      </c>
      <c r="C109" s="11"/>
      <c r="D109" s="7"/>
      <c r="E109" s="2"/>
      <c r="F109" s="6">
        <f t="shared" si="79"/>
        <v>0</v>
      </c>
      <c r="G109" s="2"/>
      <c r="H109" s="7">
        <v>46.58</v>
      </c>
      <c r="I109" s="2"/>
      <c r="J109" s="6">
        <f t="shared" si="80"/>
        <v>5.453812716211827E-5</v>
      </c>
      <c r="K109" s="2"/>
      <c r="L109" s="7">
        <f t="shared" si="81"/>
        <v>-46.58</v>
      </c>
      <c r="M109" s="2"/>
      <c r="N109" s="6">
        <f t="shared" si="82"/>
        <v>-1</v>
      </c>
      <c r="O109" s="11"/>
      <c r="P109" s="7">
        <v>179.69</v>
      </c>
      <c r="Q109" s="2"/>
      <c r="R109" s="6">
        <f t="shared" si="83"/>
        <v>2.4006728136395728E-3</v>
      </c>
      <c r="S109" s="2"/>
      <c r="T109" s="7">
        <v>260.18</v>
      </c>
      <c r="U109" s="2"/>
      <c r="V109" s="6">
        <f t="shared" si="84"/>
        <v>1.6862163877847652E-4</v>
      </c>
      <c r="W109" s="2"/>
      <c r="X109" s="7">
        <f t="shared" si="85"/>
        <v>-80.490000000000009</v>
      </c>
      <c r="Y109" s="2"/>
      <c r="Z109" s="6">
        <f t="shared" si="86"/>
        <v>-0.3093627488661696</v>
      </c>
    </row>
    <row r="110" spans="1:26" s="28" customFormat="1" outlineLevel="1" collapsed="1" x14ac:dyDescent="0.25">
      <c r="A110" s="27"/>
      <c r="B110" s="14" t="str">
        <f>CONCATENATE("     ","Utilities                                         ")</f>
        <v xml:space="preserve">     Utilities                                         </v>
      </c>
      <c r="C110" s="14"/>
      <c r="D110" s="1">
        <f>SUM(OSRRefD22_23x_0)</f>
        <v>2300</v>
      </c>
      <c r="E110" s="1"/>
      <c r="F110" s="5">
        <f t="shared" ref="F110:F111" si="87">IF(D$12=0,0,D110/D$12)</f>
        <v>4.2165456518064595E-2</v>
      </c>
      <c r="G110" s="1"/>
      <c r="H110" s="1">
        <f>SUM(OSRRefH22_23x_0)</f>
        <v>0</v>
      </c>
      <c r="I110" s="1"/>
      <c r="J110" s="5">
        <f t="shared" ref="J110:J111" si="88">IF(H$12=0,0,H110/H$12)</f>
        <v>0</v>
      </c>
      <c r="K110" s="1"/>
      <c r="L110" s="1">
        <f t="shared" ref="L110:L111" si="89">+D110-H110</f>
        <v>2300</v>
      </c>
      <c r="M110" s="1"/>
      <c r="N110" s="5">
        <f t="shared" ref="N110:N111" si="90">IF(H110=0,0,L110/H110)</f>
        <v>0</v>
      </c>
      <c r="O110" s="14"/>
      <c r="P110" s="1">
        <f>SUM(OSRRefP22_23x_0)</f>
        <v>4600</v>
      </c>
      <c r="Q110" s="1"/>
      <c r="R110" s="5">
        <f t="shared" ref="R110:R111" si="91">IF(P$12=0,0,P110/P$12)</f>
        <v>6.1456368984039375E-2</v>
      </c>
      <c r="S110" s="1"/>
      <c r="T110" s="1">
        <f>SUM(OSRRefT22_23x_0)</f>
        <v>13691</v>
      </c>
      <c r="U110" s="1"/>
      <c r="V110" s="5">
        <f t="shared" ref="V110:V111" si="92">IF(T$12=0,0,T110/T$12)</f>
        <v>8.8730834672769709E-3</v>
      </c>
      <c r="W110" s="1"/>
      <c r="X110" s="1">
        <f t="shared" ref="X110:X111" si="93">+P110-T110</f>
        <v>-9091</v>
      </c>
      <c r="Y110" s="1"/>
      <c r="Z110" s="5">
        <f t="shared" ref="Z110:Z111" si="94">IF(T110=0,0,X110/T110)</f>
        <v>-0.66401285516032427</v>
      </c>
    </row>
    <row r="111" spans="1:26" s="24" customFormat="1" hidden="1" outlineLevel="2" x14ac:dyDescent="0.25">
      <c r="A111" s="29"/>
      <c r="B111" s="11" t="str">
        <f>CONCATENATE("          ", "6274", " - ", "UTILITIES")</f>
        <v xml:space="preserve">          6274 - UTILITIES</v>
      </c>
      <c r="C111" s="11"/>
      <c r="D111" s="7">
        <v>2300</v>
      </c>
      <c r="E111" s="2"/>
      <c r="F111" s="6">
        <f t="shared" si="87"/>
        <v>4.2165456518064595E-2</v>
      </c>
      <c r="G111" s="2"/>
      <c r="H111" s="7"/>
      <c r="I111" s="2"/>
      <c r="J111" s="6">
        <f t="shared" si="88"/>
        <v>0</v>
      </c>
      <c r="K111" s="2"/>
      <c r="L111" s="7">
        <f t="shared" si="89"/>
        <v>2300</v>
      </c>
      <c r="M111" s="2"/>
      <c r="N111" s="6">
        <f t="shared" si="90"/>
        <v>0</v>
      </c>
      <c r="O111" s="11"/>
      <c r="P111" s="7">
        <v>4600</v>
      </c>
      <c r="Q111" s="2"/>
      <c r="R111" s="6">
        <f t="shared" si="91"/>
        <v>6.1456368984039375E-2</v>
      </c>
      <c r="S111" s="2"/>
      <c r="T111" s="7">
        <v>13691</v>
      </c>
      <c r="U111" s="2"/>
      <c r="V111" s="6">
        <f t="shared" si="92"/>
        <v>8.8730834672769709E-3</v>
      </c>
      <c r="W111" s="2"/>
      <c r="X111" s="7">
        <f t="shared" si="93"/>
        <v>-9091</v>
      </c>
      <c r="Y111" s="2"/>
      <c r="Z111" s="6">
        <f t="shared" si="94"/>
        <v>-0.66401285516032427</v>
      </c>
    </row>
    <row r="112" spans="1:26" s="52" customFormat="1" x14ac:dyDescent="0.25">
      <c r="A112" s="37"/>
      <c r="B112" s="37"/>
      <c r="C112" s="37"/>
      <c r="D112" s="1"/>
      <c r="E112" s="1"/>
      <c r="F112" s="5"/>
      <c r="G112" s="1"/>
      <c r="H112" s="1"/>
      <c r="I112" s="1"/>
      <c r="J112" s="5"/>
      <c r="K112" s="1"/>
      <c r="L112" s="1"/>
      <c r="M112" s="1"/>
      <c r="N112" s="5"/>
      <c r="O112" s="37"/>
      <c r="P112" s="1"/>
      <c r="Q112" s="1"/>
      <c r="R112" s="5"/>
      <c r="S112" s="1"/>
      <c r="T112" s="1"/>
      <c r="U112" s="1"/>
      <c r="V112" s="5"/>
      <c r="W112" s="1"/>
      <c r="X112" s="1"/>
      <c r="Y112" s="1"/>
      <c r="Z112" s="5"/>
    </row>
    <row r="113" spans="1:26" s="23" customFormat="1" collapsed="1" x14ac:dyDescent="0.25">
      <c r="A113" s="10"/>
      <c r="B113" s="25" t="s">
        <v>0</v>
      </c>
      <c r="C113" s="10"/>
      <c r="D113" s="4">
        <f>SUM(OSRRefD25x_0)</f>
        <v>737.84999999999991</v>
      </c>
      <c r="E113" s="4"/>
      <c r="F113" s="12">
        <f t="shared" ref="F113:F116" si="95">IF(D$12=0,0,D113/D$12)</f>
        <v>1.3526861779066939E-2</v>
      </c>
      <c r="G113" s="4"/>
      <c r="H113" s="4">
        <f>SUM(OSRRefH25x_0)</f>
        <v>14461.25</v>
      </c>
      <c r="I113" s="4"/>
      <c r="J113" s="12">
        <f t="shared" ref="J113:J116" si="96">IF(H$12=0,0,H113/H$12)</f>
        <v>1.6931934122438447E-2</v>
      </c>
      <c r="K113" s="4"/>
      <c r="L113" s="4">
        <f t="shared" ref="L113:L116" si="97">+D113-H113</f>
        <v>-13723.4</v>
      </c>
      <c r="M113" s="4"/>
      <c r="N113" s="12">
        <f t="shared" ref="N113:N116" si="98">IF(H113=0,0,L113/H113)</f>
        <v>-0.9489774397095686</v>
      </c>
      <c r="O113" s="10"/>
      <c r="P113" s="4">
        <f>SUM(OSRRefP25x_0)</f>
        <v>2814.39</v>
      </c>
      <c r="Q113" s="4"/>
      <c r="R113" s="12">
        <f t="shared" ref="R113:R116" si="99">IF(P$12=0,0,P113/P$12)</f>
        <v>3.7600476153258816E-2</v>
      </c>
      <c r="S113" s="4"/>
      <c r="T113" s="4">
        <f>SUM(OSRRefT25x_0)</f>
        <v>65394.66</v>
      </c>
      <c r="U113" s="4"/>
      <c r="V113" s="12">
        <f t="shared" ref="V113:V116" si="100">IF(T$12=0,0,T113/T$12)</f>
        <v>4.2382022970871278E-2</v>
      </c>
      <c r="W113" s="4"/>
      <c r="X113" s="4">
        <f t="shared" ref="X113:X116" si="101">+P113-T113</f>
        <v>-62580.270000000004</v>
      </c>
      <c r="Y113" s="4"/>
      <c r="Z113" s="12">
        <f t="shared" ref="Z113:Z116" si="102">IF(T113=0,0,X113/T113)</f>
        <v>-0.95696299973117072</v>
      </c>
    </row>
    <row r="114" spans="1:26" s="24" customFormat="1" hidden="1" outlineLevel="1" x14ac:dyDescent="0.25">
      <c r="A114" s="44"/>
      <c r="B114" s="11" t="str">
        <f>CONCATENATE("          ", "9150", " - ", "MISC. INCOME")</f>
        <v xml:space="preserve">          9150 - MISC. INCOME</v>
      </c>
      <c r="C114" s="11"/>
      <c r="D114" s="2">
        <f>--111.42</f>
        <v>111.42</v>
      </c>
      <c r="E114" s="2"/>
      <c r="F114" s="19">
        <f t="shared" si="95"/>
        <v>2.0426413761925034E-3</v>
      </c>
      <c r="G114" s="2"/>
      <c r="H114" s="2">
        <f>--6527.69</f>
        <v>6527.69</v>
      </c>
      <c r="I114" s="2"/>
      <c r="J114" s="19">
        <f t="shared" si="96"/>
        <v>7.6429366100233534E-3</v>
      </c>
      <c r="K114" s="2"/>
      <c r="L114" s="2">
        <f t="shared" si="97"/>
        <v>-6416.2699999999995</v>
      </c>
      <c r="M114" s="2"/>
      <c r="N114" s="19">
        <f t="shared" si="98"/>
        <v>-0.9829311747340943</v>
      </c>
      <c r="O114" s="11"/>
      <c r="P114" s="2">
        <f>--623.83</f>
        <v>623.83000000000004</v>
      </c>
      <c r="Q114" s="2"/>
      <c r="R114" s="19">
        <f t="shared" si="99"/>
        <v>8.3344188398507147E-3</v>
      </c>
      <c r="S114" s="2"/>
      <c r="T114" s="2">
        <f>--47787.95</f>
        <v>47787.95</v>
      </c>
      <c r="U114" s="2"/>
      <c r="V114" s="19">
        <f t="shared" si="100"/>
        <v>3.0971183191882148E-2</v>
      </c>
      <c r="W114" s="2"/>
      <c r="X114" s="2">
        <f t="shared" si="101"/>
        <v>-47164.119999999995</v>
      </c>
      <c r="Y114" s="2"/>
      <c r="Z114" s="19">
        <f t="shared" si="102"/>
        <v>-0.98694587233811026</v>
      </c>
    </row>
    <row r="115" spans="1:26" s="24" customFormat="1" hidden="1" outlineLevel="1" x14ac:dyDescent="0.25">
      <c r="A115" s="44"/>
      <c r="B115" s="11" t="str">
        <f>CONCATENATE("          ", "9160", " - ", "MISC. INCOME")</f>
        <v xml:space="preserve">          9160 - MISC. INCOME</v>
      </c>
      <c r="C115" s="11"/>
      <c r="D115" s="2">
        <f>--626.43</f>
        <v>626.42999999999995</v>
      </c>
      <c r="E115" s="2"/>
      <c r="F115" s="19">
        <f t="shared" si="95"/>
        <v>1.1484220402874435E-2</v>
      </c>
      <c r="G115" s="2"/>
      <c r="H115" s="2">
        <f>--4981.17</f>
        <v>4981.17</v>
      </c>
      <c r="I115" s="2"/>
      <c r="J115" s="19">
        <f t="shared" si="96"/>
        <v>5.8321958539314872E-3</v>
      </c>
      <c r="K115" s="2"/>
      <c r="L115" s="2">
        <f t="shared" si="97"/>
        <v>-4354.74</v>
      </c>
      <c r="M115" s="2"/>
      <c r="N115" s="19">
        <f t="shared" si="98"/>
        <v>-0.8742403893061268</v>
      </c>
      <c r="O115" s="11"/>
      <c r="P115" s="2">
        <f>--1990.06</f>
        <v>1990.06</v>
      </c>
      <c r="Q115" s="2"/>
      <c r="R115" s="19">
        <f t="shared" si="99"/>
        <v>2.6587361230516825E-2</v>
      </c>
      <c r="S115" s="2"/>
      <c r="T115" s="2">
        <f>--10973.27</f>
        <v>10973.27</v>
      </c>
      <c r="U115" s="2"/>
      <c r="V115" s="19">
        <f t="shared" si="100"/>
        <v>7.1117333006329971E-3</v>
      </c>
      <c r="W115" s="2"/>
      <c r="X115" s="2">
        <f t="shared" si="101"/>
        <v>-8983.2100000000009</v>
      </c>
      <c r="Y115" s="2"/>
      <c r="Z115" s="19">
        <f t="shared" si="102"/>
        <v>-0.81864476131545116</v>
      </c>
    </row>
    <row r="116" spans="1:26" s="24" customFormat="1" hidden="1" outlineLevel="1" x14ac:dyDescent="0.25">
      <c r="A116" s="44"/>
      <c r="B116" s="11" t="str">
        <f>CONCATENATE("          ", "9165", " - ", "OTHER INCOME")</f>
        <v xml:space="preserve">          9165 - OTHER INCOME</v>
      </c>
      <c r="C116" s="11"/>
      <c r="D116" s="2">
        <f>0</f>
        <v>0</v>
      </c>
      <c r="E116" s="2"/>
      <c r="F116" s="19">
        <f t="shared" si="95"/>
        <v>0</v>
      </c>
      <c r="G116" s="2"/>
      <c r="H116" s="2">
        <f>--2952.39</f>
        <v>2952.39</v>
      </c>
      <c r="I116" s="2"/>
      <c r="J116" s="19">
        <f t="shared" si="96"/>
        <v>3.4568016584836055E-3</v>
      </c>
      <c r="K116" s="2"/>
      <c r="L116" s="2">
        <f t="shared" si="97"/>
        <v>-2952.39</v>
      </c>
      <c r="M116" s="2"/>
      <c r="N116" s="19">
        <f t="shared" si="98"/>
        <v>-1</v>
      </c>
      <c r="O116" s="11"/>
      <c r="P116" s="2">
        <f>--200.5</f>
        <v>200.5</v>
      </c>
      <c r="Q116" s="2"/>
      <c r="R116" s="19">
        <f t="shared" si="99"/>
        <v>2.6786960828912815E-3</v>
      </c>
      <c r="S116" s="2"/>
      <c r="T116" s="2">
        <f>--6633.44</f>
        <v>6633.44</v>
      </c>
      <c r="U116" s="2"/>
      <c r="V116" s="19">
        <f t="shared" si="100"/>
        <v>4.2991064783561277E-3</v>
      </c>
      <c r="W116" s="2"/>
      <c r="X116" s="2">
        <f t="shared" si="101"/>
        <v>-6432.94</v>
      </c>
      <c r="Y116" s="2"/>
      <c r="Z116" s="19">
        <f t="shared" si="102"/>
        <v>-0.9697743553872501</v>
      </c>
    </row>
    <row r="117" spans="1:26" x14ac:dyDescent="0.25">
      <c r="A117" s="9"/>
      <c r="B117" s="10"/>
      <c r="C117" s="10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O117" s="10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x14ac:dyDescent="0.25">
      <c r="A118" s="10"/>
      <c r="B118" s="26" t="s">
        <v>3</v>
      </c>
      <c r="C118" s="26"/>
      <c r="D118" s="22">
        <f>+D28-D30+D113</f>
        <v>-277962.58000000007</v>
      </c>
      <c r="E118" s="13"/>
      <c r="F118" s="21">
        <f>IF(D$12=0,0,D118/D$12)</f>
        <v>-5.0958343828865456</v>
      </c>
      <c r="G118" s="13"/>
      <c r="H118" s="22">
        <f>+H28-H30+H113</f>
        <v>-143787.79999999993</v>
      </c>
      <c r="I118" s="13"/>
      <c r="J118" s="21">
        <f>IF(H$12=0,0,H118/H$12)</f>
        <v>-0.16835374239504564</v>
      </c>
      <c r="K118" s="16"/>
      <c r="L118" s="22">
        <f>+D118-H118</f>
        <v>-134174.78000000014</v>
      </c>
      <c r="M118" s="16"/>
      <c r="N118" s="21">
        <f>IF(H118=0,0,L118/H118)</f>
        <v>0.93314439750799583</v>
      </c>
      <c r="O118" s="25"/>
      <c r="P118" s="22">
        <f>+P28-P30+P113</f>
        <v>-580367.9800000001</v>
      </c>
      <c r="Q118" s="13"/>
      <c r="R118" s="21">
        <f>IF(P$12=0,0,P118/P$12)</f>
        <v>-7.7537627663916497</v>
      </c>
      <c r="S118" s="13"/>
      <c r="T118" s="22">
        <f>+T28-T30+T113</f>
        <v>-441363.05999999947</v>
      </c>
      <c r="U118" s="13"/>
      <c r="V118" s="21">
        <f>IF(T$12=0,0,T118/T$12)</f>
        <v>-0.28604567020325533</v>
      </c>
      <c r="W118" s="16"/>
      <c r="X118" s="22">
        <f>+P118-T118</f>
        <v>-139004.92000000062</v>
      </c>
      <c r="Y118" s="16"/>
      <c r="Z118" s="21">
        <f>IF(T118=0,0,X118/T118)</f>
        <v>0.3149446172500272</v>
      </c>
    </row>
    <row r="119" spans="1:26" x14ac:dyDescent="0.25">
      <c r="A119" s="9"/>
      <c r="B119" s="10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25">
      <c r="A120" s="51"/>
      <c r="B120" s="10" t="s">
        <v>13</v>
      </c>
      <c r="C120" s="10"/>
      <c r="D120" s="4">
        <v>2872.81</v>
      </c>
      <c r="E120" s="4"/>
      <c r="F120" s="12">
        <f>IF(D$12=0,0,D120/D$12)</f>
        <v>5.2666671799852675E-2</v>
      </c>
      <c r="G120" s="4"/>
      <c r="H120" s="4">
        <v>49139.03</v>
      </c>
      <c r="I120" s="4"/>
      <c r="J120" s="12">
        <f>IF(H$12=0,0,H120/H$12)</f>
        <v>5.7534363820591336E-2</v>
      </c>
      <c r="K120" s="4"/>
      <c r="L120" s="4">
        <f>+D120-H120</f>
        <v>-46266.22</v>
      </c>
      <c r="M120" s="4"/>
      <c r="N120" s="12">
        <f>IF(H120=0,0,L120/H120)</f>
        <v>-0.94153710400876867</v>
      </c>
      <c r="O120" s="10"/>
      <c r="P120" s="4">
        <v>12637.39</v>
      </c>
      <c r="Q120" s="4"/>
      <c r="R120" s="12">
        <f>IF(P$12=0,0,P120/P$12)</f>
        <v>0.16883654409461071</v>
      </c>
      <c r="S120" s="4"/>
      <c r="T120" s="4">
        <v>192381.56999999998</v>
      </c>
      <c r="U120" s="4"/>
      <c r="V120" s="12">
        <f>IF(T$12=0,0,T120/T$12)</f>
        <v>0.12468174188706355</v>
      </c>
      <c r="W120" s="4"/>
      <c r="X120" s="4">
        <f>+P120-T120</f>
        <v>-179744.18</v>
      </c>
      <c r="Y120" s="4"/>
      <c r="Z120" s="12">
        <f>IF(T120=0,0,X120/T120)</f>
        <v>-0.93431080742297723</v>
      </c>
    </row>
    <row r="121" spans="1:26" x14ac:dyDescent="0.25">
      <c r="A121" s="9"/>
      <c r="B121" s="10"/>
      <c r="C121" s="10"/>
      <c r="D121" s="3"/>
      <c r="E121" s="3"/>
      <c r="F121" s="8"/>
      <c r="G121" s="3"/>
      <c r="H121" s="3"/>
      <c r="I121" s="3"/>
      <c r="J121" s="8"/>
      <c r="K121" s="3"/>
      <c r="L121" s="3"/>
      <c r="M121" s="3"/>
      <c r="N121" s="8"/>
      <c r="O121" s="10"/>
      <c r="P121" s="3"/>
      <c r="Q121" s="3"/>
      <c r="R121" s="8"/>
      <c r="S121" s="3"/>
      <c r="T121" s="3"/>
      <c r="U121" s="3"/>
      <c r="V121" s="8"/>
      <c r="W121" s="3"/>
      <c r="X121" s="3"/>
      <c r="Y121" s="3"/>
      <c r="Z121" s="8"/>
    </row>
    <row r="122" spans="1:26" s="23" customFormat="1" ht="15.75" thickBot="1" x14ac:dyDescent="0.3">
      <c r="A122" s="10"/>
      <c r="B122" s="26" t="s">
        <v>4</v>
      </c>
      <c r="C122" s="26"/>
      <c r="D122" s="36">
        <f>+D118-D120</f>
        <v>-280835.39000000007</v>
      </c>
      <c r="E122" s="13"/>
      <c r="F122" s="34">
        <f>IF(D$12=0,0,D122/D$12)</f>
        <v>-5.1485010546863981</v>
      </c>
      <c r="G122" s="13"/>
      <c r="H122" s="36">
        <f>+H118-H120</f>
        <v>-192926.82999999993</v>
      </c>
      <c r="I122" s="13"/>
      <c r="J122" s="34">
        <f>IF(H$12=0,0,H122/H$12)</f>
        <v>-0.22588810621563696</v>
      </c>
      <c r="K122" s="16"/>
      <c r="L122" s="36">
        <f>D122-H122</f>
        <v>-87908.560000000143</v>
      </c>
      <c r="M122" s="16"/>
      <c r="N122" s="34">
        <f>IF(H122=0,0,L122/H122)</f>
        <v>0.45565751533884724</v>
      </c>
      <c r="O122" s="25"/>
      <c r="P122" s="36">
        <f>+P118-P120</f>
        <v>-593005.37000000011</v>
      </c>
      <c r="Q122" s="13"/>
      <c r="R122" s="34">
        <f>IF(P$12=0,0,P122/P$12)</f>
        <v>-7.9225993104862606</v>
      </c>
      <c r="S122" s="13"/>
      <c r="T122" s="36">
        <f>+T118-T120</f>
        <v>-633744.62999999942</v>
      </c>
      <c r="U122" s="13"/>
      <c r="V122" s="34">
        <f>IF(T$12=0,0,T122/T$12)</f>
        <v>-0.41072741209031888</v>
      </c>
      <c r="W122" s="16"/>
      <c r="X122" s="36">
        <f>P122-T122</f>
        <v>40739.259999999311</v>
      </c>
      <c r="Y122" s="16"/>
      <c r="Z122" s="34">
        <f>IF(T122=0,0,X122/T122)</f>
        <v>-6.4283400712995944E-2</v>
      </c>
    </row>
    <row r="123" spans="1:26" ht="15.75" thickTop="1" x14ac:dyDescent="0.25">
      <c r="A123" s="9"/>
      <c r="B123" s="9"/>
      <c r="C123" s="9"/>
      <c r="D123" s="3"/>
      <c r="E123" s="3"/>
      <c r="F123" s="8"/>
      <c r="G123" s="3"/>
      <c r="H123" s="3"/>
      <c r="I123" s="3"/>
      <c r="J123" s="8"/>
      <c r="K123" s="3"/>
      <c r="L123" s="3"/>
      <c r="M123" s="3"/>
      <c r="N123" s="8"/>
      <c r="P123" s="3"/>
      <c r="Q123" s="3"/>
      <c r="R123" s="8"/>
      <c r="S123" s="3"/>
      <c r="T123" s="3"/>
      <c r="U123" s="3"/>
      <c r="V123" s="8"/>
      <c r="W123" s="3"/>
      <c r="X123" s="3"/>
      <c r="Y123" s="3"/>
      <c r="Z123" s="8"/>
    </row>
    <row r="124" spans="1:26" x14ac:dyDescent="0.25">
      <c r="A124" s="9"/>
      <c r="B124" s="9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ht="15.75" thickBot="1" x14ac:dyDescent="0.3">
      <c r="A125" s="10"/>
      <c r="B125" s="26" t="s">
        <v>5</v>
      </c>
      <c r="C125" s="26"/>
      <c r="D125" s="30">
        <f>SUM(D122:D124)</f>
        <v>-280835.39000000007</v>
      </c>
      <c r="E125" s="13"/>
      <c r="F125" s="31">
        <f>IF(D$12=0,0,D125/D$12)</f>
        <v>-5.1485010546863981</v>
      </c>
      <c r="G125" s="13"/>
      <c r="H125" s="30">
        <f>SUM(H122:H124)</f>
        <v>-192926.82999999993</v>
      </c>
      <c r="I125" s="13"/>
      <c r="J125" s="31">
        <f>IF(H$12=0,0,H125/H$12)</f>
        <v>-0.22588810621563696</v>
      </c>
      <c r="K125" s="16"/>
      <c r="L125" s="30">
        <f>+D125-H125</f>
        <v>-87908.560000000143</v>
      </c>
      <c r="M125" s="16"/>
      <c r="N125" s="31">
        <f>IF(H125=0,0,L125/H125)</f>
        <v>0.45565751533884724</v>
      </c>
      <c r="O125" s="25"/>
      <c r="P125" s="30">
        <f>SUM(P122:P124)</f>
        <v>-593005.37000000011</v>
      </c>
      <c r="Q125" s="13"/>
      <c r="R125" s="31">
        <f>IF(P$12=0,0,P125/P$12)</f>
        <v>-7.9225993104862606</v>
      </c>
      <c r="S125" s="13"/>
      <c r="T125" s="30">
        <f>SUM(T122:T124)</f>
        <v>-633744.62999999942</v>
      </c>
      <c r="U125" s="13"/>
      <c r="V125" s="31">
        <f>IF(T$12=0,0,T125/T$12)</f>
        <v>-0.41072741209031888</v>
      </c>
      <c r="W125" s="16"/>
      <c r="X125" s="30">
        <f>+P125-T125</f>
        <v>40739.259999999311</v>
      </c>
      <c r="Y125" s="16"/>
      <c r="Z125" s="31">
        <f>IF(T125=0,0,X125/T125)</f>
        <v>-6.4283400712995944E-2</v>
      </c>
    </row>
    <row r="126" spans="1:26" ht="15.75" thickTop="1" x14ac:dyDescent="0.25">
      <c r="A126" s="9"/>
      <c r="C126" s="9"/>
      <c r="D126" s="18"/>
      <c r="E126" s="18"/>
      <c r="G126" s="18"/>
      <c r="H126" s="18"/>
      <c r="I126" s="18"/>
      <c r="J126" s="43"/>
      <c r="K126" s="18"/>
      <c r="L126" s="18"/>
      <c r="M126" s="18"/>
      <c r="P126" s="18"/>
      <c r="Q126" s="18"/>
      <c r="R126" s="43"/>
      <c r="S126" s="18"/>
      <c r="T126" s="18"/>
      <c r="U126" s="18"/>
      <c r="V126" s="43"/>
      <c r="W126" s="18"/>
      <c r="X126" s="18"/>
    </row>
    <row r="127" spans="1:26" x14ac:dyDescent="0.25">
      <c r="A127" s="9"/>
      <c r="B127" s="61">
        <v>44113.695805555559</v>
      </c>
      <c r="D127" s="18"/>
      <c r="E127" s="18"/>
      <c r="G127" s="18"/>
      <c r="H127" s="18"/>
      <c r="I127" s="18"/>
      <c r="J127" s="43"/>
      <c r="K127" s="18"/>
      <c r="L127" s="18"/>
      <c r="M127" s="18"/>
      <c r="P127" s="18"/>
      <c r="Q127" s="18"/>
      <c r="R127" s="43"/>
      <c r="S127" s="18"/>
      <c r="T127" s="18"/>
      <c r="U127" s="18"/>
      <c r="V127" s="43"/>
      <c r="W127" s="18"/>
      <c r="X127" s="18"/>
    </row>
    <row r="128" spans="1:26" x14ac:dyDescent="0.25">
      <c r="A128" s="9"/>
      <c r="B128" s="56" t="s">
        <v>313</v>
      </c>
      <c r="D128" s="18"/>
      <c r="E128" s="18"/>
      <c r="G128" s="18"/>
      <c r="H128" s="18"/>
      <c r="I128" s="18"/>
      <c r="J128" s="43"/>
      <c r="K128" s="18"/>
      <c r="L128" s="18"/>
      <c r="M128" s="18"/>
      <c r="P128" s="18"/>
      <c r="Q128" s="18"/>
      <c r="R128" s="43"/>
      <c r="S128" s="18"/>
      <c r="T128" s="18"/>
      <c r="U128" s="18"/>
      <c r="V128" s="43"/>
      <c r="W128" s="18"/>
      <c r="X128" s="18"/>
    </row>
    <row r="129" spans="1:24" x14ac:dyDescent="0.25">
      <c r="A129" s="9"/>
      <c r="B129" s="58"/>
      <c r="D129" s="18"/>
      <c r="E129" s="18"/>
      <c r="G129" s="18"/>
      <c r="H129" s="18"/>
      <c r="I129" s="18"/>
      <c r="J129" s="43"/>
      <c r="K129" s="18"/>
      <c r="L129" s="18"/>
      <c r="M129" s="18"/>
      <c r="P129" s="18"/>
      <c r="Q129" s="18"/>
      <c r="R129" s="43"/>
      <c r="S129" s="18"/>
      <c r="T129" s="18"/>
      <c r="U129" s="18"/>
      <c r="V129" s="43"/>
      <c r="W129" s="18"/>
      <c r="X129" s="18"/>
    </row>
    <row r="130" spans="1:24" x14ac:dyDescent="0.25">
      <c r="D130" s="18"/>
      <c r="E130" s="18"/>
      <c r="G130" s="18"/>
      <c r="H130" s="18"/>
      <c r="I130" s="18"/>
      <c r="J130" s="43"/>
      <c r="K130" s="18"/>
      <c r="L130" s="18"/>
      <c r="M130" s="18"/>
      <c r="P130" s="18"/>
      <c r="Q130" s="18"/>
      <c r="R130" s="43"/>
      <c r="S130" s="18"/>
      <c r="T130" s="18"/>
      <c r="U130" s="18"/>
      <c r="V130" s="43"/>
      <c r="W130" s="18"/>
      <c r="X130" s="18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outlinePr summaryBelow="0" summaryRight="0"/>
  </sheetPr>
  <dimension ref="A2:Z13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312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5542.9399999999987</v>
      </c>
      <c r="E12" s="4"/>
      <c r="F12" s="12"/>
      <c r="G12" s="4"/>
      <c r="H12" s="4">
        <f>SUM(OSRRefH13x_0)</f>
        <v>476198.46000000008</v>
      </c>
      <c r="I12" s="4"/>
      <c r="J12" s="12"/>
      <c r="K12" s="4"/>
      <c r="L12" s="4">
        <f t="shared" ref="L12:L27" si="0">+D12-H12</f>
        <v>-470655.52000000008</v>
      </c>
      <c r="M12" s="4"/>
      <c r="N12" s="12">
        <f t="shared" ref="N12:N27" si="1">IF(H12=0,0,L12/H12)</f>
        <v>-0.98836002115588528</v>
      </c>
      <c r="O12" s="10"/>
      <c r="P12" s="4">
        <f>SUM(OSRRefP13x_0)</f>
        <v>6517.8499999999985</v>
      </c>
      <c r="Q12" s="4"/>
      <c r="R12" s="12"/>
      <c r="S12" s="4"/>
      <c r="T12" s="4">
        <f>SUM(OSRRefT13x_0)</f>
        <v>714489.2300000001</v>
      </c>
      <c r="U12" s="4"/>
      <c r="V12" s="12"/>
      <c r="W12" s="4"/>
      <c r="X12" s="4">
        <f t="shared" ref="X12:X27" si="2">+P12-T12</f>
        <v>-707971.38000000012</v>
      </c>
      <c r="Y12" s="4"/>
      <c r="Z12" s="12">
        <f t="shared" ref="Z12:Z27" si="3">IF(T12=0,0,X12/T12)</f>
        <v>-0.99087760916984013</v>
      </c>
    </row>
    <row r="13" spans="1:26" s="24" customFormat="1" hidden="1" outlineLevel="1" x14ac:dyDescent="0.25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>--88.2</f>
        <v>88.2</v>
      </c>
      <c r="E13" s="2"/>
      <c r="F13" s="19"/>
      <c r="G13" s="2"/>
      <c r="H13" s="2">
        <f>--17869.12</f>
        <v>17869.12</v>
      </c>
      <c r="I13" s="2"/>
      <c r="J13" s="19"/>
      <c r="K13" s="2"/>
      <c r="L13" s="2">
        <f t="shared" si="0"/>
        <v>-17780.919999999998</v>
      </c>
      <c r="M13" s="2"/>
      <c r="N13" s="19">
        <f t="shared" si="1"/>
        <v>-0.99506411059973854</v>
      </c>
      <c r="O13" s="11"/>
      <c r="P13" s="2">
        <f>--88.2</f>
        <v>88.2</v>
      </c>
      <c r="Q13" s="2"/>
      <c r="R13" s="19"/>
      <c r="S13" s="2"/>
      <c r="T13" s="2">
        <f>--24749.38</f>
        <v>24749.38</v>
      </c>
      <c r="U13" s="2"/>
      <c r="V13" s="19"/>
      <c r="W13" s="2"/>
      <c r="X13" s="2">
        <f t="shared" si="2"/>
        <v>-24661.18</v>
      </c>
      <c r="Y13" s="2"/>
      <c r="Z13" s="19">
        <f t="shared" si="3"/>
        <v>-0.99643627436323656</v>
      </c>
    </row>
    <row r="14" spans="1:26" s="24" customFormat="1" hidden="1" outlineLevel="1" x14ac:dyDescent="0.25">
      <c r="A14" s="44"/>
      <c r="B14" s="11" t="str">
        <f>CONCATENATE("          ", "4034", " - ", "TAXABLE SALES-SODA")</f>
        <v xml:space="preserve">          4034 - TAXABLE SALES-SODA</v>
      </c>
      <c r="C14" s="11"/>
      <c r="D14" s="2">
        <f>0</f>
        <v>0</v>
      </c>
      <c r="E14" s="2"/>
      <c r="F14" s="19"/>
      <c r="G14" s="2"/>
      <c r="H14" s="2">
        <f>--357.65</f>
        <v>357.65</v>
      </c>
      <c r="I14" s="2"/>
      <c r="J14" s="19"/>
      <c r="K14" s="2"/>
      <c r="L14" s="2">
        <f t="shared" si="0"/>
        <v>-357.65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--646.4</f>
        <v>646.4</v>
      </c>
      <c r="U14" s="2"/>
      <c r="V14" s="19"/>
      <c r="W14" s="2"/>
      <c r="X14" s="2">
        <f t="shared" si="2"/>
        <v>-646.4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"4051", " - ", "TAXABLE SALES-FOOD")</f>
        <v xml:space="preserve">          4051 - TAXABLE SALES-FOOD</v>
      </c>
      <c r="C15" s="11"/>
      <c r="D15" s="2">
        <f>--2510.72</f>
        <v>2510.7199999999998</v>
      </c>
      <c r="E15" s="2"/>
      <c r="F15" s="19"/>
      <c r="G15" s="2"/>
      <c r="H15" s="2">
        <f>--41756.26</f>
        <v>41756.26</v>
      </c>
      <c r="I15" s="2"/>
      <c r="J15" s="19"/>
      <c r="K15" s="2"/>
      <c r="L15" s="2">
        <f t="shared" si="0"/>
        <v>-39245.54</v>
      </c>
      <c r="M15" s="2"/>
      <c r="N15" s="19">
        <f t="shared" si="1"/>
        <v>-0.93987200961005601</v>
      </c>
      <c r="O15" s="11"/>
      <c r="P15" s="2">
        <f>--2510.72</f>
        <v>2510.7199999999998</v>
      </c>
      <c r="Q15" s="2"/>
      <c r="R15" s="19"/>
      <c r="S15" s="2"/>
      <c r="T15" s="2">
        <f>--64362.63</f>
        <v>64362.63</v>
      </c>
      <c r="U15" s="2"/>
      <c r="V15" s="19"/>
      <c r="W15" s="2"/>
      <c r="X15" s="2">
        <f t="shared" si="2"/>
        <v>-61851.909999999996</v>
      </c>
      <c r="Y15" s="2"/>
      <c r="Z15" s="19">
        <f t="shared" si="3"/>
        <v>-0.96099102848966855</v>
      </c>
    </row>
    <row r="16" spans="1:26" s="24" customFormat="1" hidden="1" outlineLevel="1" x14ac:dyDescent="0.25">
      <c r="A16" s="44"/>
      <c r="B16" s="11" t="str">
        <f>CONCATENATE("          ", "4052", " - ", "TAXABLE SALES-FOOD")</f>
        <v xml:space="preserve">          4052 - TAXABLE SALES-FOOD</v>
      </c>
      <c r="C16" s="11"/>
      <c r="D16" s="2">
        <f t="shared" ref="D16:D19" si="4">0</f>
        <v>0</v>
      </c>
      <c r="E16" s="2"/>
      <c r="F16" s="19"/>
      <c r="G16" s="2"/>
      <c r="H16" s="2">
        <f>--95751.36</f>
        <v>95751.360000000001</v>
      </c>
      <c r="I16" s="2"/>
      <c r="J16" s="19"/>
      <c r="K16" s="2"/>
      <c r="L16" s="2">
        <f t="shared" si="0"/>
        <v>-95751.360000000001</v>
      </c>
      <c r="M16" s="2"/>
      <c r="N16" s="19">
        <f t="shared" si="1"/>
        <v>-1</v>
      </c>
      <c r="O16" s="11"/>
      <c r="P16" s="2">
        <f t="shared" ref="P16:P18" si="5">0</f>
        <v>0</v>
      </c>
      <c r="Q16" s="2"/>
      <c r="R16" s="19"/>
      <c r="S16" s="2"/>
      <c r="T16" s="2">
        <f>--139530.2</f>
        <v>139530.20000000001</v>
      </c>
      <c r="U16" s="2"/>
      <c r="V16" s="19"/>
      <c r="W16" s="2"/>
      <c r="X16" s="2">
        <f t="shared" si="2"/>
        <v>-139530.20000000001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"4053", " - ", "TAXABLE SALES-FOOD")</f>
        <v xml:space="preserve">          4053 - TAXABLE SALES-FOOD</v>
      </c>
      <c r="C17" s="11"/>
      <c r="D17" s="2">
        <f t="shared" si="4"/>
        <v>0</v>
      </c>
      <c r="E17" s="2"/>
      <c r="F17" s="19"/>
      <c r="G17" s="2"/>
      <c r="H17" s="2">
        <f>--19917.63</f>
        <v>19917.63</v>
      </c>
      <c r="I17" s="2"/>
      <c r="J17" s="19"/>
      <c r="K17" s="2"/>
      <c r="L17" s="2">
        <f t="shared" si="0"/>
        <v>-19917.63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--44848.74</f>
        <v>44848.74</v>
      </c>
      <c r="U17" s="2"/>
      <c r="V17" s="19"/>
      <c r="W17" s="2"/>
      <c r="X17" s="2">
        <f t="shared" si="2"/>
        <v>-44848.74</v>
      </c>
      <c r="Y17" s="2"/>
      <c r="Z17" s="19">
        <f t="shared" si="3"/>
        <v>-1</v>
      </c>
    </row>
    <row r="18" spans="1:26" s="24" customFormat="1" hidden="1" outlineLevel="1" x14ac:dyDescent="0.25">
      <c r="A18" s="44"/>
      <c r="B18" s="11" t="str">
        <f>CONCATENATE("          ", "4055", " - ", "TAXABLE SALES-FOOD")</f>
        <v xml:space="preserve">          4055 - TAXABLE SALES-FOOD</v>
      </c>
      <c r="C18" s="11"/>
      <c r="D18" s="2">
        <f t="shared" si="4"/>
        <v>0</v>
      </c>
      <c r="E18" s="2"/>
      <c r="F18" s="19"/>
      <c r="G18" s="2"/>
      <c r="H18" s="2">
        <f>--29693.44</f>
        <v>29693.439999999999</v>
      </c>
      <c r="I18" s="2"/>
      <c r="J18" s="19"/>
      <c r="K18" s="2"/>
      <c r="L18" s="2">
        <f t="shared" si="0"/>
        <v>-29693.439999999999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--43937.07</f>
        <v>43937.07</v>
      </c>
      <c r="U18" s="2"/>
      <c r="V18" s="19"/>
      <c r="W18" s="2"/>
      <c r="X18" s="2">
        <f t="shared" si="2"/>
        <v>-43937.07</v>
      </c>
      <c r="Y18" s="2"/>
      <c r="Z18" s="19">
        <f t="shared" si="3"/>
        <v>-1</v>
      </c>
    </row>
    <row r="19" spans="1:26" s="24" customFormat="1" hidden="1" outlineLevel="1" x14ac:dyDescent="0.25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 t="shared" si="4"/>
        <v>0</v>
      </c>
      <c r="E19" s="2"/>
      <c r="F19" s="19"/>
      <c r="G19" s="2"/>
      <c r="H19" s="2">
        <f>--9436.48</f>
        <v>9436.48</v>
      </c>
      <c r="I19" s="2"/>
      <c r="J19" s="19"/>
      <c r="K19" s="2"/>
      <c r="L19" s="2">
        <f t="shared" si="0"/>
        <v>-9436.48</v>
      </c>
      <c r="M19" s="2"/>
      <c r="N19" s="19">
        <f t="shared" si="1"/>
        <v>-1</v>
      </c>
      <c r="O19" s="11"/>
      <c r="P19" s="2">
        <f>--974.91</f>
        <v>974.91</v>
      </c>
      <c r="Q19" s="2"/>
      <c r="R19" s="19"/>
      <c r="S19" s="2"/>
      <c r="T19" s="2">
        <f>--17838.14</f>
        <v>17838.14</v>
      </c>
      <c r="U19" s="2"/>
      <c r="V19" s="19"/>
      <c r="W19" s="2"/>
      <c r="X19" s="2">
        <f t="shared" si="2"/>
        <v>-16863.23</v>
      </c>
      <c r="Y19" s="2"/>
      <c r="Z19" s="19">
        <f t="shared" si="3"/>
        <v>-0.94534688033617853</v>
      </c>
    </row>
    <row r="20" spans="1:26" s="24" customFormat="1" hidden="1" outlineLevel="1" x14ac:dyDescent="0.25">
      <c r="A20" s="44"/>
      <c r="B20" s="11" t="str">
        <f>CONCATENATE("          ", "4132", " - ", "NON-TAXABLE SALES-JUICE")</f>
        <v xml:space="preserve">          4132 - NON-TAXABLE SALES-JUICE</v>
      </c>
      <c r="C20" s="11"/>
      <c r="D20" s="2">
        <f>--625.8</f>
        <v>625.79999999999995</v>
      </c>
      <c r="E20" s="2"/>
      <c r="F20" s="19"/>
      <c r="G20" s="2"/>
      <c r="H20" s="2">
        <f>--61911.21</f>
        <v>61911.21</v>
      </c>
      <c r="I20" s="2"/>
      <c r="J20" s="19"/>
      <c r="K20" s="2"/>
      <c r="L20" s="2">
        <f t="shared" si="0"/>
        <v>-61285.409999999996</v>
      </c>
      <c r="M20" s="2"/>
      <c r="N20" s="19">
        <f t="shared" si="1"/>
        <v>-0.98989197594425948</v>
      </c>
      <c r="O20" s="11"/>
      <c r="P20" s="2">
        <f>--625.8</f>
        <v>625.79999999999995</v>
      </c>
      <c r="Q20" s="2"/>
      <c r="R20" s="19"/>
      <c r="S20" s="2"/>
      <c r="T20" s="2">
        <f>--93998.84</f>
        <v>93998.84</v>
      </c>
      <c r="U20" s="2"/>
      <c r="V20" s="19"/>
      <c r="W20" s="2"/>
      <c r="X20" s="2">
        <f t="shared" si="2"/>
        <v>-93373.04</v>
      </c>
      <c r="Y20" s="2"/>
      <c r="Z20" s="19">
        <f t="shared" si="3"/>
        <v>-0.99334247103474893</v>
      </c>
    </row>
    <row r="21" spans="1:26" s="24" customFormat="1" hidden="1" outlineLevel="1" x14ac:dyDescent="0.25">
      <c r="A21" s="44"/>
      <c r="B21" s="11" t="str">
        <f>CONCATENATE("          ", "4134", " - ", "NON-TAXABLE SALES-SODA")</f>
        <v xml:space="preserve">          4134 - NON-TAXABLE SALES-SODA</v>
      </c>
      <c r="C21" s="11"/>
      <c r="D21" s="2">
        <f t="shared" ref="D21:D22" si="6">0</f>
        <v>0</v>
      </c>
      <c r="E21" s="2"/>
      <c r="F21" s="19"/>
      <c r="G21" s="2"/>
      <c r="H21" s="2">
        <f>0</f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2" si="7">0</f>
        <v>0</v>
      </c>
      <c r="Q21" s="2"/>
      <c r="R21" s="19"/>
      <c r="S21" s="2"/>
      <c r="T21" s="2">
        <f>-3.39</f>
        <v>-3.39</v>
      </c>
      <c r="U21" s="2"/>
      <c r="V21" s="19"/>
      <c r="W21" s="2"/>
      <c r="X21" s="2">
        <f t="shared" si="2"/>
        <v>3.39</v>
      </c>
      <c r="Y21" s="2"/>
      <c r="Z21" s="19">
        <f t="shared" si="3"/>
        <v>-1</v>
      </c>
    </row>
    <row r="22" spans="1:26" s="24" customFormat="1" hidden="1" outlineLevel="1" x14ac:dyDescent="0.25">
      <c r="A22" s="44"/>
      <c r="B22" s="11" t="str">
        <f>CONCATENATE("          ", "4137", " - ", "NON-TAXABLE SALES-WATER")</f>
        <v xml:space="preserve">          4137 - NON-TAXABLE SALES-WATER</v>
      </c>
      <c r="C22" s="11"/>
      <c r="D22" s="2">
        <f t="shared" si="6"/>
        <v>0</v>
      </c>
      <c r="E22" s="2"/>
      <c r="F22" s="19"/>
      <c r="G22" s="2"/>
      <c r="H22" s="2">
        <f>--173.02</f>
        <v>173.02</v>
      </c>
      <c r="I22" s="2"/>
      <c r="J22" s="19"/>
      <c r="K22" s="2"/>
      <c r="L22" s="2">
        <f t="shared" si="0"/>
        <v>-173.02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--383.52</f>
        <v>383.52</v>
      </c>
      <c r="U22" s="2"/>
      <c r="V22" s="19"/>
      <c r="W22" s="2"/>
      <c r="X22" s="2">
        <f t="shared" si="2"/>
        <v>-383.52</v>
      </c>
      <c r="Y22" s="2"/>
      <c r="Z22" s="19">
        <f t="shared" si="3"/>
        <v>-1</v>
      </c>
    </row>
    <row r="23" spans="1:26" s="24" customFormat="1" hidden="1" outlineLevel="1" x14ac:dyDescent="0.25">
      <c r="A23" s="44"/>
      <c r="B23" s="11" t="str">
        <f>CONCATENATE("          ", "4151", " - ", "NON-TAXABLE SALES-FOOD")</f>
        <v xml:space="preserve">          4151 - NON-TAXABLE SALES-FOOD</v>
      </c>
      <c r="C23" s="11"/>
      <c r="D23" s="2">
        <f>--2208.22</f>
        <v>2208.2199999999998</v>
      </c>
      <c r="E23" s="2"/>
      <c r="F23" s="19"/>
      <c r="G23" s="2"/>
      <c r="H23" s="2">
        <f>--119215.75</f>
        <v>119215.75</v>
      </c>
      <c r="I23" s="2"/>
      <c r="J23" s="19"/>
      <c r="K23" s="2"/>
      <c r="L23" s="2">
        <f t="shared" si="0"/>
        <v>-117007.53</v>
      </c>
      <c r="M23" s="2"/>
      <c r="N23" s="19">
        <f t="shared" si="1"/>
        <v>-0.98147711187489906</v>
      </c>
      <c r="O23" s="11"/>
      <c r="P23" s="2">
        <f>--2208.22</f>
        <v>2208.2199999999998</v>
      </c>
      <c r="Q23" s="2"/>
      <c r="R23" s="19"/>
      <c r="S23" s="2"/>
      <c r="T23" s="2">
        <f>--164980.72</f>
        <v>164980.72</v>
      </c>
      <c r="U23" s="2"/>
      <c r="V23" s="19"/>
      <c r="W23" s="2"/>
      <c r="X23" s="2">
        <f t="shared" si="2"/>
        <v>-162772.5</v>
      </c>
      <c r="Y23" s="2"/>
      <c r="Z23" s="19">
        <f t="shared" si="3"/>
        <v>-0.98661528450112235</v>
      </c>
    </row>
    <row r="24" spans="1:26" s="24" customFormat="1" hidden="1" outlineLevel="1" x14ac:dyDescent="0.25">
      <c r="A24" s="44"/>
      <c r="B24" s="11" t="str">
        <f>CONCATENATE("          ", "4152", " - ", "NON-TAXABLE SALES-FOOD")</f>
        <v xml:space="preserve">          4152 - NON-TAXABLE SALES-FOOD</v>
      </c>
      <c r="C24" s="11"/>
      <c r="D24" s="2">
        <f>0</f>
        <v>0</v>
      </c>
      <c r="E24" s="2"/>
      <c r="F24" s="19"/>
      <c r="G24" s="2"/>
      <c r="H24" s="2">
        <f>--3990.43</f>
        <v>3990.43</v>
      </c>
      <c r="I24" s="2"/>
      <c r="J24" s="19"/>
      <c r="K24" s="2"/>
      <c r="L24" s="2">
        <f t="shared" si="0"/>
        <v>-3990.43</v>
      </c>
      <c r="M24" s="2"/>
      <c r="N24" s="19">
        <f t="shared" si="1"/>
        <v>-1</v>
      </c>
      <c r="O24" s="11"/>
      <c r="P24" s="2">
        <f>0</f>
        <v>0</v>
      </c>
      <c r="Q24" s="2"/>
      <c r="R24" s="19"/>
      <c r="S24" s="2"/>
      <c r="T24" s="2">
        <f>--7657.52</f>
        <v>7657.52</v>
      </c>
      <c r="U24" s="2"/>
      <c r="V24" s="19"/>
      <c r="W24" s="2"/>
      <c r="X24" s="2">
        <f t="shared" si="2"/>
        <v>-7657.52</v>
      </c>
      <c r="Y24" s="2"/>
      <c r="Z24" s="19">
        <f t="shared" si="3"/>
        <v>-1</v>
      </c>
    </row>
    <row r="25" spans="1:26" s="24" customFormat="1" hidden="1" outlineLevel="1" x14ac:dyDescent="0.25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>--110</f>
        <v>110</v>
      </c>
      <c r="E25" s="2"/>
      <c r="F25" s="19"/>
      <c r="G25" s="2"/>
      <c r="H25" s="2">
        <f>--227.5</f>
        <v>227.5</v>
      </c>
      <c r="I25" s="2"/>
      <c r="J25" s="19"/>
      <c r="K25" s="2"/>
      <c r="L25" s="2">
        <f t="shared" si="0"/>
        <v>-117.5</v>
      </c>
      <c r="M25" s="2"/>
      <c r="N25" s="19">
        <f t="shared" si="1"/>
        <v>-0.51648351648351654</v>
      </c>
      <c r="O25" s="11"/>
      <c r="P25" s="2">
        <f>--110</f>
        <v>110</v>
      </c>
      <c r="Q25" s="2"/>
      <c r="R25" s="19"/>
      <c r="S25" s="2"/>
      <c r="T25" s="2">
        <f>--464.5</f>
        <v>464.5</v>
      </c>
      <c r="U25" s="2"/>
      <c r="V25" s="19"/>
      <c r="W25" s="2"/>
      <c r="X25" s="2">
        <f t="shared" si="2"/>
        <v>-354.5</v>
      </c>
      <c r="Y25" s="2"/>
      <c r="Z25" s="19">
        <f t="shared" si="3"/>
        <v>-0.76318622174381057</v>
      </c>
    </row>
    <row r="26" spans="1:26" s="24" customFormat="1" hidden="1" outlineLevel="1" x14ac:dyDescent="0.25">
      <c r="A26" s="44"/>
      <c r="B26" s="11" t="str">
        <f>CONCATENATE("          ", "4155", " - ", "NON-TAXABLE SALES-FOOD")</f>
        <v xml:space="preserve">          4155 - NON-TAXABLE SALES-FOOD</v>
      </c>
      <c r="C26" s="11"/>
      <c r="D26" s="2">
        <f t="shared" ref="D26:D27" si="8">0</f>
        <v>0</v>
      </c>
      <c r="E26" s="2"/>
      <c r="F26" s="19"/>
      <c r="G26" s="2"/>
      <c r="H26" s="2">
        <f>--45088.39</f>
        <v>45088.39</v>
      </c>
      <c r="I26" s="2"/>
      <c r="J26" s="19"/>
      <c r="K26" s="2"/>
      <c r="L26" s="2">
        <f t="shared" si="0"/>
        <v>-45088.39</v>
      </c>
      <c r="M26" s="2"/>
      <c r="N26" s="19">
        <f t="shared" si="1"/>
        <v>-1</v>
      </c>
      <c r="O26" s="11"/>
      <c r="P26" s="2">
        <f t="shared" ref="P26:P27" si="9">0</f>
        <v>0</v>
      </c>
      <c r="Q26" s="2"/>
      <c r="R26" s="19"/>
      <c r="S26" s="2"/>
      <c r="T26" s="2">
        <f>--70725.05</f>
        <v>70725.05</v>
      </c>
      <c r="U26" s="2"/>
      <c r="V26" s="19"/>
      <c r="W26" s="2"/>
      <c r="X26" s="2">
        <f t="shared" si="2"/>
        <v>-70725.05</v>
      </c>
      <c r="Y26" s="2"/>
      <c r="Z26" s="19">
        <f t="shared" si="3"/>
        <v>-1</v>
      </c>
    </row>
    <row r="27" spans="1:26" s="24" customFormat="1" hidden="1" outlineLevel="1" x14ac:dyDescent="0.25">
      <c r="A27" s="44"/>
      <c r="B27" s="11" t="str">
        <f>CONCATENATE("          ", "4158", " - ", "NON-TAXABLE SALES-FOOD")</f>
        <v xml:space="preserve">          4158 - NON-TAXABLE SALES-FOOD</v>
      </c>
      <c r="C27" s="11"/>
      <c r="D27" s="2">
        <f t="shared" si="8"/>
        <v>0</v>
      </c>
      <c r="E27" s="2"/>
      <c r="F27" s="19"/>
      <c r="G27" s="2"/>
      <c r="H27" s="2">
        <f>--30810.22</f>
        <v>30810.22</v>
      </c>
      <c r="I27" s="2"/>
      <c r="J27" s="19"/>
      <c r="K27" s="2"/>
      <c r="L27" s="2">
        <f t="shared" si="0"/>
        <v>-30810.22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--40369.91</f>
        <v>40369.910000000003</v>
      </c>
      <c r="U27" s="2"/>
      <c r="V27" s="19"/>
      <c r="W27" s="2"/>
      <c r="X27" s="2">
        <f t="shared" si="2"/>
        <v>-40369.910000000003</v>
      </c>
      <c r="Y27" s="2"/>
      <c r="Z27" s="19">
        <f t="shared" si="3"/>
        <v>-1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collapsed="1" x14ac:dyDescent="0.25">
      <c r="A29" s="10"/>
      <c r="B29" s="25" t="s">
        <v>8</v>
      </c>
      <c r="C29" s="10"/>
      <c r="D29" s="4">
        <f>SUM(OSRRefD16x_0)</f>
        <v>2203.17</v>
      </c>
      <c r="E29" s="4"/>
      <c r="F29" s="12">
        <f t="shared" ref="F29:F31" si="10">IF(D$12=0,0,D29/D$12)</f>
        <v>0.39747318210191712</v>
      </c>
      <c r="G29" s="4"/>
      <c r="H29" s="4">
        <f>SUM(OSRRefH16x_0)</f>
        <v>175036.09</v>
      </c>
      <c r="I29" s="4"/>
      <c r="J29" s="12">
        <f t="shared" ref="J29:J31" si="11">IF(H$12=0,0,H29/H$12)</f>
        <v>0.36756962632764495</v>
      </c>
      <c r="K29" s="4"/>
      <c r="L29" s="4">
        <f t="shared" ref="L29:L31" si="12">+D29-H29</f>
        <v>-172832.91999999998</v>
      </c>
      <c r="M29" s="4"/>
      <c r="N29" s="12">
        <f t="shared" ref="N29:N31" si="13">IF(H29=0,0,L29/H29)</f>
        <v>-0.98741305293096981</v>
      </c>
      <c r="O29" s="10"/>
      <c r="P29" s="4">
        <f>SUM(OSRRefP16x_0)</f>
        <v>1976.3000000000002</v>
      </c>
      <c r="Q29" s="4"/>
      <c r="R29" s="12">
        <f t="shared" ref="R29:R31" si="14">IF(P$12=0,0,P29/P$12)</f>
        <v>0.30321348297368006</v>
      </c>
      <c r="S29" s="4"/>
      <c r="T29" s="4">
        <f>SUM(OSRRefT16x_0)</f>
        <v>269923.64</v>
      </c>
      <c r="U29" s="4"/>
      <c r="V29" s="12">
        <f t="shared" ref="V29:V31" si="15">IF(T$12=0,0,T29/T$12)</f>
        <v>0.37778545661213114</v>
      </c>
      <c r="W29" s="4"/>
      <c r="X29" s="4">
        <f t="shared" ref="X29:X31" si="16">+P29-T29</f>
        <v>-267947.34000000003</v>
      </c>
      <c r="Y29" s="4"/>
      <c r="Z29" s="12">
        <f t="shared" ref="Z29:Z31" si="17">IF(T29=0,0,X29/T29)</f>
        <v>-0.99267829968505172</v>
      </c>
    </row>
    <row r="30" spans="1:26" s="24" customFormat="1" hidden="1" outlineLevel="1" x14ac:dyDescent="0.25">
      <c r="A30" s="44"/>
      <c r="B30" s="11" t="str">
        <f>CONCATENATE("          ", "5053", " - ", "PURCHASES @ COST-FOOD")</f>
        <v xml:space="preserve">          5053 - PURCHASES @ COST-FOOD</v>
      </c>
      <c r="C30" s="11"/>
      <c r="D30" s="2">
        <v>2089.2600000000002</v>
      </c>
      <c r="E30" s="2"/>
      <c r="F30" s="19">
        <f t="shared" si="10"/>
        <v>0.37692271610372846</v>
      </c>
      <c r="G30" s="2"/>
      <c r="H30" s="2">
        <v>221568.52</v>
      </c>
      <c r="I30" s="2"/>
      <c r="J30" s="19">
        <f t="shared" si="11"/>
        <v>0.46528609101339796</v>
      </c>
      <c r="K30" s="2"/>
      <c r="L30" s="2">
        <f t="shared" si="12"/>
        <v>-219479.25999999998</v>
      </c>
      <c r="M30" s="2"/>
      <c r="N30" s="19">
        <f t="shared" si="13"/>
        <v>-0.99057059188733121</v>
      </c>
      <c r="O30" s="11"/>
      <c r="P30" s="2">
        <v>1862.39</v>
      </c>
      <c r="Q30" s="2"/>
      <c r="R30" s="19">
        <f t="shared" si="14"/>
        <v>0.28573686108149166</v>
      </c>
      <c r="S30" s="2"/>
      <c r="T30" s="2">
        <v>340988.82</v>
      </c>
      <c r="U30" s="2"/>
      <c r="V30" s="19">
        <f t="shared" si="15"/>
        <v>0.47724836944008237</v>
      </c>
      <c r="W30" s="2"/>
      <c r="X30" s="2">
        <f t="shared" si="16"/>
        <v>-339126.43</v>
      </c>
      <c r="Y30" s="2"/>
      <c r="Z30" s="19">
        <f t="shared" si="17"/>
        <v>-0.99453826667982836</v>
      </c>
    </row>
    <row r="31" spans="1:26" s="24" customFormat="1" hidden="1" outlineLevel="1" x14ac:dyDescent="0.25">
      <c r="A31" s="44"/>
      <c r="B31" s="11" t="str">
        <f>CONCATENATE("          ", "5059", " - ", "PURCHASES @ COST-FOOD")</f>
        <v xml:space="preserve">          5059 - PURCHASES @ COST-FOOD</v>
      </c>
      <c r="C31" s="11"/>
      <c r="D31" s="2">
        <v>113.91</v>
      </c>
      <c r="E31" s="2"/>
      <c r="F31" s="19">
        <f t="shared" si="10"/>
        <v>2.0550465998188692E-2</v>
      </c>
      <c r="G31" s="2"/>
      <c r="H31" s="2">
        <v>-46532.43</v>
      </c>
      <c r="I31" s="2"/>
      <c r="J31" s="19">
        <f t="shared" si="11"/>
        <v>-9.7716464685753068E-2</v>
      </c>
      <c r="K31" s="2"/>
      <c r="L31" s="2">
        <f t="shared" si="12"/>
        <v>46646.340000000004</v>
      </c>
      <c r="M31" s="2"/>
      <c r="N31" s="19">
        <f t="shared" si="13"/>
        <v>-1.002447970157587</v>
      </c>
      <c r="O31" s="11"/>
      <c r="P31" s="2">
        <v>113.91</v>
      </c>
      <c r="Q31" s="2"/>
      <c r="R31" s="19">
        <f t="shared" si="14"/>
        <v>1.747662189218838E-2</v>
      </c>
      <c r="S31" s="2"/>
      <c r="T31" s="2">
        <v>-71065.180000000008</v>
      </c>
      <c r="U31" s="2"/>
      <c r="V31" s="19">
        <f t="shared" si="15"/>
        <v>-9.9462912827951236E-2</v>
      </c>
      <c r="W31" s="2"/>
      <c r="X31" s="2">
        <f t="shared" si="16"/>
        <v>71179.090000000011</v>
      </c>
      <c r="Y31" s="2"/>
      <c r="Z31" s="19">
        <f t="shared" si="17"/>
        <v>-1.0016028946947015</v>
      </c>
    </row>
    <row r="32" spans="1:26" x14ac:dyDescent="0.25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10"/>
      <c r="B33" s="26" t="s">
        <v>6</v>
      </c>
      <c r="C33" s="26"/>
      <c r="D33" s="22">
        <f>D12-D29</f>
        <v>3339.7699999999986</v>
      </c>
      <c r="E33" s="13"/>
      <c r="F33" s="21">
        <f>IF(D$12=0,0,D33/D$12)</f>
        <v>0.60252681789808282</v>
      </c>
      <c r="G33" s="13"/>
      <c r="H33" s="22">
        <f>H12-H29</f>
        <v>301162.37000000011</v>
      </c>
      <c r="I33" s="13"/>
      <c r="J33" s="21">
        <f>IF(H$12=0,0,H33/H$12)</f>
        <v>0.63243037367235511</v>
      </c>
      <c r="K33" s="16"/>
      <c r="L33" s="22">
        <f>+D33-H33</f>
        <v>-297822.60000000009</v>
      </c>
      <c r="M33" s="16"/>
      <c r="N33" s="21">
        <f>IF(H33=0,0,L33/H33)</f>
        <v>-0.98891040072503078</v>
      </c>
      <c r="O33" s="25"/>
      <c r="P33" s="22">
        <f>P12-P29</f>
        <v>4541.5499999999984</v>
      </c>
      <c r="Q33" s="13"/>
      <c r="R33" s="21">
        <f>IF(P$12=0,0,P33/P$12)</f>
        <v>0.69678651702631988</v>
      </c>
      <c r="S33" s="13"/>
      <c r="T33" s="22">
        <f>T12-T29</f>
        <v>444565.59000000008</v>
      </c>
      <c r="U33" s="13"/>
      <c r="V33" s="21">
        <f>IF(T$12=0,0,T33/T$12)</f>
        <v>0.62221454338786886</v>
      </c>
      <c r="W33" s="16"/>
      <c r="X33" s="22">
        <f>+P33-T33</f>
        <v>-440024.0400000001</v>
      </c>
      <c r="Y33" s="16"/>
      <c r="Z33" s="21">
        <f>IF(T33=0,0,X33/T33)</f>
        <v>-0.98978429707076521</v>
      </c>
    </row>
    <row r="34" spans="1:26" x14ac:dyDescent="0.25">
      <c r="A34" s="9"/>
      <c r="B34" s="10"/>
      <c r="C34" s="9"/>
      <c r="D34" s="1"/>
      <c r="E34" s="1"/>
      <c r="F34" s="5"/>
      <c r="G34" s="1"/>
      <c r="H34" s="1"/>
      <c r="I34" s="1"/>
      <c r="J34" s="5"/>
      <c r="K34" s="1"/>
      <c r="L34" s="1"/>
      <c r="M34" s="1"/>
      <c r="N34" s="5"/>
      <c r="O34" s="37"/>
      <c r="P34" s="1"/>
      <c r="Q34" s="1"/>
      <c r="R34" s="5"/>
      <c r="S34" s="1"/>
      <c r="T34" s="1"/>
      <c r="U34" s="1"/>
      <c r="V34" s="5"/>
      <c r="W34" s="1"/>
      <c r="X34" s="1"/>
      <c r="Y34" s="1"/>
      <c r="Z34" s="5"/>
    </row>
    <row r="35" spans="1:26" s="23" customFormat="1" x14ac:dyDescent="0.25">
      <c r="A35" s="10"/>
      <c r="B35" s="25" t="s">
        <v>9</v>
      </c>
      <c r="C35" s="10"/>
      <c r="D35" s="20">
        <f>SUM(OSRRefD22x_0)</f>
        <v>114815.22</v>
      </c>
      <c r="E35" s="20"/>
      <c r="F35" s="35">
        <f t="shared" ref="F35:F45" si="18">IF(D$12=0,0,D35/D$12)</f>
        <v>20.713776443548014</v>
      </c>
      <c r="G35" s="20"/>
      <c r="H35" s="20">
        <f>SUM(OSRRefH22x_0)</f>
        <v>478654.29000000004</v>
      </c>
      <c r="I35" s="20"/>
      <c r="J35" s="35">
        <f t="shared" ref="J35:J45" si="19">IF(H$12=0,0,H35/H$12)</f>
        <v>1.0051571565351134</v>
      </c>
      <c r="K35" s="4"/>
      <c r="L35" s="20">
        <f t="shared" ref="L35:L45" si="20">+D35-H35</f>
        <v>-363839.07000000007</v>
      </c>
      <c r="M35" s="4"/>
      <c r="N35" s="35">
        <f t="shared" ref="N35:N45" si="21">IF(H35=0,0,L35/H35)</f>
        <v>-0.7601291320297161</v>
      </c>
      <c r="O35" s="10"/>
      <c r="P35" s="20">
        <f>SUM(OSRRefP22x_0)</f>
        <v>277215.45</v>
      </c>
      <c r="Q35" s="20"/>
      <c r="R35" s="35">
        <f t="shared" ref="R35:R45" si="22">IF(P$12=0,0,P35/P$12)</f>
        <v>42.531732089569424</v>
      </c>
      <c r="S35" s="20"/>
      <c r="T35" s="20">
        <f>SUM(OSRRefT22x_0)</f>
        <v>967137.92999999982</v>
      </c>
      <c r="U35" s="20"/>
      <c r="V35" s="35">
        <f t="shared" ref="V35:V45" si="23">IF(T$12=0,0,T35/T$12)</f>
        <v>1.3536074294639817</v>
      </c>
      <c r="W35" s="4"/>
      <c r="X35" s="20">
        <f t="shared" ref="X35:X45" si="24">+P35-T35</f>
        <v>-689922.47999999975</v>
      </c>
      <c r="Y35" s="4"/>
      <c r="Z35" s="35">
        <f t="shared" ref="Z35:Z45" si="25">IF(T35=0,0,X35/T35)</f>
        <v>-0.71336513500199483</v>
      </c>
    </row>
    <row r="36" spans="1:26" s="28" customFormat="1" outlineLevel="1" collapsed="1" x14ac:dyDescent="0.25">
      <c r="A36" s="27"/>
      <c r="B36" s="14" t="str">
        <f>CONCATENATE("     ","*Benefits                                         ")</f>
        <v xml:space="preserve">     *Benefits                                         </v>
      </c>
      <c r="C36" s="14"/>
      <c r="D36" s="1">
        <f>SUM(OSRRefD22_0x_0)</f>
        <v>27260.259999999995</v>
      </c>
      <c r="E36" s="1"/>
      <c r="F36" s="5">
        <f t="shared" si="18"/>
        <v>4.9180146276163912</v>
      </c>
      <c r="G36" s="1"/>
      <c r="H36" s="1">
        <f>SUM(OSRRefH22_0x_0)</f>
        <v>71962.909999999989</v>
      </c>
      <c r="I36" s="1"/>
      <c r="J36" s="5">
        <f t="shared" si="19"/>
        <v>0.15111957732916645</v>
      </c>
      <c r="K36" s="1"/>
      <c r="L36" s="1">
        <f t="shared" si="20"/>
        <v>-44702.649999999994</v>
      </c>
      <c r="M36" s="1"/>
      <c r="N36" s="5">
        <f t="shared" si="21"/>
        <v>-0.62119013808641144</v>
      </c>
      <c r="O36" s="14"/>
      <c r="P36" s="1">
        <f>SUM(OSRRefP22_0x_0)</f>
        <v>62228.93</v>
      </c>
      <c r="Q36" s="1"/>
      <c r="R36" s="5">
        <f t="shared" si="22"/>
        <v>9.5474627369454677</v>
      </c>
      <c r="S36" s="1"/>
      <c r="T36" s="1">
        <f>SUM(OSRRefT22_0x_0)</f>
        <v>152595.14000000001</v>
      </c>
      <c r="U36" s="1"/>
      <c r="V36" s="5">
        <f t="shared" si="23"/>
        <v>0.21357234454044885</v>
      </c>
      <c r="W36" s="1"/>
      <c r="X36" s="1">
        <f t="shared" si="24"/>
        <v>-90366.210000000021</v>
      </c>
      <c r="Y36" s="1"/>
      <c r="Z36" s="5">
        <f t="shared" si="25"/>
        <v>-0.59219585892447169</v>
      </c>
    </row>
    <row r="37" spans="1:26" s="24" customFormat="1" hidden="1" outlineLevel="2" x14ac:dyDescent="0.25">
      <c r="A37" s="29"/>
      <c r="B37" s="11" t="str">
        <f>CONCATENATE("          ", "6111", " - ", "F.I.C.A.")</f>
        <v xml:space="preserve">          6111 - F.I.C.A.</v>
      </c>
      <c r="C37" s="11"/>
      <c r="D37" s="7">
        <v>3115.33</v>
      </c>
      <c r="E37" s="2"/>
      <c r="F37" s="6">
        <f t="shared" si="18"/>
        <v>0.5620356706008004</v>
      </c>
      <c r="G37" s="2"/>
      <c r="H37" s="7">
        <v>15316.22</v>
      </c>
      <c r="I37" s="2"/>
      <c r="J37" s="6">
        <f t="shared" si="19"/>
        <v>3.2163522746377626E-2</v>
      </c>
      <c r="K37" s="2"/>
      <c r="L37" s="7">
        <f t="shared" si="20"/>
        <v>-12200.89</v>
      </c>
      <c r="M37" s="2"/>
      <c r="N37" s="6">
        <f t="shared" si="21"/>
        <v>-0.79659929147008857</v>
      </c>
      <c r="O37" s="11"/>
      <c r="P37" s="7">
        <v>6591.16</v>
      </c>
      <c r="Q37" s="2"/>
      <c r="R37" s="6">
        <f t="shared" si="22"/>
        <v>1.0112475739699442</v>
      </c>
      <c r="S37" s="2"/>
      <c r="T37" s="7">
        <v>27979.82</v>
      </c>
      <c r="U37" s="2"/>
      <c r="V37" s="6">
        <f t="shared" si="23"/>
        <v>3.9160590286294442E-2</v>
      </c>
      <c r="W37" s="2"/>
      <c r="X37" s="7">
        <f t="shared" si="24"/>
        <v>-21388.66</v>
      </c>
      <c r="Y37" s="2"/>
      <c r="Z37" s="6">
        <f t="shared" si="25"/>
        <v>-0.76443165109711209</v>
      </c>
    </row>
    <row r="38" spans="1:26" s="24" customFormat="1" hidden="1" outlineLevel="2" x14ac:dyDescent="0.25">
      <c r="A38" s="29"/>
      <c r="B38" s="11" t="str">
        <f>CONCATENATE("          ", "6112", " - ", "COMPENSATION INSURANCE")</f>
        <v xml:space="preserve">          6112 - COMPENSATION INSURANCE</v>
      </c>
      <c r="C38" s="11"/>
      <c r="D38" s="7">
        <v>777.33</v>
      </c>
      <c r="E38" s="2"/>
      <c r="F38" s="6">
        <f t="shared" si="18"/>
        <v>0.14023785211458184</v>
      </c>
      <c r="G38" s="2"/>
      <c r="H38" s="7">
        <v>7030.48</v>
      </c>
      <c r="I38" s="2"/>
      <c r="J38" s="6">
        <f t="shared" si="19"/>
        <v>1.4763760470791943E-2</v>
      </c>
      <c r="K38" s="2"/>
      <c r="L38" s="7">
        <f t="shared" si="20"/>
        <v>-6253.15</v>
      </c>
      <c r="M38" s="2"/>
      <c r="N38" s="6">
        <f t="shared" si="21"/>
        <v>-0.88943429182644718</v>
      </c>
      <c r="O38" s="11"/>
      <c r="P38" s="7">
        <v>1516.01</v>
      </c>
      <c r="Q38" s="2"/>
      <c r="R38" s="6">
        <f t="shared" si="22"/>
        <v>0.23259356996555619</v>
      </c>
      <c r="S38" s="2"/>
      <c r="T38" s="7">
        <v>12676.87</v>
      </c>
      <c r="U38" s="2"/>
      <c r="V38" s="6">
        <f t="shared" si="23"/>
        <v>1.7742562753535137E-2</v>
      </c>
      <c r="W38" s="2"/>
      <c r="X38" s="7">
        <f t="shared" si="24"/>
        <v>-11160.86</v>
      </c>
      <c r="Y38" s="2"/>
      <c r="Z38" s="6">
        <f t="shared" si="25"/>
        <v>-0.88041133181928977</v>
      </c>
    </row>
    <row r="39" spans="1:26" s="24" customFormat="1" hidden="1" outlineLevel="2" x14ac:dyDescent="0.25">
      <c r="A39" s="29"/>
      <c r="B39" s="11" t="str">
        <f>CONCATENATE("          ", "6113", " - ", "GROUP INSURANCE")</f>
        <v xml:space="preserve">          6113 - GROUP INSURANCE</v>
      </c>
      <c r="C39" s="11"/>
      <c r="D39" s="7">
        <v>13367.12</v>
      </c>
      <c r="E39" s="2"/>
      <c r="F39" s="6">
        <f t="shared" si="18"/>
        <v>2.4115577653736113</v>
      </c>
      <c r="G39" s="2"/>
      <c r="H39" s="7">
        <v>26980.649999999998</v>
      </c>
      <c r="I39" s="2"/>
      <c r="J39" s="6">
        <f t="shared" si="19"/>
        <v>5.6658415065013006E-2</v>
      </c>
      <c r="K39" s="2"/>
      <c r="L39" s="7">
        <f t="shared" si="20"/>
        <v>-13613.529999999997</v>
      </c>
      <c r="M39" s="2"/>
      <c r="N39" s="6">
        <f t="shared" si="21"/>
        <v>-0.50456642074968538</v>
      </c>
      <c r="O39" s="11"/>
      <c r="P39" s="7">
        <v>31606.21</v>
      </c>
      <c r="Q39" s="2"/>
      <c r="R39" s="6">
        <f t="shared" si="22"/>
        <v>4.8491772593723397</v>
      </c>
      <c r="S39" s="2"/>
      <c r="T39" s="7">
        <v>54429.03</v>
      </c>
      <c r="U39" s="2"/>
      <c r="V39" s="6">
        <f t="shared" si="23"/>
        <v>7.6178936944927764E-2</v>
      </c>
      <c r="W39" s="2"/>
      <c r="X39" s="7">
        <f t="shared" si="24"/>
        <v>-22822.82</v>
      </c>
      <c r="Y39" s="2"/>
      <c r="Z39" s="6">
        <f t="shared" si="25"/>
        <v>-0.41931337008945413</v>
      </c>
    </row>
    <row r="40" spans="1:26" s="24" customFormat="1" hidden="1" outlineLevel="2" x14ac:dyDescent="0.25">
      <c r="A40" s="29"/>
      <c r="B40" s="11" t="str">
        <f>CONCATENATE("          ", "6114", " - ", "STATE UNEMPLOYMENT INSURANCE")</f>
        <v xml:space="preserve">          6114 - STATE UNEMPLOYMENT INSURANCE</v>
      </c>
      <c r="C40" s="11"/>
      <c r="D40" s="7">
        <v>107.66</v>
      </c>
      <c r="E40" s="2"/>
      <c r="F40" s="6">
        <f t="shared" si="18"/>
        <v>1.9422905533886353E-2</v>
      </c>
      <c r="G40" s="2"/>
      <c r="H40" s="7">
        <v>523.86</v>
      </c>
      <c r="I40" s="2"/>
      <c r="J40" s="6">
        <f t="shared" si="19"/>
        <v>1.1000875559320372E-3</v>
      </c>
      <c r="K40" s="2"/>
      <c r="L40" s="7">
        <f t="shared" si="20"/>
        <v>-416.20000000000005</v>
      </c>
      <c r="M40" s="2"/>
      <c r="N40" s="6">
        <f t="shared" si="21"/>
        <v>-0.79448707669988172</v>
      </c>
      <c r="O40" s="11"/>
      <c r="P40" s="7">
        <v>213.47</v>
      </c>
      <c r="Q40" s="2"/>
      <c r="R40" s="6">
        <f t="shared" si="22"/>
        <v>3.2751597535997309E-2</v>
      </c>
      <c r="S40" s="2"/>
      <c r="T40" s="7">
        <v>951.74</v>
      </c>
      <c r="U40" s="2"/>
      <c r="V40" s="6">
        <f t="shared" si="23"/>
        <v>1.3320564678070794E-3</v>
      </c>
      <c r="W40" s="2"/>
      <c r="X40" s="7">
        <f t="shared" si="24"/>
        <v>-738.27</v>
      </c>
      <c r="Y40" s="2"/>
      <c r="Z40" s="6">
        <f t="shared" si="25"/>
        <v>-0.77570554983503892</v>
      </c>
    </row>
    <row r="41" spans="1:26" s="24" customFormat="1" hidden="1" outlineLevel="2" x14ac:dyDescent="0.25">
      <c r="A41" s="29"/>
      <c r="B41" s="11" t="str">
        <f>CONCATENATE("          ", "6115", " - ", "P.E.R.S.")</f>
        <v xml:space="preserve">          6115 - P.E.R.S.</v>
      </c>
      <c r="C41" s="11"/>
      <c r="D41" s="7">
        <v>3683.98</v>
      </c>
      <c r="E41" s="2"/>
      <c r="F41" s="6">
        <f t="shared" si="18"/>
        <v>0.66462563188488433</v>
      </c>
      <c r="G41" s="2"/>
      <c r="H41" s="7">
        <v>7277.48</v>
      </c>
      <c r="I41" s="2"/>
      <c r="J41" s="6">
        <f t="shared" si="19"/>
        <v>1.5282451774413546E-2</v>
      </c>
      <c r="K41" s="2"/>
      <c r="L41" s="7">
        <f t="shared" si="20"/>
        <v>-3593.4999999999995</v>
      </c>
      <c r="M41" s="2"/>
      <c r="N41" s="6">
        <f t="shared" si="21"/>
        <v>-0.49378356244194416</v>
      </c>
      <c r="O41" s="11"/>
      <c r="P41" s="7">
        <v>10195.11</v>
      </c>
      <c r="Q41" s="2"/>
      <c r="R41" s="6">
        <f t="shared" si="22"/>
        <v>1.5641829744470956</v>
      </c>
      <c r="S41" s="2"/>
      <c r="T41" s="7">
        <v>14554.96</v>
      </c>
      <c r="U41" s="2"/>
      <c r="V41" s="6">
        <f t="shared" si="23"/>
        <v>2.0371139814101883E-2</v>
      </c>
      <c r="W41" s="2"/>
      <c r="X41" s="7">
        <f t="shared" si="24"/>
        <v>-4359.8499999999985</v>
      </c>
      <c r="Y41" s="2"/>
      <c r="Z41" s="6">
        <f t="shared" si="25"/>
        <v>-0.29954393553812575</v>
      </c>
    </row>
    <row r="42" spans="1:26" s="24" customFormat="1" hidden="1" outlineLevel="2" x14ac:dyDescent="0.25">
      <c r="A42" s="29"/>
      <c r="B42" s="11" t="str">
        <f>CONCATENATE("          ", "6117", " - ", "RETIREMENT STAFF HOURLY")</f>
        <v xml:space="preserve">          6117 - RETIREMENT STAFF HOURLY</v>
      </c>
      <c r="C42" s="11"/>
      <c r="D42" s="7"/>
      <c r="E42" s="2"/>
      <c r="F42" s="6">
        <f t="shared" si="18"/>
        <v>0</v>
      </c>
      <c r="G42" s="2"/>
      <c r="H42" s="7">
        <v>56</v>
      </c>
      <c r="I42" s="2"/>
      <c r="J42" s="6">
        <f t="shared" si="19"/>
        <v>1.1759802835145663E-4</v>
      </c>
      <c r="K42" s="2"/>
      <c r="L42" s="7">
        <f t="shared" si="20"/>
        <v>-56</v>
      </c>
      <c r="M42" s="2"/>
      <c r="N42" s="6">
        <f t="shared" si="21"/>
        <v>-1</v>
      </c>
      <c r="O42" s="11"/>
      <c r="P42" s="7"/>
      <c r="Q42" s="2"/>
      <c r="R42" s="6">
        <f t="shared" si="22"/>
        <v>0</v>
      </c>
      <c r="S42" s="2"/>
      <c r="T42" s="7">
        <v>112</v>
      </c>
      <c r="U42" s="2"/>
      <c r="V42" s="6">
        <f t="shared" si="23"/>
        <v>1.5675533695588384E-4</v>
      </c>
      <c r="W42" s="2"/>
      <c r="X42" s="7">
        <f t="shared" si="24"/>
        <v>-112</v>
      </c>
      <c r="Y42" s="2"/>
      <c r="Z42" s="6">
        <f t="shared" si="25"/>
        <v>-1</v>
      </c>
    </row>
    <row r="43" spans="1:26" s="24" customFormat="1" hidden="1" outlineLevel="2" x14ac:dyDescent="0.25">
      <c r="A43" s="29"/>
      <c r="B43" s="11" t="str">
        <f>CONCATENATE("          ", "6118", " - ", "VACATION")</f>
        <v xml:space="preserve">          6118 - VACATION</v>
      </c>
      <c r="C43" s="11"/>
      <c r="D43" s="7">
        <v>3208.6</v>
      </c>
      <c r="E43" s="2"/>
      <c r="F43" s="6">
        <f t="shared" si="18"/>
        <v>0.57886248092167703</v>
      </c>
      <c r="G43" s="2"/>
      <c r="H43" s="7">
        <v>6648.86</v>
      </c>
      <c r="I43" s="2"/>
      <c r="J43" s="6">
        <f t="shared" si="19"/>
        <v>1.3962371906872606E-2</v>
      </c>
      <c r="K43" s="2"/>
      <c r="L43" s="7">
        <f t="shared" si="20"/>
        <v>-3440.2599999999998</v>
      </c>
      <c r="M43" s="2"/>
      <c r="N43" s="6">
        <f t="shared" si="21"/>
        <v>-0.5174210315753377</v>
      </c>
      <c r="O43" s="11"/>
      <c r="P43" s="7">
        <v>6567.81</v>
      </c>
      <c r="Q43" s="2"/>
      <c r="R43" s="6">
        <f t="shared" si="22"/>
        <v>1.0076651042905256</v>
      </c>
      <c r="S43" s="2"/>
      <c r="T43" s="7">
        <v>16532.43</v>
      </c>
      <c r="U43" s="2"/>
      <c r="V43" s="6">
        <f t="shared" si="23"/>
        <v>2.3138809244192524E-2</v>
      </c>
      <c r="W43" s="2"/>
      <c r="X43" s="7">
        <f t="shared" si="24"/>
        <v>-9964.619999999999</v>
      </c>
      <c r="Y43" s="2"/>
      <c r="Z43" s="6">
        <f t="shared" si="25"/>
        <v>-0.60273172183399526</v>
      </c>
    </row>
    <row r="44" spans="1:26" s="24" customFormat="1" hidden="1" outlineLevel="2" x14ac:dyDescent="0.25">
      <c r="A44" s="29"/>
      <c r="B44" s="11" t="str">
        <f>CONCATENATE("          ", "6119", " - ", "SICK LEAVE")</f>
        <v xml:space="preserve">          6119 - SICK LEAVE</v>
      </c>
      <c r="C44" s="11"/>
      <c r="D44" s="7">
        <v>1945.96</v>
      </c>
      <c r="E44" s="2"/>
      <c r="F44" s="6">
        <f t="shared" si="18"/>
        <v>0.35107000977820446</v>
      </c>
      <c r="G44" s="2"/>
      <c r="H44" s="7">
        <v>4832.92</v>
      </c>
      <c r="I44" s="2"/>
      <c r="J44" s="6">
        <f t="shared" si="19"/>
        <v>1.0148961842505747E-2</v>
      </c>
      <c r="K44" s="2"/>
      <c r="L44" s="7">
        <f t="shared" si="20"/>
        <v>-2886.96</v>
      </c>
      <c r="M44" s="2"/>
      <c r="N44" s="6">
        <f t="shared" si="21"/>
        <v>-0.59735315295928759</v>
      </c>
      <c r="O44" s="11"/>
      <c r="P44" s="7">
        <v>4175.1499999999996</v>
      </c>
      <c r="Q44" s="2"/>
      <c r="R44" s="6">
        <f t="shared" si="22"/>
        <v>0.64057166090045037</v>
      </c>
      <c r="S44" s="2"/>
      <c r="T44" s="7">
        <v>19416.34</v>
      </c>
      <c r="U44" s="2"/>
      <c r="V44" s="6">
        <f t="shared" si="23"/>
        <v>2.7175133206696477E-2</v>
      </c>
      <c r="W44" s="2"/>
      <c r="X44" s="7">
        <f t="shared" si="24"/>
        <v>-15241.19</v>
      </c>
      <c r="Y44" s="2"/>
      <c r="Z44" s="6">
        <f t="shared" si="25"/>
        <v>-0.78496719773139534</v>
      </c>
    </row>
    <row r="45" spans="1:26" s="24" customFormat="1" hidden="1" outlineLevel="2" x14ac:dyDescent="0.25">
      <c r="A45" s="29"/>
      <c r="B45" s="11" t="str">
        <f>CONCATENATE("          ", "6156", " - ", "EMPLOYEE MEALS")</f>
        <v xml:space="preserve">          6156 - EMPLOYEE MEALS</v>
      </c>
      <c r="C45" s="11"/>
      <c r="D45" s="7">
        <v>1054.28</v>
      </c>
      <c r="E45" s="2"/>
      <c r="F45" s="6">
        <f t="shared" si="18"/>
        <v>0.19020231140874702</v>
      </c>
      <c r="G45" s="2"/>
      <c r="H45" s="7">
        <v>3296.44</v>
      </c>
      <c r="I45" s="2"/>
      <c r="J45" s="6">
        <f t="shared" si="19"/>
        <v>6.9224079389084954E-3</v>
      </c>
      <c r="K45" s="2"/>
      <c r="L45" s="7">
        <f t="shared" si="20"/>
        <v>-2242.16</v>
      </c>
      <c r="M45" s="2"/>
      <c r="N45" s="6">
        <f t="shared" si="21"/>
        <v>-0.6801761900717137</v>
      </c>
      <c r="O45" s="11"/>
      <c r="P45" s="7">
        <v>1364.01</v>
      </c>
      <c r="Q45" s="2"/>
      <c r="R45" s="6">
        <f t="shared" si="22"/>
        <v>0.20927299646355782</v>
      </c>
      <c r="S45" s="2"/>
      <c r="T45" s="7">
        <v>5941.95</v>
      </c>
      <c r="U45" s="2"/>
      <c r="V45" s="6">
        <f t="shared" si="23"/>
        <v>8.3163604859376235E-3</v>
      </c>
      <c r="W45" s="2"/>
      <c r="X45" s="7">
        <f t="shared" si="24"/>
        <v>-4577.9399999999996</v>
      </c>
      <c r="Y45" s="2"/>
      <c r="Z45" s="6">
        <f t="shared" si="25"/>
        <v>-0.770444046146467</v>
      </c>
    </row>
    <row r="46" spans="1:26" s="28" customFormat="1" outlineLevel="1" collapsed="1" x14ac:dyDescent="0.25">
      <c r="A46" s="27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40914.910000000003</v>
      </c>
      <c r="E46" s="1"/>
      <c r="F46" s="5">
        <f t="shared" ref="F46:F53" si="26">IF(D$12=0,0,D46/D$12)</f>
        <v>7.3814455866381401</v>
      </c>
      <c r="G46" s="1"/>
      <c r="H46" s="1">
        <f>SUM(OSRRefH22_1x_0)</f>
        <v>226050.38999999998</v>
      </c>
      <c r="I46" s="1"/>
      <c r="J46" s="5">
        <f t="shared" ref="J46:J53" si="27">IF(H$12=0,0,H46/H$12)</f>
        <v>0.4746978602156755</v>
      </c>
      <c r="K46" s="1"/>
      <c r="L46" s="1">
        <f t="shared" ref="L46:L53" si="28">+D46-H46</f>
        <v>-185135.47999999998</v>
      </c>
      <c r="M46" s="1"/>
      <c r="N46" s="5">
        <f t="shared" ref="N46:N53" si="29">IF(H46=0,0,L46/H46)</f>
        <v>-0.81900093160644405</v>
      </c>
      <c r="O46" s="14"/>
      <c r="P46" s="1">
        <f>SUM(OSRRefP22_1x_0)</f>
        <v>88819.959999999992</v>
      </c>
      <c r="Q46" s="1"/>
      <c r="R46" s="5">
        <f t="shared" ref="R46:R53" si="30">IF(P$12=0,0,P46/P$12)</f>
        <v>13.62718687910891</v>
      </c>
      <c r="S46" s="1"/>
      <c r="T46" s="1">
        <f>SUM(OSRRefT22_1x_0)</f>
        <v>424174.23000000004</v>
      </c>
      <c r="U46" s="1"/>
      <c r="V46" s="5">
        <f t="shared" ref="V46:V53" si="31">IF(T$12=0,0,T46/T$12)</f>
        <v>0.59367477099689803</v>
      </c>
      <c r="W46" s="1"/>
      <c r="X46" s="1">
        <f t="shared" ref="X46:X53" si="32">+P46-T46</f>
        <v>-335354.27</v>
      </c>
      <c r="Y46" s="1"/>
      <c r="Z46" s="5">
        <f t="shared" ref="Z46:Z53" si="33">IF(T46=0,0,X46/T46)</f>
        <v>-0.79060500681524193</v>
      </c>
    </row>
    <row r="47" spans="1:26" s="24" customFormat="1" hidden="1" outlineLevel="2" x14ac:dyDescent="0.25">
      <c r="A47" s="29"/>
      <c r="B47" s="11" t="str">
        <f>CONCATENATE("          ", "6001", " - ", "ADMINISTRATIVE SALARIES")</f>
        <v xml:space="preserve">          6001 - ADMINISTRATIVE SALARIES</v>
      </c>
      <c r="C47" s="11"/>
      <c r="D47" s="7">
        <v>11069.28</v>
      </c>
      <c r="E47" s="2"/>
      <c r="F47" s="6">
        <f t="shared" si="26"/>
        <v>1.9970051994068136</v>
      </c>
      <c r="G47" s="2"/>
      <c r="H47" s="7">
        <v>15056.230000000001</v>
      </c>
      <c r="I47" s="2"/>
      <c r="J47" s="6">
        <f t="shared" si="27"/>
        <v>3.1617552900108072E-2</v>
      </c>
      <c r="K47" s="2"/>
      <c r="L47" s="7">
        <f t="shared" si="28"/>
        <v>-3986.9500000000007</v>
      </c>
      <c r="M47" s="2"/>
      <c r="N47" s="6">
        <f t="shared" si="29"/>
        <v>-0.26480400472096938</v>
      </c>
      <c r="O47" s="11"/>
      <c r="P47" s="7">
        <v>22276.609999999997</v>
      </c>
      <c r="Q47" s="2"/>
      <c r="R47" s="6">
        <f t="shared" si="30"/>
        <v>3.4177850057917873</v>
      </c>
      <c r="S47" s="2"/>
      <c r="T47" s="7">
        <v>35482.899999999994</v>
      </c>
      <c r="U47" s="2"/>
      <c r="V47" s="6">
        <f t="shared" si="31"/>
        <v>4.9661910229213659E-2</v>
      </c>
      <c r="W47" s="2"/>
      <c r="X47" s="7">
        <f t="shared" si="32"/>
        <v>-13206.289999999997</v>
      </c>
      <c r="Y47" s="2"/>
      <c r="Z47" s="6">
        <f t="shared" si="33"/>
        <v>-0.37218744803835085</v>
      </c>
    </row>
    <row r="48" spans="1:26" s="24" customFormat="1" hidden="1" outlineLevel="2" x14ac:dyDescent="0.25">
      <c r="A48" s="29"/>
      <c r="B48" s="11" t="str">
        <f>CONCATENATE("          ", "6002", " - ", "STAFF SALARIES")</f>
        <v xml:space="preserve">          6002 - STAFF SALARIES</v>
      </c>
      <c r="C48" s="11"/>
      <c r="D48" s="7">
        <v>24162.06</v>
      </c>
      <c r="E48" s="2"/>
      <c r="F48" s="6">
        <f t="shared" si="26"/>
        <v>4.3590693747361522</v>
      </c>
      <c r="G48" s="2"/>
      <c r="H48" s="7">
        <v>65738.720000000001</v>
      </c>
      <c r="I48" s="2"/>
      <c r="J48" s="6">
        <f t="shared" si="27"/>
        <v>0.13804899747050839</v>
      </c>
      <c r="K48" s="2"/>
      <c r="L48" s="7">
        <f t="shared" si="28"/>
        <v>-41576.660000000003</v>
      </c>
      <c r="M48" s="2"/>
      <c r="N48" s="6">
        <f t="shared" si="29"/>
        <v>-0.63245314177093803</v>
      </c>
      <c r="O48" s="11"/>
      <c r="P48" s="7">
        <v>56738.049999999996</v>
      </c>
      <c r="Q48" s="2"/>
      <c r="R48" s="6">
        <f t="shared" si="30"/>
        <v>8.7050254301648557</v>
      </c>
      <c r="S48" s="2"/>
      <c r="T48" s="7">
        <v>143049.07</v>
      </c>
      <c r="U48" s="2"/>
      <c r="V48" s="6">
        <f t="shared" si="31"/>
        <v>0.20021165329531979</v>
      </c>
      <c r="W48" s="2"/>
      <c r="X48" s="7">
        <f t="shared" si="32"/>
        <v>-86311.020000000019</v>
      </c>
      <c r="Y48" s="2"/>
      <c r="Z48" s="6">
        <f t="shared" si="33"/>
        <v>-0.60336652310986727</v>
      </c>
    </row>
    <row r="49" spans="1:26" s="24" customFormat="1" hidden="1" outlineLevel="2" x14ac:dyDescent="0.25">
      <c r="A49" s="29"/>
      <c r="B49" s="11" t="str">
        <f>CONCATENATE("          ", "6004", " - ", "STAFF HOURLY")</f>
        <v xml:space="preserve">          6004 - STAFF HOURLY</v>
      </c>
      <c r="C49" s="11"/>
      <c r="D49" s="7">
        <v>4818.47</v>
      </c>
      <c r="E49" s="2"/>
      <c r="F49" s="6">
        <f t="shared" si="26"/>
        <v>0.86929860326830188</v>
      </c>
      <c r="G49" s="2"/>
      <c r="H49" s="7">
        <v>17855.3</v>
      </c>
      <c r="I49" s="2"/>
      <c r="J49" s="6">
        <f t="shared" si="27"/>
        <v>3.749550135042435E-2</v>
      </c>
      <c r="K49" s="2"/>
      <c r="L49" s="7">
        <f t="shared" si="28"/>
        <v>-13036.829999999998</v>
      </c>
      <c r="M49" s="2"/>
      <c r="N49" s="6">
        <f t="shared" si="29"/>
        <v>-0.73013783022407908</v>
      </c>
      <c r="O49" s="11"/>
      <c r="P49" s="7">
        <v>7590.2</v>
      </c>
      <c r="Q49" s="2"/>
      <c r="R49" s="6">
        <f t="shared" si="30"/>
        <v>1.164525111808342</v>
      </c>
      <c r="S49" s="2"/>
      <c r="T49" s="7">
        <v>33165.310000000005</v>
      </c>
      <c r="U49" s="2"/>
      <c r="V49" s="6">
        <f t="shared" si="31"/>
        <v>4.6418208431217363E-2</v>
      </c>
      <c r="W49" s="2"/>
      <c r="X49" s="7">
        <f t="shared" si="32"/>
        <v>-25575.110000000004</v>
      </c>
      <c r="Y49" s="2"/>
      <c r="Z49" s="6">
        <f t="shared" si="33"/>
        <v>-0.77114038735051782</v>
      </c>
    </row>
    <row r="50" spans="1:26" s="24" customFormat="1" hidden="1" outlineLevel="2" x14ac:dyDescent="0.25">
      <c r="A50" s="29"/>
      <c r="B50" s="11" t="str">
        <f>CONCATENATE("          ", "6005", " - ", "TEMPORARY WAGES-HOURLY")</f>
        <v xml:space="preserve">          6005 - TEMPORARY WAGES-HOURLY</v>
      </c>
      <c r="C50" s="11"/>
      <c r="D50" s="7">
        <v>155.1</v>
      </c>
      <c r="E50" s="2"/>
      <c r="F50" s="6">
        <f t="shared" si="26"/>
        <v>2.798154048212682E-2</v>
      </c>
      <c r="G50" s="2"/>
      <c r="H50" s="7">
        <v>41274.769999999997</v>
      </c>
      <c r="I50" s="2"/>
      <c r="J50" s="6">
        <f t="shared" si="27"/>
        <v>8.6675563797497357E-2</v>
      </c>
      <c r="K50" s="2"/>
      <c r="L50" s="7">
        <f t="shared" si="28"/>
        <v>-41119.67</v>
      </c>
      <c r="M50" s="2"/>
      <c r="N50" s="6">
        <f t="shared" si="29"/>
        <v>-0.99624225646805542</v>
      </c>
      <c r="O50" s="11"/>
      <c r="P50" s="7">
        <v>155.1</v>
      </c>
      <c r="Q50" s="2"/>
      <c r="R50" s="6">
        <f t="shared" si="30"/>
        <v>2.3796190461578593E-2</v>
      </c>
      <c r="S50" s="2"/>
      <c r="T50" s="7">
        <v>72055.02</v>
      </c>
      <c r="U50" s="2"/>
      <c r="V50" s="6">
        <f t="shared" si="31"/>
        <v>0.10084829410234776</v>
      </c>
      <c r="W50" s="2"/>
      <c r="X50" s="7">
        <f t="shared" si="32"/>
        <v>-71899.92</v>
      </c>
      <c r="Y50" s="2"/>
      <c r="Z50" s="6">
        <f t="shared" si="33"/>
        <v>-0.99784747821872777</v>
      </c>
    </row>
    <row r="51" spans="1:26" s="24" customFormat="1" hidden="1" outlineLevel="2" x14ac:dyDescent="0.25">
      <c r="A51" s="29"/>
      <c r="B51" s="11" t="str">
        <f>CONCATENATE("          ", "6006", " - ", "TEMPORARY PART TIME")</f>
        <v xml:space="preserve">          6006 - TEMPORARY PART TIME</v>
      </c>
      <c r="C51" s="11"/>
      <c r="D51" s="7"/>
      <c r="E51" s="2"/>
      <c r="F51" s="6">
        <f t="shared" si="26"/>
        <v>0</v>
      </c>
      <c r="G51" s="2"/>
      <c r="H51" s="7">
        <v>2606.88</v>
      </c>
      <c r="I51" s="2"/>
      <c r="J51" s="6">
        <f t="shared" si="27"/>
        <v>5.4743562169436658E-3</v>
      </c>
      <c r="K51" s="2"/>
      <c r="L51" s="7">
        <f t="shared" si="28"/>
        <v>-2606.88</v>
      </c>
      <c r="M51" s="2"/>
      <c r="N51" s="6">
        <f t="shared" si="29"/>
        <v>-1</v>
      </c>
      <c r="O51" s="11"/>
      <c r="P51" s="7"/>
      <c r="Q51" s="2"/>
      <c r="R51" s="6">
        <f t="shared" si="30"/>
        <v>0</v>
      </c>
      <c r="S51" s="2"/>
      <c r="T51" s="7">
        <v>5584.27</v>
      </c>
      <c r="U51" s="2"/>
      <c r="V51" s="6">
        <f t="shared" si="31"/>
        <v>7.8157511205592268E-3</v>
      </c>
      <c r="W51" s="2"/>
      <c r="X51" s="7">
        <f t="shared" si="32"/>
        <v>-5584.27</v>
      </c>
      <c r="Y51" s="2"/>
      <c r="Z51" s="6">
        <f t="shared" si="33"/>
        <v>-1</v>
      </c>
    </row>
    <row r="52" spans="1:26" s="24" customFormat="1" hidden="1" outlineLevel="2" x14ac:dyDescent="0.25">
      <c r="A52" s="29"/>
      <c r="B52" s="11" t="str">
        <f>CONCATENATE("          ", "6007", " - ", "STUDENT HOURLY")</f>
        <v xml:space="preserve">          6007 - STUDENT HOURLY</v>
      </c>
      <c r="C52" s="11"/>
      <c r="D52" s="7">
        <v>710</v>
      </c>
      <c r="E52" s="2"/>
      <c r="F52" s="6">
        <f t="shared" si="26"/>
        <v>0.1280908687447456</v>
      </c>
      <c r="G52" s="2"/>
      <c r="H52" s="7">
        <v>78706.81</v>
      </c>
      <c r="I52" s="2"/>
      <c r="J52" s="6">
        <f t="shared" si="27"/>
        <v>0.16528152988986983</v>
      </c>
      <c r="K52" s="2"/>
      <c r="L52" s="7">
        <f t="shared" si="28"/>
        <v>-77996.81</v>
      </c>
      <c r="M52" s="2"/>
      <c r="N52" s="6">
        <f t="shared" si="29"/>
        <v>-0.99097917956527526</v>
      </c>
      <c r="O52" s="11"/>
      <c r="P52" s="7">
        <v>2060</v>
      </c>
      <c r="Q52" s="2"/>
      <c r="R52" s="6">
        <f t="shared" si="30"/>
        <v>0.31605514088234626</v>
      </c>
      <c r="S52" s="2"/>
      <c r="T52" s="7">
        <v>127499.96</v>
      </c>
      <c r="U52" s="2"/>
      <c r="V52" s="6">
        <f t="shared" si="31"/>
        <v>0.178449099925551</v>
      </c>
      <c r="W52" s="2"/>
      <c r="X52" s="7">
        <f t="shared" si="32"/>
        <v>-125439.96</v>
      </c>
      <c r="Y52" s="2"/>
      <c r="Z52" s="6">
        <f t="shared" si="33"/>
        <v>-0.98384313218608066</v>
      </c>
    </row>
    <row r="53" spans="1:26" s="24" customFormat="1" hidden="1" outlineLevel="2" x14ac:dyDescent="0.25">
      <c r="A53" s="29"/>
      <c r="B53" s="11" t="str">
        <f>CONCATENATE("          ", "6008", " - ", "STUDENT HOURLY-FICA EXEMPT")</f>
        <v xml:space="preserve">          6008 - STUDENT HOURLY-FICA EXEMPT</v>
      </c>
      <c r="C53" s="11"/>
      <c r="D53" s="7"/>
      <c r="E53" s="2"/>
      <c r="F53" s="6">
        <f t="shared" si="26"/>
        <v>0</v>
      </c>
      <c r="G53" s="2"/>
      <c r="H53" s="7">
        <v>4811.68</v>
      </c>
      <c r="I53" s="2"/>
      <c r="J53" s="6">
        <f t="shared" si="27"/>
        <v>1.0104358590323874E-2</v>
      </c>
      <c r="K53" s="2"/>
      <c r="L53" s="7">
        <f t="shared" si="28"/>
        <v>-4811.68</v>
      </c>
      <c r="M53" s="2"/>
      <c r="N53" s="6">
        <f t="shared" si="29"/>
        <v>-1</v>
      </c>
      <c r="O53" s="11"/>
      <c r="P53" s="7"/>
      <c r="Q53" s="2"/>
      <c r="R53" s="6">
        <f t="shared" si="30"/>
        <v>0</v>
      </c>
      <c r="S53" s="2"/>
      <c r="T53" s="7">
        <v>7337.7</v>
      </c>
      <c r="U53" s="2"/>
      <c r="V53" s="6">
        <f t="shared" si="31"/>
        <v>1.0269853892689185E-2</v>
      </c>
      <c r="W53" s="2"/>
      <c r="X53" s="7">
        <f t="shared" si="32"/>
        <v>-7337.7</v>
      </c>
      <c r="Y53" s="2"/>
      <c r="Z53" s="6">
        <f t="shared" si="33"/>
        <v>-1</v>
      </c>
    </row>
    <row r="54" spans="1:26" s="28" customFormat="1" outlineLevel="1" collapsed="1" x14ac:dyDescent="0.25">
      <c r="A54" s="27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SUM(OSRRefD22_2x_0)</f>
        <v>0</v>
      </c>
      <c r="E54" s="1"/>
      <c r="F54" s="5">
        <f t="shared" ref="F54:F63" si="34">IF(D$12=0,0,D54/D$12)</f>
        <v>0</v>
      </c>
      <c r="G54" s="1"/>
      <c r="H54" s="1">
        <f>SUM(OSRRefH22_2x_0)</f>
        <v>2725.1</v>
      </c>
      <c r="I54" s="1"/>
      <c r="J54" s="5">
        <f t="shared" ref="J54:J63" si="35">IF(H$12=0,0,H54/H$12)</f>
        <v>5.7226140546527589E-3</v>
      </c>
      <c r="K54" s="1"/>
      <c r="L54" s="1">
        <f t="shared" ref="L54:L63" si="36">+D54-H54</f>
        <v>-2725.1</v>
      </c>
      <c r="M54" s="1"/>
      <c r="N54" s="5">
        <f t="shared" ref="N54:N63" si="37">IF(H54=0,0,L54/H54)</f>
        <v>-1</v>
      </c>
      <c r="O54" s="14"/>
      <c r="P54" s="1">
        <f>SUM(OSRRefP22_2x_0)</f>
        <v>45.97</v>
      </c>
      <c r="Q54" s="1"/>
      <c r="R54" s="5">
        <f t="shared" ref="R54:R63" si="38">IF(P$12=0,0,P54/P$12)</f>
        <v>7.0529392360977943E-3</v>
      </c>
      <c r="S54" s="1"/>
      <c r="T54" s="1">
        <f>SUM(OSRRefT22_2x_0)</f>
        <v>5773.55</v>
      </c>
      <c r="U54" s="1"/>
      <c r="V54" s="5">
        <f t="shared" ref="V54:V63" si="39">IF(T$12=0,0,T54/T$12)</f>
        <v>8.0806676400146712E-3</v>
      </c>
      <c r="W54" s="1"/>
      <c r="X54" s="1">
        <f t="shared" ref="X54:X63" si="40">+P54-T54</f>
        <v>-5727.58</v>
      </c>
      <c r="Y54" s="1"/>
      <c r="Z54" s="5">
        <f t="shared" ref="Z54:Z63" si="41">IF(T54=0,0,X54/T54)</f>
        <v>-0.99203782767967708</v>
      </c>
    </row>
    <row r="55" spans="1:26" s="24" customFormat="1" hidden="1" outlineLevel="2" x14ac:dyDescent="0.25">
      <c r="A55" s="29"/>
      <c r="B55" s="11" t="str">
        <f>CONCATENATE("          ", "6362", " - ", "ADVERTISING EXPENSE")</f>
        <v xml:space="preserve">          6362 - ADVERTISING EXPENSE</v>
      </c>
      <c r="C55" s="11"/>
      <c r="D55" s="7"/>
      <c r="E55" s="2"/>
      <c r="F55" s="6">
        <f t="shared" si="34"/>
        <v>0</v>
      </c>
      <c r="G55" s="2"/>
      <c r="H55" s="7">
        <v>2725.1</v>
      </c>
      <c r="I55" s="2"/>
      <c r="J55" s="6">
        <f t="shared" si="35"/>
        <v>5.7226140546527589E-3</v>
      </c>
      <c r="K55" s="2"/>
      <c r="L55" s="7">
        <f t="shared" si="36"/>
        <v>-2725.1</v>
      </c>
      <c r="M55" s="2"/>
      <c r="N55" s="6">
        <f t="shared" si="37"/>
        <v>-1</v>
      </c>
      <c r="O55" s="11"/>
      <c r="P55" s="7">
        <v>45.97</v>
      </c>
      <c r="Q55" s="2"/>
      <c r="R55" s="6">
        <f t="shared" si="38"/>
        <v>7.0529392360977943E-3</v>
      </c>
      <c r="S55" s="2"/>
      <c r="T55" s="7">
        <v>5773.55</v>
      </c>
      <c r="U55" s="2"/>
      <c r="V55" s="6">
        <f t="shared" si="39"/>
        <v>8.0806676400146712E-3</v>
      </c>
      <c r="W55" s="2"/>
      <c r="X55" s="7">
        <f t="shared" si="40"/>
        <v>-5727.58</v>
      </c>
      <c r="Y55" s="2"/>
      <c r="Z55" s="6">
        <f t="shared" si="41"/>
        <v>-0.99203782767967708</v>
      </c>
    </row>
    <row r="56" spans="1:26" s="28" customFormat="1" outlineLevel="1" collapsed="1" x14ac:dyDescent="0.25">
      <c r="A56" s="27"/>
      <c r="B56" s="14" t="str">
        <f>CONCATENATE("     ","Bad Debts/Over/Short                              ")</f>
        <v xml:space="preserve">     Bad Debts/Over/Short                              </v>
      </c>
      <c r="C56" s="14"/>
      <c r="D56" s="1">
        <f>SUM(OSRRefD22_3x_0)</f>
        <v>3.61</v>
      </c>
      <c r="E56" s="1"/>
      <c r="F56" s="5">
        <f t="shared" si="34"/>
        <v>6.5127892418103046E-4</v>
      </c>
      <c r="G56" s="1"/>
      <c r="H56" s="1">
        <f>SUM(OSRRefH22_3x_0)</f>
        <v>0.5</v>
      </c>
      <c r="I56" s="1"/>
      <c r="J56" s="5">
        <f t="shared" si="35"/>
        <v>1.0499823959951486E-6</v>
      </c>
      <c r="K56" s="1"/>
      <c r="L56" s="1">
        <f t="shared" si="36"/>
        <v>3.11</v>
      </c>
      <c r="M56" s="1"/>
      <c r="N56" s="5">
        <f t="shared" si="37"/>
        <v>6.22</v>
      </c>
      <c r="O56" s="14"/>
      <c r="P56" s="1">
        <f>SUM(OSRRefP22_3x_0)</f>
        <v>3.61</v>
      </c>
      <c r="Q56" s="1"/>
      <c r="R56" s="5">
        <f t="shared" si="38"/>
        <v>5.5386362067246116E-4</v>
      </c>
      <c r="S56" s="1"/>
      <c r="T56" s="1">
        <f>SUM(OSRRefT22_3x_0)</f>
        <v>-20.260000000000002</v>
      </c>
      <c r="U56" s="1"/>
      <c r="V56" s="5">
        <f t="shared" si="39"/>
        <v>-2.8355920774341131E-5</v>
      </c>
      <c r="W56" s="1"/>
      <c r="X56" s="1">
        <f t="shared" si="40"/>
        <v>23.87</v>
      </c>
      <c r="Y56" s="1"/>
      <c r="Z56" s="5">
        <f t="shared" si="41"/>
        <v>-1.178183613030602</v>
      </c>
    </row>
    <row r="57" spans="1:26" s="24" customFormat="1" hidden="1" outlineLevel="2" x14ac:dyDescent="0.25">
      <c r="A57" s="29"/>
      <c r="B57" s="11" t="str">
        <f>CONCATENATE("          ", "6272", " - ", "CASH (OVER/SHORT)")</f>
        <v xml:space="preserve">          6272 - CASH (OVER/SHORT)</v>
      </c>
      <c r="C57" s="11"/>
      <c r="D57" s="7">
        <v>3.61</v>
      </c>
      <c r="E57" s="2"/>
      <c r="F57" s="6">
        <f t="shared" si="34"/>
        <v>6.5127892418103046E-4</v>
      </c>
      <c r="G57" s="2"/>
      <c r="H57" s="7">
        <v>0.5</v>
      </c>
      <c r="I57" s="2"/>
      <c r="J57" s="6">
        <f t="shared" si="35"/>
        <v>1.0499823959951486E-6</v>
      </c>
      <c r="K57" s="2"/>
      <c r="L57" s="7">
        <f t="shared" si="36"/>
        <v>3.11</v>
      </c>
      <c r="M57" s="2"/>
      <c r="N57" s="6">
        <f t="shared" si="37"/>
        <v>6.22</v>
      </c>
      <c r="O57" s="11"/>
      <c r="P57" s="7">
        <v>3.61</v>
      </c>
      <c r="Q57" s="2"/>
      <c r="R57" s="6">
        <f t="shared" si="38"/>
        <v>5.5386362067246116E-4</v>
      </c>
      <c r="S57" s="2"/>
      <c r="T57" s="7">
        <v>-20.260000000000002</v>
      </c>
      <c r="U57" s="2"/>
      <c r="V57" s="6">
        <f t="shared" si="39"/>
        <v>-2.8355920774341131E-5</v>
      </c>
      <c r="W57" s="2"/>
      <c r="X57" s="7">
        <f t="shared" si="40"/>
        <v>23.87</v>
      </c>
      <c r="Y57" s="2"/>
      <c r="Z57" s="6">
        <f t="shared" si="41"/>
        <v>-1.178183613030602</v>
      </c>
    </row>
    <row r="58" spans="1:26" s="28" customFormat="1" outlineLevel="1" collapsed="1" x14ac:dyDescent="0.25">
      <c r="A58" s="27"/>
      <c r="B58" s="14" t="str">
        <f>CONCATENATE("     ","Bank/card Fees                                    ")</f>
        <v xml:space="preserve">     Bank/card Fees                                    </v>
      </c>
      <c r="C58" s="14"/>
      <c r="D58" s="1">
        <f>SUM(OSRRefD22_4x_0)</f>
        <v>393.07</v>
      </c>
      <c r="E58" s="1"/>
      <c r="F58" s="5">
        <f t="shared" si="34"/>
        <v>7.0913630672531203E-2</v>
      </c>
      <c r="G58" s="1"/>
      <c r="H58" s="1">
        <f>SUM(OSRRefH22_4x_0)</f>
        <v>13254.35</v>
      </c>
      <c r="I58" s="1"/>
      <c r="J58" s="5">
        <f t="shared" si="35"/>
        <v>2.7833668340716596E-2</v>
      </c>
      <c r="K58" s="1"/>
      <c r="L58" s="1">
        <f t="shared" si="36"/>
        <v>-12861.28</v>
      </c>
      <c r="M58" s="1"/>
      <c r="N58" s="5">
        <f t="shared" si="37"/>
        <v>-0.97034407571853776</v>
      </c>
      <c r="O58" s="14"/>
      <c r="P58" s="1">
        <f>SUM(OSRRefP22_4x_0)</f>
        <v>735.89</v>
      </c>
      <c r="Q58" s="1"/>
      <c r="R58" s="5">
        <f t="shared" si="38"/>
        <v>0.11290379496306299</v>
      </c>
      <c r="S58" s="1"/>
      <c r="T58" s="1">
        <f>SUM(OSRRefT22_4x_0)</f>
        <v>18973.070000000003</v>
      </c>
      <c r="U58" s="1"/>
      <c r="V58" s="5">
        <f t="shared" si="39"/>
        <v>2.6554731972656887E-2</v>
      </c>
      <c r="W58" s="1"/>
      <c r="X58" s="1">
        <f t="shared" si="40"/>
        <v>-18237.180000000004</v>
      </c>
      <c r="Y58" s="1"/>
      <c r="Z58" s="5">
        <f t="shared" si="41"/>
        <v>-0.96121397327896863</v>
      </c>
    </row>
    <row r="59" spans="1:26" s="24" customFormat="1" hidden="1" outlineLevel="2" x14ac:dyDescent="0.25">
      <c r="A59" s="29"/>
      <c r="B59" s="11" t="str">
        <f>CONCATENATE("          ", "6381", " - ", "BANK/CREDIT CARD FEES")</f>
        <v xml:space="preserve">          6381 - BANK/CREDIT CARD FEES</v>
      </c>
      <c r="C59" s="11"/>
      <c r="D59" s="7">
        <v>393.07</v>
      </c>
      <c r="E59" s="2"/>
      <c r="F59" s="6">
        <f t="shared" si="34"/>
        <v>7.0913630672531203E-2</v>
      </c>
      <c r="G59" s="2"/>
      <c r="H59" s="7">
        <v>13254.35</v>
      </c>
      <c r="I59" s="2"/>
      <c r="J59" s="6">
        <f t="shared" si="35"/>
        <v>2.7833668340716596E-2</v>
      </c>
      <c r="K59" s="2"/>
      <c r="L59" s="7">
        <f t="shared" si="36"/>
        <v>-12861.28</v>
      </c>
      <c r="M59" s="2"/>
      <c r="N59" s="6">
        <f t="shared" si="37"/>
        <v>-0.97034407571853776</v>
      </c>
      <c r="O59" s="11"/>
      <c r="P59" s="7">
        <v>735.89</v>
      </c>
      <c r="Q59" s="2"/>
      <c r="R59" s="6">
        <f t="shared" si="38"/>
        <v>0.11290379496306299</v>
      </c>
      <c r="S59" s="2"/>
      <c r="T59" s="7">
        <v>18973.070000000003</v>
      </c>
      <c r="U59" s="2"/>
      <c r="V59" s="6">
        <f t="shared" si="39"/>
        <v>2.6554731972656887E-2</v>
      </c>
      <c r="W59" s="2"/>
      <c r="X59" s="7">
        <f t="shared" si="40"/>
        <v>-18237.180000000004</v>
      </c>
      <c r="Y59" s="2"/>
      <c r="Z59" s="6">
        <f t="shared" si="41"/>
        <v>-0.96121397327896863</v>
      </c>
    </row>
    <row r="60" spans="1:26" s="28" customFormat="1" outlineLevel="1" collapsed="1" x14ac:dyDescent="0.25">
      <c r="A60" s="27"/>
      <c r="B60" s="14" t="str">
        <f>CONCATENATE("     ","Depreciation                                      ")</f>
        <v xml:space="preserve">     Depreciation                                      </v>
      </c>
      <c r="C60" s="14"/>
      <c r="D60" s="1">
        <f>SUM(OSRRefD22_5x_0)</f>
        <v>46962.47</v>
      </c>
      <c r="E60" s="1"/>
      <c r="F60" s="5">
        <f t="shared" si="34"/>
        <v>8.4724839164775396</v>
      </c>
      <c r="G60" s="1"/>
      <c r="H60" s="1">
        <f>SUM(OSRRefH22_5x_0)</f>
        <v>47974.53</v>
      </c>
      <c r="I60" s="1"/>
      <c r="J60" s="5">
        <f t="shared" si="35"/>
        <v>0.10074482391228226</v>
      </c>
      <c r="K60" s="1"/>
      <c r="L60" s="1">
        <f t="shared" si="36"/>
        <v>-1012.0599999999977</v>
      </c>
      <c r="M60" s="1"/>
      <c r="N60" s="5">
        <f t="shared" si="37"/>
        <v>-2.1095777280152567E-2</v>
      </c>
      <c r="O60" s="14"/>
      <c r="P60" s="1">
        <f>SUM(OSRRefP22_5x_0)</f>
        <v>93509.209999999992</v>
      </c>
      <c r="Q60" s="1"/>
      <c r="R60" s="5">
        <f t="shared" si="38"/>
        <v>14.346634242886843</v>
      </c>
      <c r="S60" s="1"/>
      <c r="T60" s="1">
        <f>SUM(OSRRefT22_5x_0)</f>
        <v>95949.06</v>
      </c>
      <c r="U60" s="1"/>
      <c r="V60" s="5">
        <f t="shared" si="39"/>
        <v>0.13429042170446709</v>
      </c>
      <c r="W60" s="1"/>
      <c r="X60" s="1">
        <f t="shared" si="40"/>
        <v>-2439.8500000000058</v>
      </c>
      <c r="Y60" s="1"/>
      <c r="Z60" s="5">
        <f t="shared" si="41"/>
        <v>-2.5428597216064504E-2</v>
      </c>
    </row>
    <row r="61" spans="1:26" s="24" customFormat="1" hidden="1" outlineLevel="2" x14ac:dyDescent="0.25">
      <c r="A61" s="29"/>
      <c r="B61" s="11" t="str">
        <f>CONCATENATE("          ", "6321", " - ", "BUILDING DEPRECIATION")</f>
        <v xml:space="preserve">          6321 - BUILDING DEPRECIATION</v>
      </c>
      <c r="C61" s="11"/>
      <c r="D61" s="7">
        <v>28925.4</v>
      </c>
      <c r="E61" s="2"/>
      <c r="F61" s="6">
        <f t="shared" si="34"/>
        <v>5.2184219926609359</v>
      </c>
      <c r="G61" s="2"/>
      <c r="H61" s="7">
        <v>29123.47</v>
      </c>
      <c r="I61" s="2"/>
      <c r="J61" s="6">
        <f t="shared" si="35"/>
        <v>6.1158261620585665E-2</v>
      </c>
      <c r="K61" s="2"/>
      <c r="L61" s="7">
        <f t="shared" si="36"/>
        <v>-198.06999999999971</v>
      </c>
      <c r="M61" s="2"/>
      <c r="N61" s="6">
        <f t="shared" si="37"/>
        <v>-6.8010439690050564E-3</v>
      </c>
      <c r="O61" s="11"/>
      <c r="P61" s="7">
        <v>57850.8</v>
      </c>
      <c r="Q61" s="2"/>
      <c r="R61" s="6">
        <f t="shared" si="38"/>
        <v>8.87574890493031</v>
      </c>
      <c r="S61" s="2"/>
      <c r="T61" s="7">
        <v>58246.94</v>
      </c>
      <c r="U61" s="2"/>
      <c r="V61" s="6">
        <f t="shared" si="39"/>
        <v>8.1522488449545974E-2</v>
      </c>
      <c r="W61" s="2"/>
      <c r="X61" s="7">
        <f t="shared" si="40"/>
        <v>-396.13999999999942</v>
      </c>
      <c r="Y61" s="2"/>
      <c r="Z61" s="6">
        <f t="shared" si="41"/>
        <v>-6.8010439690050564E-3</v>
      </c>
    </row>
    <row r="62" spans="1:26" s="24" customFormat="1" hidden="1" outlineLevel="2" x14ac:dyDescent="0.25">
      <c r="A62" s="29"/>
      <c r="B62" s="11" t="str">
        <f>CONCATENATE("          ", "6322", " - ", "EQUIPMENT DEPRECIATION EXPENSE")</f>
        <v xml:space="preserve">          6322 - EQUIPMENT DEPRECIATION EXPENSE</v>
      </c>
      <c r="C62" s="11"/>
      <c r="D62" s="7">
        <v>18037.070000000003</v>
      </c>
      <c r="E62" s="2"/>
      <c r="F62" s="6">
        <f t="shared" si="34"/>
        <v>3.2540619238166042</v>
      </c>
      <c r="G62" s="2"/>
      <c r="H62" s="7">
        <v>18426.809999999998</v>
      </c>
      <c r="I62" s="2"/>
      <c r="J62" s="6">
        <f t="shared" si="35"/>
        <v>3.869565222869472E-2</v>
      </c>
      <c r="K62" s="2"/>
      <c r="L62" s="7">
        <f t="shared" si="36"/>
        <v>-389.73999999999432</v>
      </c>
      <c r="M62" s="2"/>
      <c r="N62" s="6">
        <f t="shared" si="37"/>
        <v>-2.1150703784322645E-2</v>
      </c>
      <c r="O62" s="11"/>
      <c r="P62" s="7">
        <v>35658.409999999996</v>
      </c>
      <c r="Q62" s="2"/>
      <c r="R62" s="6">
        <f t="shared" si="38"/>
        <v>5.4708853379565356</v>
      </c>
      <c r="S62" s="2"/>
      <c r="T62" s="7">
        <v>36853.619999999995</v>
      </c>
      <c r="U62" s="2"/>
      <c r="V62" s="6">
        <f t="shared" si="39"/>
        <v>5.1580371617358026E-2</v>
      </c>
      <c r="W62" s="2"/>
      <c r="X62" s="7">
        <f t="shared" si="40"/>
        <v>-1195.2099999999991</v>
      </c>
      <c r="Y62" s="2"/>
      <c r="Z62" s="6">
        <f t="shared" si="41"/>
        <v>-3.2431278121389413E-2</v>
      </c>
    </row>
    <row r="63" spans="1:26" s="24" customFormat="1" hidden="1" outlineLevel="2" x14ac:dyDescent="0.25">
      <c r="A63" s="29"/>
      <c r="B63" s="11" t="str">
        <f>CONCATENATE("          ", "6326", " - ", "VEHICLES DEPRECIATION EXPENSE")</f>
        <v xml:space="preserve">          6326 - VEHICLES DEPRECIATION EXPENSE</v>
      </c>
      <c r="C63" s="11"/>
      <c r="D63" s="7"/>
      <c r="E63" s="2"/>
      <c r="F63" s="6">
        <f t="shared" si="34"/>
        <v>0</v>
      </c>
      <c r="G63" s="2"/>
      <c r="H63" s="7">
        <v>424.25</v>
      </c>
      <c r="I63" s="2"/>
      <c r="J63" s="6">
        <f t="shared" si="35"/>
        <v>8.9091006300188352E-4</v>
      </c>
      <c r="K63" s="2"/>
      <c r="L63" s="7">
        <f t="shared" si="36"/>
        <v>-424.25</v>
      </c>
      <c r="M63" s="2"/>
      <c r="N63" s="6">
        <f t="shared" si="37"/>
        <v>-1</v>
      </c>
      <c r="O63" s="11"/>
      <c r="P63" s="7"/>
      <c r="Q63" s="2"/>
      <c r="R63" s="6">
        <f t="shared" si="38"/>
        <v>0</v>
      </c>
      <c r="S63" s="2"/>
      <c r="T63" s="7">
        <v>848.5</v>
      </c>
      <c r="U63" s="2"/>
      <c r="V63" s="6">
        <f t="shared" si="39"/>
        <v>1.1875616375631021E-3</v>
      </c>
      <c r="W63" s="2"/>
      <c r="X63" s="7">
        <f t="shared" si="40"/>
        <v>-848.5</v>
      </c>
      <c r="Y63" s="2"/>
      <c r="Z63" s="6">
        <f t="shared" si="41"/>
        <v>-1</v>
      </c>
    </row>
    <row r="64" spans="1:26" s="28" customFormat="1" outlineLevel="1" collapsed="1" x14ac:dyDescent="0.25">
      <c r="A64" s="27"/>
      <c r="B64" s="14" t="str">
        <f>CONCATENATE("     ","Discounts and Markdowns                           ")</f>
        <v xml:space="preserve">     Discounts and Markdowns                           </v>
      </c>
      <c r="C64" s="14"/>
      <c r="D64" s="1">
        <f>SUM(OSRRefD22_6x_0)</f>
        <v>0</v>
      </c>
      <c r="E64" s="1"/>
      <c r="F64" s="5">
        <f t="shared" ref="F64:F74" si="42">IF(D$12=0,0,D64/D$12)</f>
        <v>0</v>
      </c>
      <c r="G64" s="1"/>
      <c r="H64" s="1">
        <f>SUM(OSRRefH22_6x_0)</f>
        <v>6.18</v>
      </c>
      <c r="I64" s="1"/>
      <c r="J64" s="5">
        <f t="shared" ref="J64:J74" si="43">IF(H$12=0,0,H64/H$12)</f>
        <v>1.2977782414500035E-5</v>
      </c>
      <c r="K64" s="1"/>
      <c r="L64" s="1">
        <f t="shared" ref="L64:L74" si="44">+D64-H64</f>
        <v>-6.18</v>
      </c>
      <c r="M64" s="1"/>
      <c r="N64" s="5">
        <f t="shared" ref="N64:N74" si="45">IF(H64=0,0,L64/H64)</f>
        <v>-1</v>
      </c>
      <c r="O64" s="14"/>
      <c r="P64" s="1">
        <f>SUM(OSRRefP22_6x_0)</f>
        <v>0</v>
      </c>
      <c r="Q64" s="1"/>
      <c r="R64" s="5">
        <f t="shared" ref="R64:R74" si="46">IF(P$12=0,0,P64/P$12)</f>
        <v>0</v>
      </c>
      <c r="S64" s="1"/>
      <c r="T64" s="1">
        <f>SUM(OSRRefT22_6x_0)</f>
        <v>20.09</v>
      </c>
      <c r="U64" s="1"/>
      <c r="V64" s="5">
        <f t="shared" ref="V64:V74" si="47">IF(T$12=0,0,T64/T$12)</f>
        <v>2.8117988566461664E-5</v>
      </c>
      <c r="W64" s="1"/>
      <c r="X64" s="1">
        <f t="shared" ref="X64:X74" si="48">+P64-T64</f>
        <v>-20.09</v>
      </c>
      <c r="Y64" s="1"/>
      <c r="Z64" s="5">
        <f t="shared" ref="Z64:Z74" si="49">IF(T64=0,0,X64/T64)</f>
        <v>-1</v>
      </c>
    </row>
    <row r="65" spans="1:26" s="24" customFormat="1" hidden="1" outlineLevel="2" x14ac:dyDescent="0.25">
      <c r="A65" s="29"/>
      <c r="B65" s="11" t="str">
        <f>CONCATENATE("          ", "6382", " - ", "DISCOUNTS/MARK DOWNS")</f>
        <v xml:space="preserve">          6382 - DISCOUNTS/MARK DOWNS</v>
      </c>
      <c r="C65" s="11"/>
      <c r="D65" s="7"/>
      <c r="E65" s="2"/>
      <c r="F65" s="6">
        <f t="shared" si="42"/>
        <v>0</v>
      </c>
      <c r="G65" s="2"/>
      <c r="H65" s="7">
        <v>6.18</v>
      </c>
      <c r="I65" s="2"/>
      <c r="J65" s="6">
        <f t="shared" si="43"/>
        <v>1.2977782414500035E-5</v>
      </c>
      <c r="K65" s="2"/>
      <c r="L65" s="7">
        <f t="shared" si="44"/>
        <v>-6.18</v>
      </c>
      <c r="M65" s="2"/>
      <c r="N65" s="6">
        <f t="shared" si="45"/>
        <v>-1</v>
      </c>
      <c r="O65" s="11"/>
      <c r="P65" s="7"/>
      <c r="Q65" s="2"/>
      <c r="R65" s="6">
        <f t="shared" si="46"/>
        <v>0</v>
      </c>
      <c r="S65" s="2"/>
      <c r="T65" s="7">
        <v>20.09</v>
      </c>
      <c r="U65" s="2"/>
      <c r="V65" s="6">
        <f t="shared" si="47"/>
        <v>2.8117988566461664E-5</v>
      </c>
      <c r="W65" s="2"/>
      <c r="X65" s="7">
        <f t="shared" si="48"/>
        <v>-20.09</v>
      </c>
      <c r="Y65" s="2"/>
      <c r="Z65" s="6">
        <f t="shared" si="49"/>
        <v>-1</v>
      </c>
    </row>
    <row r="66" spans="1:26" s="28" customFormat="1" outlineLevel="1" collapsed="1" x14ac:dyDescent="0.25">
      <c r="A66" s="27"/>
      <c r="B66" s="14" t="str">
        <f>CONCATENATE("     ","Employees' Appreciation                           ")</f>
        <v xml:space="preserve">     Employees' Appreciation                           </v>
      </c>
      <c r="C66" s="14"/>
      <c r="D66" s="1">
        <f>SUM(OSRRefD22_7x_0)</f>
        <v>0</v>
      </c>
      <c r="E66" s="1"/>
      <c r="F66" s="5">
        <f t="shared" si="42"/>
        <v>0</v>
      </c>
      <c r="G66" s="1"/>
      <c r="H66" s="1">
        <f>SUM(OSRRefH22_7x_0)</f>
        <v>289.95999999999998</v>
      </c>
      <c r="I66" s="1"/>
      <c r="J66" s="5">
        <f t="shared" si="43"/>
        <v>6.0890579108550654E-4</v>
      </c>
      <c r="K66" s="1"/>
      <c r="L66" s="1">
        <f t="shared" si="44"/>
        <v>-289.95999999999998</v>
      </c>
      <c r="M66" s="1"/>
      <c r="N66" s="5">
        <f t="shared" si="45"/>
        <v>-1</v>
      </c>
      <c r="O66" s="14"/>
      <c r="P66" s="1">
        <f>SUM(OSRRefP22_7x_0)</f>
        <v>0</v>
      </c>
      <c r="Q66" s="1"/>
      <c r="R66" s="5">
        <f t="shared" si="46"/>
        <v>0</v>
      </c>
      <c r="S66" s="1"/>
      <c r="T66" s="1">
        <f>SUM(OSRRefT22_7x_0)</f>
        <v>399.72</v>
      </c>
      <c r="U66" s="1"/>
      <c r="V66" s="5">
        <f t="shared" si="47"/>
        <v>5.5944860078576688E-4</v>
      </c>
      <c r="W66" s="1"/>
      <c r="X66" s="1">
        <f t="shared" si="48"/>
        <v>-399.72</v>
      </c>
      <c r="Y66" s="1"/>
      <c r="Z66" s="5">
        <f t="shared" si="49"/>
        <v>-1</v>
      </c>
    </row>
    <row r="67" spans="1:26" s="24" customFormat="1" hidden="1" outlineLevel="2" x14ac:dyDescent="0.25">
      <c r="A67" s="29"/>
      <c r="B67" s="11" t="str">
        <f>CONCATENATE("          ", "6277", " - ", "EMPLOYEE APPRECIATION")</f>
        <v xml:space="preserve">          6277 - EMPLOYEE APPRECIATION</v>
      </c>
      <c r="C67" s="11"/>
      <c r="D67" s="7"/>
      <c r="E67" s="2"/>
      <c r="F67" s="6">
        <f t="shared" si="42"/>
        <v>0</v>
      </c>
      <c r="G67" s="2"/>
      <c r="H67" s="7">
        <v>289.95999999999998</v>
      </c>
      <c r="I67" s="2"/>
      <c r="J67" s="6">
        <f t="shared" si="43"/>
        <v>6.0890579108550654E-4</v>
      </c>
      <c r="K67" s="2"/>
      <c r="L67" s="7">
        <f t="shared" si="44"/>
        <v>-289.95999999999998</v>
      </c>
      <c r="M67" s="2"/>
      <c r="N67" s="6">
        <f t="shared" si="45"/>
        <v>-1</v>
      </c>
      <c r="O67" s="11"/>
      <c r="P67" s="7"/>
      <c r="Q67" s="2"/>
      <c r="R67" s="6">
        <f t="shared" si="46"/>
        <v>0</v>
      </c>
      <c r="S67" s="2"/>
      <c r="T67" s="7">
        <v>399.72</v>
      </c>
      <c r="U67" s="2"/>
      <c r="V67" s="6">
        <f t="shared" si="47"/>
        <v>5.5944860078576688E-4</v>
      </c>
      <c r="W67" s="2"/>
      <c r="X67" s="7">
        <f t="shared" si="48"/>
        <v>-399.72</v>
      </c>
      <c r="Y67" s="2"/>
      <c r="Z67" s="6">
        <f t="shared" si="49"/>
        <v>-1</v>
      </c>
    </row>
    <row r="68" spans="1:26" s="28" customFormat="1" outlineLevel="1" collapsed="1" x14ac:dyDescent="0.25">
      <c r="A68" s="27"/>
      <c r="B68" s="14" t="str">
        <f>CONCATENATE("     ","Equipment Rental                                  ")</f>
        <v xml:space="preserve">     Equipment Rental                                  </v>
      </c>
      <c r="C68" s="14"/>
      <c r="D68" s="1">
        <f>SUM(OSRRefD22_8x_0)</f>
        <v>163.80000000000001</v>
      </c>
      <c r="E68" s="1"/>
      <c r="F68" s="5">
        <f t="shared" si="42"/>
        <v>2.9551104648435678E-2</v>
      </c>
      <c r="G68" s="1"/>
      <c r="H68" s="1">
        <f>SUM(OSRRefH22_8x_0)</f>
        <v>2773.64</v>
      </c>
      <c r="I68" s="1"/>
      <c r="J68" s="5">
        <f t="shared" si="43"/>
        <v>5.8245463456559673E-3</v>
      </c>
      <c r="K68" s="1"/>
      <c r="L68" s="1">
        <f t="shared" si="44"/>
        <v>-2609.8399999999997</v>
      </c>
      <c r="M68" s="1"/>
      <c r="N68" s="5">
        <f t="shared" si="45"/>
        <v>-0.94094403022742668</v>
      </c>
      <c r="O68" s="14"/>
      <c r="P68" s="1">
        <f>SUM(OSRRefP22_8x_0)</f>
        <v>1032.75</v>
      </c>
      <c r="Q68" s="1"/>
      <c r="R68" s="5">
        <f t="shared" si="46"/>
        <v>0.15844948871176848</v>
      </c>
      <c r="S68" s="1"/>
      <c r="T68" s="1">
        <f>SUM(OSRRefT22_8x_0)</f>
        <v>4458.12</v>
      </c>
      <c r="U68" s="1"/>
      <c r="V68" s="5">
        <f t="shared" si="47"/>
        <v>6.2395902034800433E-3</v>
      </c>
      <c r="W68" s="1"/>
      <c r="X68" s="1">
        <f t="shared" si="48"/>
        <v>-3425.37</v>
      </c>
      <c r="Y68" s="1"/>
      <c r="Z68" s="5">
        <f t="shared" si="49"/>
        <v>-0.76834405534171357</v>
      </c>
    </row>
    <row r="69" spans="1:26" s="24" customFormat="1" hidden="1" outlineLevel="2" x14ac:dyDescent="0.25">
      <c r="A69" s="29"/>
      <c r="B69" s="11" t="str">
        <f>CONCATENATE("          ", "6351", " - ", "EQUIPMENT RENTAL")</f>
        <v xml:space="preserve">          6351 - EQUIPMENT RENTAL</v>
      </c>
      <c r="C69" s="11"/>
      <c r="D69" s="7">
        <v>163.80000000000001</v>
      </c>
      <c r="E69" s="2"/>
      <c r="F69" s="6">
        <f t="shared" si="42"/>
        <v>2.9551104648435678E-2</v>
      </c>
      <c r="G69" s="2"/>
      <c r="H69" s="7">
        <v>2773.64</v>
      </c>
      <c r="I69" s="2"/>
      <c r="J69" s="6">
        <f t="shared" si="43"/>
        <v>5.8245463456559673E-3</v>
      </c>
      <c r="K69" s="2"/>
      <c r="L69" s="7">
        <f t="shared" si="44"/>
        <v>-2609.8399999999997</v>
      </c>
      <c r="M69" s="2"/>
      <c r="N69" s="6">
        <f t="shared" si="45"/>
        <v>-0.94094403022742668</v>
      </c>
      <c r="O69" s="11"/>
      <c r="P69" s="7">
        <v>1032.75</v>
      </c>
      <c r="Q69" s="2"/>
      <c r="R69" s="6">
        <f t="shared" si="46"/>
        <v>0.15844948871176848</v>
      </c>
      <c r="S69" s="2"/>
      <c r="T69" s="7">
        <v>4458.12</v>
      </c>
      <c r="U69" s="2"/>
      <c r="V69" s="6">
        <f t="shared" si="47"/>
        <v>6.2395902034800433E-3</v>
      </c>
      <c r="W69" s="2"/>
      <c r="X69" s="7">
        <f t="shared" si="48"/>
        <v>-3425.37</v>
      </c>
      <c r="Y69" s="2"/>
      <c r="Z69" s="6">
        <f t="shared" si="49"/>
        <v>-0.76834405534171357</v>
      </c>
    </row>
    <row r="70" spans="1:26" s="28" customFormat="1" outlineLevel="1" collapsed="1" x14ac:dyDescent="0.25">
      <c r="A70" s="27"/>
      <c r="B70" s="14" t="str">
        <f>CONCATENATE("     ","Freight out/Postage                               ")</f>
        <v xml:space="preserve">     Freight out/Postage                               </v>
      </c>
      <c r="C70" s="14"/>
      <c r="D70" s="1">
        <f>SUM(OSRRefD22_9x_0)</f>
        <v>3.94</v>
      </c>
      <c r="E70" s="1"/>
      <c r="F70" s="5">
        <f t="shared" si="42"/>
        <v>7.1081411669619387E-4</v>
      </c>
      <c r="G70" s="1"/>
      <c r="H70" s="1">
        <f>SUM(OSRRefH22_9x_0)</f>
        <v>44.96</v>
      </c>
      <c r="I70" s="1"/>
      <c r="J70" s="5">
        <f t="shared" si="43"/>
        <v>9.4414417047883757E-5</v>
      </c>
      <c r="K70" s="1"/>
      <c r="L70" s="1">
        <f t="shared" si="44"/>
        <v>-41.02</v>
      </c>
      <c r="M70" s="1"/>
      <c r="N70" s="5">
        <f t="shared" si="45"/>
        <v>-0.91236654804270467</v>
      </c>
      <c r="O70" s="14"/>
      <c r="P70" s="1">
        <f>SUM(OSRRefP22_9x_0)</f>
        <v>3.94</v>
      </c>
      <c r="Q70" s="1"/>
      <c r="R70" s="5">
        <f t="shared" si="46"/>
        <v>6.0449381314390497E-4</v>
      </c>
      <c r="S70" s="1"/>
      <c r="T70" s="1">
        <f>SUM(OSRRefT22_9x_0)</f>
        <v>116.65</v>
      </c>
      <c r="U70" s="1"/>
      <c r="V70" s="5">
        <f t="shared" si="47"/>
        <v>1.6326348264199866E-4</v>
      </c>
      <c r="W70" s="1"/>
      <c r="X70" s="1">
        <f t="shared" si="48"/>
        <v>-112.71000000000001</v>
      </c>
      <c r="Y70" s="1"/>
      <c r="Z70" s="5">
        <f t="shared" si="49"/>
        <v>-0.96622374624946428</v>
      </c>
    </row>
    <row r="71" spans="1:26" s="24" customFormat="1" hidden="1" outlineLevel="2" x14ac:dyDescent="0.25">
      <c r="A71" s="29"/>
      <c r="B71" s="11" t="str">
        <f>CONCATENATE("          ", "6305", " - ", "FREIGHT OUT")</f>
        <v xml:space="preserve">          6305 - FREIGHT OUT</v>
      </c>
      <c r="C71" s="11"/>
      <c r="D71" s="7">
        <v>3.94</v>
      </c>
      <c r="E71" s="2"/>
      <c r="F71" s="6">
        <f t="shared" si="42"/>
        <v>7.1081411669619387E-4</v>
      </c>
      <c r="G71" s="2"/>
      <c r="H71" s="7">
        <v>44.96</v>
      </c>
      <c r="I71" s="2"/>
      <c r="J71" s="6">
        <f t="shared" si="43"/>
        <v>9.4414417047883757E-5</v>
      </c>
      <c r="K71" s="2"/>
      <c r="L71" s="7">
        <f t="shared" si="44"/>
        <v>-41.02</v>
      </c>
      <c r="M71" s="2"/>
      <c r="N71" s="6">
        <f t="shared" si="45"/>
        <v>-0.91236654804270467</v>
      </c>
      <c r="O71" s="11"/>
      <c r="P71" s="7">
        <v>3.94</v>
      </c>
      <c r="Q71" s="2"/>
      <c r="R71" s="6">
        <f t="shared" si="46"/>
        <v>6.0449381314390497E-4</v>
      </c>
      <c r="S71" s="2"/>
      <c r="T71" s="7">
        <v>116.65</v>
      </c>
      <c r="U71" s="2"/>
      <c r="V71" s="6">
        <f t="shared" si="47"/>
        <v>1.6326348264199866E-4</v>
      </c>
      <c r="W71" s="2"/>
      <c r="X71" s="7">
        <f t="shared" si="48"/>
        <v>-112.71000000000001</v>
      </c>
      <c r="Y71" s="2"/>
      <c r="Z71" s="6">
        <f t="shared" si="49"/>
        <v>-0.96622374624946428</v>
      </c>
    </row>
    <row r="72" spans="1:26" s="28" customFormat="1" outlineLevel="1" collapsed="1" x14ac:dyDescent="0.25">
      <c r="A72" s="27"/>
      <c r="B72" s="14" t="str">
        <f>CONCATENATE("     ","General                                           ")</f>
        <v xml:space="preserve">     General                                           </v>
      </c>
      <c r="C72" s="14"/>
      <c r="D72" s="1">
        <f>SUM(OSRRefD22_10x_0)</f>
        <v>-1107.27</v>
      </c>
      <c r="E72" s="1"/>
      <c r="F72" s="5">
        <f t="shared" si="42"/>
        <v>-0.19976222004928798</v>
      </c>
      <c r="G72" s="1"/>
      <c r="H72" s="1">
        <f>SUM(OSRRefH22_10x_0)</f>
        <v>4577.67</v>
      </c>
      <c r="I72" s="1"/>
      <c r="J72" s="5">
        <f t="shared" si="43"/>
        <v>9.6129458293502234E-3</v>
      </c>
      <c r="K72" s="1"/>
      <c r="L72" s="1">
        <f t="shared" si="44"/>
        <v>-5684.9400000000005</v>
      </c>
      <c r="M72" s="1"/>
      <c r="N72" s="5">
        <f t="shared" si="45"/>
        <v>-1.2418850637988323</v>
      </c>
      <c r="O72" s="14"/>
      <c r="P72" s="1">
        <f>SUM(OSRRefP22_10x_0)</f>
        <v>4725.03</v>
      </c>
      <c r="Q72" s="1"/>
      <c r="R72" s="5">
        <f t="shared" si="46"/>
        <v>0.72493690404044286</v>
      </c>
      <c r="S72" s="1"/>
      <c r="T72" s="1">
        <f>SUM(OSRRefT22_10x_0)</f>
        <v>26619.52</v>
      </c>
      <c r="U72" s="1"/>
      <c r="V72" s="5">
        <f t="shared" si="47"/>
        <v>3.7256712742891863E-2</v>
      </c>
      <c r="W72" s="1"/>
      <c r="X72" s="1">
        <f t="shared" si="48"/>
        <v>-21894.49</v>
      </c>
      <c r="Y72" s="1"/>
      <c r="Z72" s="5">
        <f t="shared" si="49"/>
        <v>-0.82249755066958385</v>
      </c>
    </row>
    <row r="73" spans="1:26" s="24" customFormat="1" hidden="1" outlineLevel="2" x14ac:dyDescent="0.25">
      <c r="A73" s="29"/>
      <c r="B73" s="11" t="str">
        <f>CONCATENATE("          ", "6269", " - ", "ENTERTAINMENT")</f>
        <v xml:space="preserve">          6269 - ENTERTAINMENT</v>
      </c>
      <c r="C73" s="11"/>
      <c r="D73" s="7"/>
      <c r="E73" s="2"/>
      <c r="F73" s="6">
        <f t="shared" si="42"/>
        <v>0</v>
      </c>
      <c r="G73" s="2"/>
      <c r="H73" s="7">
        <v>2600</v>
      </c>
      <c r="I73" s="2"/>
      <c r="J73" s="6">
        <f t="shared" si="43"/>
        <v>5.4599084591747723E-3</v>
      </c>
      <c r="K73" s="2"/>
      <c r="L73" s="7">
        <f t="shared" si="44"/>
        <v>-2600</v>
      </c>
      <c r="M73" s="2"/>
      <c r="N73" s="6">
        <f t="shared" si="45"/>
        <v>-1</v>
      </c>
      <c r="O73" s="11"/>
      <c r="P73" s="7"/>
      <c r="Q73" s="2"/>
      <c r="R73" s="6">
        <f t="shared" si="46"/>
        <v>0</v>
      </c>
      <c r="S73" s="2"/>
      <c r="T73" s="7">
        <v>2600</v>
      </c>
      <c r="U73" s="2"/>
      <c r="V73" s="6">
        <f t="shared" si="47"/>
        <v>3.6389631793330175E-3</v>
      </c>
      <c r="W73" s="2"/>
      <c r="X73" s="7">
        <f t="shared" si="48"/>
        <v>-2600</v>
      </c>
      <c r="Y73" s="2"/>
      <c r="Z73" s="6">
        <f t="shared" si="49"/>
        <v>-1</v>
      </c>
    </row>
    <row r="74" spans="1:26" s="24" customFormat="1" hidden="1" outlineLevel="2" x14ac:dyDescent="0.25">
      <c r="A74" s="29"/>
      <c r="B74" s="11" t="str">
        <f>CONCATENATE("          ", "6279", " - ", "GENERAL EXPENSE")</f>
        <v xml:space="preserve">          6279 - GENERAL EXPENSE</v>
      </c>
      <c r="C74" s="11"/>
      <c r="D74" s="7">
        <v>-1107.27</v>
      </c>
      <c r="E74" s="2"/>
      <c r="F74" s="6">
        <f t="shared" si="42"/>
        <v>-0.19976222004928798</v>
      </c>
      <c r="G74" s="2"/>
      <c r="H74" s="7">
        <v>1977.67</v>
      </c>
      <c r="I74" s="2"/>
      <c r="J74" s="6">
        <f t="shared" si="43"/>
        <v>4.1530373701754511E-3</v>
      </c>
      <c r="K74" s="2"/>
      <c r="L74" s="7">
        <f t="shared" si="44"/>
        <v>-3084.94</v>
      </c>
      <c r="M74" s="2"/>
      <c r="N74" s="6">
        <f t="shared" si="45"/>
        <v>-1.5598861286261105</v>
      </c>
      <c r="O74" s="11"/>
      <c r="P74" s="7">
        <v>4725.03</v>
      </c>
      <c r="Q74" s="2"/>
      <c r="R74" s="6">
        <f t="shared" si="46"/>
        <v>0.72493690404044286</v>
      </c>
      <c r="S74" s="2"/>
      <c r="T74" s="7">
        <v>24019.52</v>
      </c>
      <c r="U74" s="2"/>
      <c r="V74" s="6">
        <f t="shared" si="47"/>
        <v>3.3617749563558848E-2</v>
      </c>
      <c r="W74" s="2"/>
      <c r="X74" s="7">
        <f t="shared" si="48"/>
        <v>-19294.490000000002</v>
      </c>
      <c r="Y74" s="2"/>
      <c r="Z74" s="6">
        <f t="shared" si="49"/>
        <v>-0.80328374588667883</v>
      </c>
    </row>
    <row r="75" spans="1:26" s="28" customFormat="1" outlineLevel="1" collapsed="1" x14ac:dyDescent="0.25">
      <c r="A75" s="27"/>
      <c r="B75" s="14" t="str">
        <f>CONCATENATE("     ","Insurance                                         ")</f>
        <v xml:space="preserve">     Insurance                                         </v>
      </c>
      <c r="C75" s="14"/>
      <c r="D75" s="1">
        <f>SUM(OSRRefD22_11x_0)</f>
        <v>4483.67</v>
      </c>
      <c r="E75" s="1"/>
      <c r="F75" s="5">
        <f t="shared" ref="F75:F85" si="50">IF(D$12=0,0,D75/D$12)</f>
        <v>0.80889744431655419</v>
      </c>
      <c r="G75" s="1"/>
      <c r="H75" s="1">
        <f>SUM(OSRRefH22_11x_0)</f>
        <v>4483.67</v>
      </c>
      <c r="I75" s="1"/>
      <c r="J75" s="5">
        <f t="shared" ref="J75:J85" si="51">IF(H$12=0,0,H75/H$12)</f>
        <v>9.415549138903136E-3</v>
      </c>
      <c r="K75" s="1"/>
      <c r="L75" s="1">
        <f t="shared" ref="L75:L85" si="52">+D75-H75</f>
        <v>0</v>
      </c>
      <c r="M75" s="1"/>
      <c r="N75" s="5">
        <f t="shared" ref="N75:N85" si="53">IF(H75=0,0,L75/H75)</f>
        <v>0</v>
      </c>
      <c r="O75" s="14"/>
      <c r="P75" s="1">
        <f>SUM(OSRRefP22_11x_0)</f>
        <v>8967.34</v>
      </c>
      <c r="Q75" s="1"/>
      <c r="R75" s="5">
        <f t="shared" ref="R75:R85" si="54">IF(P$12=0,0,P75/P$12)</f>
        <v>1.3758125762329605</v>
      </c>
      <c r="S75" s="1"/>
      <c r="T75" s="1">
        <f>SUM(OSRRefT22_11x_0)</f>
        <v>8967.34</v>
      </c>
      <c r="U75" s="1"/>
      <c r="V75" s="5">
        <f t="shared" ref="V75:V85" si="55">IF(T$12=0,0,T75/T$12)</f>
        <v>1.2550700029446209E-2</v>
      </c>
      <c r="W75" s="1"/>
      <c r="X75" s="1">
        <f t="shared" ref="X75:X85" si="56">+P75-T75</f>
        <v>0</v>
      </c>
      <c r="Y75" s="1"/>
      <c r="Z75" s="5">
        <f t="shared" ref="Z75:Z85" si="57">IF(T75=0,0,X75/T75)</f>
        <v>0</v>
      </c>
    </row>
    <row r="76" spans="1:26" s="24" customFormat="1" hidden="1" outlineLevel="2" x14ac:dyDescent="0.25">
      <c r="A76" s="29"/>
      <c r="B76" s="11" t="str">
        <f>CONCATENATE("          ", "6314", " - ", "LIABILITY INSURANCE")</f>
        <v xml:space="preserve">          6314 - LIABILITY INSURANCE</v>
      </c>
      <c r="C76" s="11"/>
      <c r="D76" s="7">
        <v>4483.67</v>
      </c>
      <c r="E76" s="2"/>
      <c r="F76" s="6">
        <f t="shared" si="50"/>
        <v>0.80889744431655419</v>
      </c>
      <c r="G76" s="2"/>
      <c r="H76" s="7">
        <v>4483.67</v>
      </c>
      <c r="I76" s="2"/>
      <c r="J76" s="6">
        <f t="shared" si="51"/>
        <v>9.415549138903136E-3</v>
      </c>
      <c r="K76" s="2"/>
      <c r="L76" s="7">
        <f t="shared" si="52"/>
        <v>0</v>
      </c>
      <c r="M76" s="2"/>
      <c r="N76" s="6">
        <f t="shared" si="53"/>
        <v>0</v>
      </c>
      <c r="O76" s="11"/>
      <c r="P76" s="7">
        <v>8967.34</v>
      </c>
      <c r="Q76" s="2"/>
      <c r="R76" s="6">
        <f t="shared" si="54"/>
        <v>1.3758125762329605</v>
      </c>
      <c r="S76" s="2"/>
      <c r="T76" s="7">
        <v>8967.34</v>
      </c>
      <c r="U76" s="2"/>
      <c r="V76" s="6">
        <f t="shared" si="55"/>
        <v>1.2550700029446209E-2</v>
      </c>
      <c r="W76" s="2"/>
      <c r="X76" s="7">
        <f t="shared" si="56"/>
        <v>0</v>
      </c>
      <c r="Y76" s="2"/>
      <c r="Z76" s="6">
        <f t="shared" si="57"/>
        <v>0</v>
      </c>
    </row>
    <row r="77" spans="1:26" s="28" customFormat="1" outlineLevel="1" collapsed="1" x14ac:dyDescent="0.25">
      <c r="A77" s="27"/>
      <c r="B77" s="14" t="str">
        <f>CONCATENATE("     ","Interest                                          ")</f>
        <v xml:space="preserve">     Interest                                          </v>
      </c>
      <c r="C77" s="14"/>
      <c r="D77" s="1">
        <f>SUM(OSRRefD22_12x_0)</f>
        <v>11554</v>
      </c>
      <c r="E77" s="1"/>
      <c r="F77" s="5">
        <f t="shared" si="50"/>
        <v>2.0844533767278741</v>
      </c>
      <c r="G77" s="1"/>
      <c r="H77" s="1">
        <f>SUM(OSRRefH22_12x_0)</f>
        <v>11740</v>
      </c>
      <c r="I77" s="1"/>
      <c r="J77" s="5">
        <f t="shared" si="51"/>
        <v>2.465358665796609E-2</v>
      </c>
      <c r="K77" s="1"/>
      <c r="L77" s="1">
        <f t="shared" si="52"/>
        <v>-186</v>
      </c>
      <c r="M77" s="1"/>
      <c r="N77" s="5">
        <f t="shared" si="53"/>
        <v>-1.5843270868824533E-2</v>
      </c>
      <c r="O77" s="14"/>
      <c r="P77" s="1">
        <f>SUM(OSRRefP22_12x_0)</f>
        <v>23108</v>
      </c>
      <c r="Q77" s="1"/>
      <c r="R77" s="5">
        <f t="shared" si="54"/>
        <v>3.5453408716064354</v>
      </c>
      <c r="S77" s="1"/>
      <c r="T77" s="1">
        <f>SUM(OSRRefT22_12x_0)</f>
        <v>23480</v>
      </c>
      <c r="U77" s="1"/>
      <c r="V77" s="5">
        <f t="shared" si="55"/>
        <v>3.2862636711822789E-2</v>
      </c>
      <c r="W77" s="1"/>
      <c r="X77" s="1">
        <f t="shared" si="56"/>
        <v>-372</v>
      </c>
      <c r="Y77" s="1"/>
      <c r="Z77" s="5">
        <f t="shared" si="57"/>
        <v>-1.5843270868824533E-2</v>
      </c>
    </row>
    <row r="78" spans="1:26" s="24" customFormat="1" hidden="1" outlineLevel="2" x14ac:dyDescent="0.25">
      <c r="A78" s="29"/>
      <c r="B78" s="11" t="str">
        <f>CONCATENATE("          ", "6401", " - ", "INTEREST EXPENSE")</f>
        <v xml:space="preserve">          6401 - INTEREST EXPENSE</v>
      </c>
      <c r="C78" s="11"/>
      <c r="D78" s="7">
        <v>11554</v>
      </c>
      <c r="E78" s="2"/>
      <c r="F78" s="6">
        <f t="shared" si="50"/>
        <v>2.0844533767278741</v>
      </c>
      <c r="G78" s="2"/>
      <c r="H78" s="7">
        <v>11740</v>
      </c>
      <c r="I78" s="2"/>
      <c r="J78" s="6">
        <f t="shared" si="51"/>
        <v>2.465358665796609E-2</v>
      </c>
      <c r="K78" s="2"/>
      <c r="L78" s="7">
        <f t="shared" si="52"/>
        <v>-186</v>
      </c>
      <c r="M78" s="2"/>
      <c r="N78" s="6">
        <f t="shared" si="53"/>
        <v>-1.5843270868824533E-2</v>
      </c>
      <c r="O78" s="11"/>
      <c r="P78" s="7">
        <v>23108</v>
      </c>
      <c r="Q78" s="2"/>
      <c r="R78" s="6">
        <f t="shared" si="54"/>
        <v>3.5453408716064354</v>
      </c>
      <c r="S78" s="2"/>
      <c r="T78" s="7">
        <v>23480</v>
      </c>
      <c r="U78" s="2"/>
      <c r="V78" s="6">
        <f t="shared" si="55"/>
        <v>3.2862636711822789E-2</v>
      </c>
      <c r="W78" s="2"/>
      <c r="X78" s="7">
        <f t="shared" si="56"/>
        <v>-372</v>
      </c>
      <c r="Y78" s="2"/>
      <c r="Z78" s="6">
        <f t="shared" si="57"/>
        <v>-1.5843270868824533E-2</v>
      </c>
    </row>
    <row r="79" spans="1:26" s="28" customFormat="1" outlineLevel="1" collapsed="1" x14ac:dyDescent="0.25">
      <c r="A79" s="27"/>
      <c r="B79" s="14" t="str">
        <f>CONCATENATE("     ","Professional Services                             ")</f>
        <v xml:space="preserve">     Professional Services                             </v>
      </c>
      <c r="C79" s="14"/>
      <c r="D79" s="1">
        <f>SUM(OSRRefD22_13x_0)</f>
        <v>0</v>
      </c>
      <c r="E79" s="1"/>
      <c r="F79" s="5">
        <f t="shared" si="50"/>
        <v>0</v>
      </c>
      <c r="G79" s="1"/>
      <c r="H79" s="1">
        <f>SUM(OSRRefH22_13x_0)</f>
        <v>125</v>
      </c>
      <c r="I79" s="1"/>
      <c r="J79" s="5">
        <f t="shared" si="51"/>
        <v>2.6249559899878716E-4</v>
      </c>
      <c r="K79" s="1"/>
      <c r="L79" s="1">
        <f t="shared" si="52"/>
        <v>-125</v>
      </c>
      <c r="M79" s="1"/>
      <c r="N79" s="5">
        <f t="shared" si="53"/>
        <v>-1</v>
      </c>
      <c r="O79" s="14"/>
      <c r="P79" s="1">
        <f>SUM(OSRRefP22_13x_0)</f>
        <v>0</v>
      </c>
      <c r="Q79" s="1"/>
      <c r="R79" s="5">
        <f t="shared" si="54"/>
        <v>0</v>
      </c>
      <c r="S79" s="1"/>
      <c r="T79" s="1">
        <f>SUM(OSRRefT22_13x_0)</f>
        <v>125</v>
      </c>
      <c r="U79" s="1"/>
      <c r="V79" s="5">
        <f t="shared" si="55"/>
        <v>1.7495015285254892E-4</v>
      </c>
      <c r="W79" s="1"/>
      <c r="X79" s="1">
        <f t="shared" si="56"/>
        <v>-125</v>
      </c>
      <c r="Y79" s="1"/>
      <c r="Z79" s="5">
        <f t="shared" si="57"/>
        <v>-1</v>
      </c>
    </row>
    <row r="80" spans="1:26" s="24" customFormat="1" hidden="1" outlineLevel="2" x14ac:dyDescent="0.25">
      <c r="A80" s="29"/>
      <c r="B80" s="11" t="str">
        <f>CONCATENATE("          ", "6336", " - ", "PROFESSIONAL SERVICES")</f>
        <v xml:space="preserve">          6336 - PROFESSIONAL SERVICES</v>
      </c>
      <c r="C80" s="11"/>
      <c r="D80" s="7"/>
      <c r="E80" s="2"/>
      <c r="F80" s="6">
        <f t="shared" si="50"/>
        <v>0</v>
      </c>
      <c r="G80" s="2"/>
      <c r="H80" s="7">
        <v>125</v>
      </c>
      <c r="I80" s="2"/>
      <c r="J80" s="6">
        <f t="shared" si="51"/>
        <v>2.6249559899878716E-4</v>
      </c>
      <c r="K80" s="2"/>
      <c r="L80" s="7">
        <f t="shared" si="52"/>
        <v>-125</v>
      </c>
      <c r="M80" s="2"/>
      <c r="N80" s="6">
        <f t="shared" si="53"/>
        <v>-1</v>
      </c>
      <c r="O80" s="11"/>
      <c r="P80" s="7"/>
      <c r="Q80" s="2"/>
      <c r="R80" s="6">
        <f t="shared" si="54"/>
        <v>0</v>
      </c>
      <c r="S80" s="2"/>
      <c r="T80" s="7">
        <v>125</v>
      </c>
      <c r="U80" s="2"/>
      <c r="V80" s="6">
        <f t="shared" si="55"/>
        <v>1.7495015285254892E-4</v>
      </c>
      <c r="W80" s="2"/>
      <c r="X80" s="7">
        <f t="shared" si="56"/>
        <v>-125</v>
      </c>
      <c r="Y80" s="2"/>
      <c r="Z80" s="6">
        <f t="shared" si="57"/>
        <v>-1</v>
      </c>
    </row>
    <row r="81" spans="1:26" s="28" customFormat="1" outlineLevel="1" collapsed="1" x14ac:dyDescent="0.25">
      <c r="A81" s="27"/>
      <c r="B81" s="14" t="str">
        <f>CONCATENATE("     ","Rent                                              ")</f>
        <v xml:space="preserve">     Rent                                              </v>
      </c>
      <c r="C81" s="14"/>
      <c r="D81" s="1">
        <f>SUM(OSRRefD22_14x_0)</f>
        <v>0</v>
      </c>
      <c r="E81" s="1"/>
      <c r="F81" s="5">
        <f t="shared" si="50"/>
        <v>0</v>
      </c>
      <c r="G81" s="1"/>
      <c r="H81" s="1">
        <f>SUM(OSRRefH22_14x_0)</f>
        <v>3000</v>
      </c>
      <c r="I81" s="1"/>
      <c r="J81" s="5">
        <f t="shared" si="51"/>
        <v>6.299894375970891E-3</v>
      </c>
      <c r="K81" s="1"/>
      <c r="L81" s="1">
        <f t="shared" si="52"/>
        <v>-3000</v>
      </c>
      <c r="M81" s="1"/>
      <c r="N81" s="5">
        <f t="shared" si="53"/>
        <v>-1</v>
      </c>
      <c r="O81" s="14"/>
      <c r="P81" s="1">
        <f>SUM(OSRRefP22_14x_0)</f>
        <v>0</v>
      </c>
      <c r="Q81" s="1"/>
      <c r="R81" s="5">
        <f t="shared" si="54"/>
        <v>0</v>
      </c>
      <c r="S81" s="1"/>
      <c r="T81" s="1">
        <f>SUM(OSRRefT22_14x_0)</f>
        <v>6000</v>
      </c>
      <c r="U81" s="1"/>
      <c r="V81" s="5">
        <f t="shared" si="55"/>
        <v>8.397607336922349E-3</v>
      </c>
      <c r="W81" s="1"/>
      <c r="X81" s="1">
        <f t="shared" si="56"/>
        <v>-6000</v>
      </c>
      <c r="Y81" s="1"/>
      <c r="Z81" s="5">
        <f t="shared" si="57"/>
        <v>-1</v>
      </c>
    </row>
    <row r="82" spans="1:26" s="24" customFormat="1" hidden="1" outlineLevel="2" x14ac:dyDescent="0.25">
      <c r="A82" s="29"/>
      <c r="B82" s="11" t="str">
        <f>CONCATENATE("          ", "6273", " - ", "RENT")</f>
        <v xml:space="preserve">          6273 - RENT</v>
      </c>
      <c r="C82" s="11"/>
      <c r="D82" s="7"/>
      <c r="E82" s="2"/>
      <c r="F82" s="6">
        <f t="shared" si="50"/>
        <v>0</v>
      </c>
      <c r="G82" s="2"/>
      <c r="H82" s="7">
        <v>3000</v>
      </c>
      <c r="I82" s="2"/>
      <c r="J82" s="6">
        <f t="shared" si="51"/>
        <v>6.299894375970891E-3</v>
      </c>
      <c r="K82" s="2"/>
      <c r="L82" s="7">
        <f t="shared" si="52"/>
        <v>-3000</v>
      </c>
      <c r="M82" s="2"/>
      <c r="N82" s="6">
        <f t="shared" si="53"/>
        <v>-1</v>
      </c>
      <c r="O82" s="11"/>
      <c r="P82" s="7"/>
      <c r="Q82" s="2"/>
      <c r="R82" s="6">
        <f t="shared" si="54"/>
        <v>0</v>
      </c>
      <c r="S82" s="2"/>
      <c r="T82" s="7">
        <v>6000</v>
      </c>
      <c r="U82" s="2"/>
      <c r="V82" s="6">
        <f t="shared" si="55"/>
        <v>8.397607336922349E-3</v>
      </c>
      <c r="W82" s="2"/>
      <c r="X82" s="7">
        <f t="shared" si="56"/>
        <v>-6000</v>
      </c>
      <c r="Y82" s="2"/>
      <c r="Z82" s="6">
        <f t="shared" si="57"/>
        <v>-1</v>
      </c>
    </row>
    <row r="83" spans="1:26" s="28" customFormat="1" outlineLevel="1" collapsed="1" x14ac:dyDescent="0.25">
      <c r="A83" s="27"/>
      <c r="B83" s="14" t="str">
        <f>CONCATENATE("     ","Repair and Maintenance                            ")</f>
        <v xml:space="preserve">     Repair and Maintenance                            </v>
      </c>
      <c r="C83" s="14"/>
      <c r="D83" s="1">
        <f>SUM(OSRRefD22_15x_0)</f>
        <v>4732.46</v>
      </c>
      <c r="E83" s="1"/>
      <c r="F83" s="5">
        <f t="shared" si="50"/>
        <v>0.85378156718275877</v>
      </c>
      <c r="G83" s="1"/>
      <c r="H83" s="1">
        <f>SUM(OSRRefH22_15x_0)</f>
        <v>23172.27</v>
      </c>
      <c r="I83" s="1"/>
      <c r="J83" s="5">
        <f t="shared" si="51"/>
        <v>4.8660951150493001E-2</v>
      </c>
      <c r="K83" s="1"/>
      <c r="L83" s="1">
        <f t="shared" si="52"/>
        <v>-18439.810000000001</v>
      </c>
      <c r="M83" s="1"/>
      <c r="N83" s="5">
        <f t="shared" si="53"/>
        <v>-0.79577054815950277</v>
      </c>
      <c r="O83" s="14"/>
      <c r="P83" s="1">
        <f>SUM(OSRRefP22_15x_0)</f>
        <v>8956.869999999999</v>
      </c>
      <c r="Q83" s="1"/>
      <c r="R83" s="5">
        <f t="shared" si="54"/>
        <v>1.3742062183081847</v>
      </c>
      <c r="S83" s="1"/>
      <c r="T83" s="1">
        <f>SUM(OSRRefT22_15x_0)</f>
        <v>50802.61</v>
      </c>
      <c r="U83" s="1"/>
      <c r="V83" s="5">
        <f t="shared" si="55"/>
        <v>7.1103395078467441E-2</v>
      </c>
      <c r="W83" s="1"/>
      <c r="X83" s="1">
        <f t="shared" si="56"/>
        <v>-41845.740000000005</v>
      </c>
      <c r="Y83" s="1"/>
      <c r="Z83" s="5">
        <f t="shared" si="57"/>
        <v>-0.82369271972443947</v>
      </c>
    </row>
    <row r="84" spans="1:26" s="24" customFormat="1" hidden="1" outlineLevel="2" x14ac:dyDescent="0.25">
      <c r="A84" s="29"/>
      <c r="B84" s="11" t="str">
        <f>CONCATENATE("          ", "6373", " - ", "MAINTENANCE CONTRACTS")</f>
        <v xml:space="preserve">          6373 - MAINTENANCE CONTRACTS</v>
      </c>
      <c r="C84" s="11"/>
      <c r="D84" s="7">
        <v>2041.06</v>
      </c>
      <c r="E84" s="2"/>
      <c r="F84" s="6">
        <f t="shared" si="50"/>
        <v>0.36822696980302877</v>
      </c>
      <c r="G84" s="2"/>
      <c r="H84" s="7">
        <v>10062.32</v>
      </c>
      <c r="I84" s="2"/>
      <c r="J84" s="6">
        <f t="shared" si="51"/>
        <v>2.1130517725739806E-2</v>
      </c>
      <c r="K84" s="2"/>
      <c r="L84" s="7">
        <f t="shared" si="52"/>
        <v>-8021.26</v>
      </c>
      <c r="M84" s="2"/>
      <c r="N84" s="6">
        <f t="shared" si="53"/>
        <v>-0.79715811065440179</v>
      </c>
      <c r="O84" s="11"/>
      <c r="P84" s="7">
        <v>4394.6499999999996</v>
      </c>
      <c r="Q84" s="2"/>
      <c r="R84" s="6">
        <f t="shared" si="54"/>
        <v>0.67424841013524406</v>
      </c>
      <c r="S84" s="2"/>
      <c r="T84" s="7">
        <v>16091.2</v>
      </c>
      <c r="U84" s="2"/>
      <c r="V84" s="6">
        <f t="shared" si="55"/>
        <v>2.2521263196647483E-2</v>
      </c>
      <c r="W84" s="2"/>
      <c r="X84" s="7">
        <f t="shared" si="56"/>
        <v>-11696.550000000001</v>
      </c>
      <c r="Y84" s="2"/>
      <c r="Z84" s="6">
        <f t="shared" si="57"/>
        <v>-0.72689109575420108</v>
      </c>
    </row>
    <row r="85" spans="1:26" s="24" customFormat="1" hidden="1" outlineLevel="2" x14ac:dyDescent="0.25">
      <c r="A85" s="29"/>
      <c r="B85" s="11" t="str">
        <f>CONCATENATE("          ", "6375", " - ", "OUTSIDE REPAIRS &amp; MAINTENANCE")</f>
        <v xml:space="preserve">          6375 - OUTSIDE REPAIRS &amp; MAINTENANCE</v>
      </c>
      <c r="C85" s="11"/>
      <c r="D85" s="7">
        <v>2691.4</v>
      </c>
      <c r="E85" s="2"/>
      <c r="F85" s="6">
        <f t="shared" si="50"/>
        <v>0.48555459737973</v>
      </c>
      <c r="G85" s="2"/>
      <c r="H85" s="7">
        <v>13109.95</v>
      </c>
      <c r="I85" s="2"/>
      <c r="J85" s="6">
        <f t="shared" si="51"/>
        <v>2.7530433424753198E-2</v>
      </c>
      <c r="K85" s="2"/>
      <c r="L85" s="7">
        <f t="shared" si="52"/>
        <v>-10418.550000000001</v>
      </c>
      <c r="M85" s="2"/>
      <c r="N85" s="6">
        <f t="shared" si="53"/>
        <v>-0.79470554807607963</v>
      </c>
      <c r="O85" s="11"/>
      <c r="P85" s="7">
        <v>4562.22</v>
      </c>
      <c r="Q85" s="2"/>
      <c r="R85" s="6">
        <f t="shared" si="54"/>
        <v>0.69995780817294062</v>
      </c>
      <c r="S85" s="2"/>
      <c r="T85" s="7">
        <v>34711.409999999996</v>
      </c>
      <c r="U85" s="2"/>
      <c r="V85" s="6">
        <f t="shared" si="55"/>
        <v>4.8582131881819958E-2</v>
      </c>
      <c r="W85" s="2"/>
      <c r="X85" s="7">
        <f t="shared" si="56"/>
        <v>-30149.189999999995</v>
      </c>
      <c r="Y85" s="2"/>
      <c r="Z85" s="6">
        <f t="shared" si="57"/>
        <v>-0.86856713685788045</v>
      </c>
    </row>
    <row r="86" spans="1:26" s="28" customFormat="1" outlineLevel="1" collapsed="1" x14ac:dyDescent="0.25">
      <c r="A86" s="27"/>
      <c r="B86" s="14" t="str">
        <f>CONCATENATE("     ","Royalty &amp; Commissions                             ")</f>
        <v xml:space="preserve">     Royalty &amp; Commissions                             </v>
      </c>
      <c r="C86" s="14"/>
      <c r="D86" s="1">
        <f>SUM(OSRRefD22_16x_0)</f>
        <v>0</v>
      </c>
      <c r="E86" s="1"/>
      <c r="F86" s="5">
        <f t="shared" ref="F86:F88" si="58">IF(D$12=0,0,D86/D$12)</f>
        <v>0</v>
      </c>
      <c r="G86" s="1"/>
      <c r="H86" s="1">
        <f>SUM(OSRRefH22_16x_0)</f>
        <v>16843.939999999999</v>
      </c>
      <c r="I86" s="1"/>
      <c r="J86" s="5">
        <f t="shared" ref="J86:J88" si="59">IF(H$12=0,0,H86/H$12)</f>
        <v>3.5371680958397045E-2</v>
      </c>
      <c r="K86" s="1"/>
      <c r="L86" s="1">
        <f t="shared" ref="L86:L88" si="60">+D86-H86</f>
        <v>-16843.939999999999</v>
      </c>
      <c r="M86" s="1"/>
      <c r="N86" s="5">
        <f t="shared" ref="N86:N88" si="61">IF(H86=0,0,L86/H86)</f>
        <v>-1</v>
      </c>
      <c r="O86" s="14"/>
      <c r="P86" s="1">
        <f>SUM(OSRRefP22_16x_0)</f>
        <v>0</v>
      </c>
      <c r="Q86" s="1"/>
      <c r="R86" s="5">
        <f t="shared" ref="R86:R88" si="62">IF(P$12=0,0,P86/P$12)</f>
        <v>0</v>
      </c>
      <c r="S86" s="1"/>
      <c r="T86" s="1">
        <f>SUM(OSRRefT22_16x_0)</f>
        <v>33702.04</v>
      </c>
      <c r="U86" s="1"/>
      <c r="V86" s="5">
        <f t="shared" ref="V86:V88" si="63">IF(T$12=0,0,T86/T$12)</f>
        <v>4.7169416395541744E-2</v>
      </c>
      <c r="W86" s="1"/>
      <c r="X86" s="1">
        <f t="shared" ref="X86:X88" si="64">+P86-T86</f>
        <v>-33702.04</v>
      </c>
      <c r="Y86" s="1"/>
      <c r="Z86" s="5">
        <f t="shared" ref="Z86:Z88" si="65">IF(T86=0,0,X86/T86)</f>
        <v>-1</v>
      </c>
    </row>
    <row r="87" spans="1:26" s="24" customFormat="1" hidden="1" outlineLevel="2" x14ac:dyDescent="0.25">
      <c r="A87" s="29"/>
      <c r="B87" s="11" t="str">
        <f>CONCATENATE("          ", "6254", " - ", "ROYALTY &amp; COMMISSIONS")</f>
        <v xml:space="preserve">          6254 - ROYALTY &amp; COMMISSIONS</v>
      </c>
      <c r="C87" s="11"/>
      <c r="D87" s="7"/>
      <c r="E87" s="2"/>
      <c r="F87" s="6">
        <f t="shared" si="58"/>
        <v>0</v>
      </c>
      <c r="G87" s="2"/>
      <c r="H87" s="7">
        <v>10870.98</v>
      </c>
      <c r="I87" s="2"/>
      <c r="J87" s="6">
        <f t="shared" si="59"/>
        <v>2.2828675254430681E-2</v>
      </c>
      <c r="K87" s="2"/>
      <c r="L87" s="7">
        <f t="shared" si="60"/>
        <v>-10870.98</v>
      </c>
      <c r="M87" s="2"/>
      <c r="N87" s="6">
        <f t="shared" si="61"/>
        <v>-1</v>
      </c>
      <c r="O87" s="11"/>
      <c r="P87" s="7"/>
      <c r="Q87" s="2"/>
      <c r="R87" s="6">
        <f t="shared" si="62"/>
        <v>0</v>
      </c>
      <c r="S87" s="2"/>
      <c r="T87" s="7">
        <v>24843.64</v>
      </c>
      <c r="U87" s="2"/>
      <c r="V87" s="6">
        <f t="shared" si="63"/>
        <v>3.477118892330959E-2</v>
      </c>
      <c r="W87" s="2"/>
      <c r="X87" s="7">
        <f t="shared" si="64"/>
        <v>-24843.64</v>
      </c>
      <c r="Y87" s="2"/>
      <c r="Z87" s="6">
        <f t="shared" si="65"/>
        <v>-1</v>
      </c>
    </row>
    <row r="88" spans="1:26" s="24" customFormat="1" hidden="1" outlineLevel="2" x14ac:dyDescent="0.25">
      <c r="A88" s="29"/>
      <c r="B88" s="11" t="str">
        <f>CONCATENATE("          ", "6259", " - ", "ROYALTY &amp; COMMISSIONS")</f>
        <v xml:space="preserve">          6259 - ROYALTY &amp; COMMISSIONS</v>
      </c>
      <c r="C88" s="11"/>
      <c r="D88" s="7"/>
      <c r="E88" s="2"/>
      <c r="F88" s="6">
        <f t="shared" si="58"/>
        <v>0</v>
      </c>
      <c r="G88" s="2"/>
      <c r="H88" s="7">
        <v>5972.96</v>
      </c>
      <c r="I88" s="2"/>
      <c r="J88" s="6">
        <f t="shared" si="59"/>
        <v>1.2543005703966366E-2</v>
      </c>
      <c r="K88" s="2"/>
      <c r="L88" s="7">
        <f t="shared" si="60"/>
        <v>-5972.96</v>
      </c>
      <c r="M88" s="2"/>
      <c r="N88" s="6">
        <f t="shared" si="61"/>
        <v>-1</v>
      </c>
      <c r="O88" s="11"/>
      <c r="P88" s="7"/>
      <c r="Q88" s="2"/>
      <c r="R88" s="6">
        <f t="shared" si="62"/>
        <v>0</v>
      </c>
      <c r="S88" s="2"/>
      <c r="T88" s="7">
        <v>8858.4</v>
      </c>
      <c r="U88" s="2"/>
      <c r="V88" s="6">
        <f t="shared" si="63"/>
        <v>1.2398227472232154E-2</v>
      </c>
      <c r="W88" s="2"/>
      <c r="X88" s="7">
        <f t="shared" si="64"/>
        <v>-8858.4</v>
      </c>
      <c r="Y88" s="2"/>
      <c r="Z88" s="6">
        <f t="shared" si="65"/>
        <v>-1</v>
      </c>
    </row>
    <row r="89" spans="1:26" s="28" customFormat="1" outlineLevel="1" collapsed="1" x14ac:dyDescent="0.25">
      <c r="A89" s="27"/>
      <c r="B89" s="14" t="str">
        <f>CONCATENATE("     ","Services                                          ")</f>
        <v xml:space="preserve">     Services                                          </v>
      </c>
      <c r="C89" s="14"/>
      <c r="D89" s="1">
        <f>SUM(OSRRefD22_17x_0)</f>
        <v>4020.02</v>
      </c>
      <c r="E89" s="1"/>
      <c r="F89" s="5">
        <f t="shared" ref="F89:F94" si="66">IF(D$12=0,0,D89/D$12)</f>
        <v>0.72525049883274961</v>
      </c>
      <c r="G89" s="1"/>
      <c r="H89" s="1">
        <f>SUM(OSRRefH22_17x_0)</f>
        <v>19397.060000000001</v>
      </c>
      <c r="I89" s="1"/>
      <c r="J89" s="5">
        <f t="shared" ref="J89:J94" si="67">IF(H$12=0,0,H89/H$12)</f>
        <v>4.0733143068123319E-2</v>
      </c>
      <c r="K89" s="1"/>
      <c r="L89" s="1">
        <f t="shared" ref="L89:L94" si="68">+D89-H89</f>
        <v>-15377.04</v>
      </c>
      <c r="M89" s="1"/>
      <c r="N89" s="5">
        <f t="shared" ref="N89:N94" si="69">IF(H89=0,0,L89/H89)</f>
        <v>-0.79275106639872228</v>
      </c>
      <c r="O89" s="14"/>
      <c r="P89" s="1">
        <f>SUM(OSRRefP22_17x_0)</f>
        <v>4822.62</v>
      </c>
      <c r="Q89" s="1"/>
      <c r="R89" s="5">
        <f t="shared" ref="R89:R94" si="70">IF(P$12=0,0,P89/P$12)</f>
        <v>0.73990963277767996</v>
      </c>
      <c r="S89" s="1"/>
      <c r="T89" s="1">
        <f>SUM(OSRRefT22_17x_0)</f>
        <v>42524.800000000003</v>
      </c>
      <c r="U89" s="1"/>
      <c r="V89" s="5">
        <f t="shared" ref="V89:V94" si="71">IF(T$12=0,0,T89/T$12)</f>
        <v>5.9517762080192584E-2</v>
      </c>
      <c r="W89" s="1"/>
      <c r="X89" s="1">
        <f t="shared" ref="X89:X94" si="72">+P89-T89</f>
        <v>-37702.18</v>
      </c>
      <c r="Y89" s="1"/>
      <c r="Z89" s="5">
        <f t="shared" ref="Z89:Z94" si="73">IF(T89=0,0,X89/T89)</f>
        <v>-0.88659276469260284</v>
      </c>
    </row>
    <row r="90" spans="1:26" s="24" customFormat="1" hidden="1" outlineLevel="2" x14ac:dyDescent="0.25">
      <c r="A90" s="29"/>
      <c r="B90" s="11" t="str">
        <f>CONCATENATE("          ", "6282", " - ", "JANITORIAL/EXTERMINATOR EXPENS")</f>
        <v xml:space="preserve">          6282 - JANITORIAL/EXTERMINATOR EXPENS</v>
      </c>
      <c r="C90" s="11"/>
      <c r="D90" s="7">
        <v>-283.27</v>
      </c>
      <c r="E90" s="2"/>
      <c r="F90" s="6">
        <f t="shared" si="66"/>
        <v>-5.110464843566772E-2</v>
      </c>
      <c r="G90" s="2"/>
      <c r="H90" s="7">
        <v>2324.4</v>
      </c>
      <c r="I90" s="2"/>
      <c r="J90" s="6">
        <f t="shared" si="67"/>
        <v>4.8811581625022469E-3</v>
      </c>
      <c r="K90" s="2"/>
      <c r="L90" s="7">
        <f t="shared" si="68"/>
        <v>-2607.67</v>
      </c>
      <c r="M90" s="2"/>
      <c r="N90" s="6">
        <f t="shared" si="69"/>
        <v>-1.1218680089485458</v>
      </c>
      <c r="O90" s="11"/>
      <c r="P90" s="7">
        <v>3.35</v>
      </c>
      <c r="Q90" s="2"/>
      <c r="R90" s="6">
        <f t="shared" si="70"/>
        <v>5.1397316599799024E-4</v>
      </c>
      <c r="S90" s="2"/>
      <c r="T90" s="7">
        <v>4204.0600000000004</v>
      </c>
      <c r="U90" s="2"/>
      <c r="V90" s="6">
        <f t="shared" si="71"/>
        <v>5.8840075168102952E-3</v>
      </c>
      <c r="W90" s="2"/>
      <c r="X90" s="7">
        <f t="shared" si="72"/>
        <v>-4200.71</v>
      </c>
      <c r="Y90" s="2"/>
      <c r="Z90" s="6">
        <f t="shared" si="73"/>
        <v>-0.99920315123951597</v>
      </c>
    </row>
    <row r="91" spans="1:26" s="24" customFormat="1" hidden="1" outlineLevel="2" x14ac:dyDescent="0.25">
      <c r="A91" s="29"/>
      <c r="B91" s="11" t="str">
        <f>CONCATENATE("          ", "6283", " - ", "PLANT SERVICE")</f>
        <v xml:space="preserve">          6283 - PLANT SERVICE</v>
      </c>
      <c r="C91" s="11"/>
      <c r="D91" s="7"/>
      <c r="E91" s="2"/>
      <c r="F91" s="6">
        <f t="shared" si="66"/>
        <v>0</v>
      </c>
      <c r="G91" s="2"/>
      <c r="H91" s="7">
        <v>199.78</v>
      </c>
      <c r="I91" s="2"/>
      <c r="J91" s="6">
        <f t="shared" si="67"/>
        <v>4.1953096614382157E-4</v>
      </c>
      <c r="K91" s="2"/>
      <c r="L91" s="7">
        <f t="shared" si="68"/>
        <v>-199.78</v>
      </c>
      <c r="M91" s="2"/>
      <c r="N91" s="6">
        <f t="shared" si="69"/>
        <v>-1</v>
      </c>
      <c r="O91" s="11"/>
      <c r="P91" s="7"/>
      <c r="Q91" s="2"/>
      <c r="R91" s="6">
        <f t="shared" si="70"/>
        <v>0</v>
      </c>
      <c r="S91" s="2"/>
      <c r="T91" s="7">
        <v>399.56</v>
      </c>
      <c r="U91" s="2"/>
      <c r="V91" s="6">
        <f t="shared" si="71"/>
        <v>5.5922466459011556E-4</v>
      </c>
      <c r="W91" s="2"/>
      <c r="X91" s="7">
        <f t="shared" si="72"/>
        <v>-399.56</v>
      </c>
      <c r="Y91" s="2"/>
      <c r="Z91" s="6">
        <f t="shared" si="73"/>
        <v>-1</v>
      </c>
    </row>
    <row r="92" spans="1:26" s="24" customFormat="1" hidden="1" outlineLevel="2" x14ac:dyDescent="0.25">
      <c r="A92" s="29"/>
      <c r="B92" s="11" t="str">
        <f>CONCATENATE("          ", "6284", " - ", "TRASH REMOVAL EXPENSE")</f>
        <v xml:space="preserve">          6284 - TRASH REMOVAL EXPENSE</v>
      </c>
      <c r="C92" s="11"/>
      <c r="D92" s="7">
        <v>1000</v>
      </c>
      <c r="E92" s="2"/>
      <c r="F92" s="6">
        <f t="shared" si="66"/>
        <v>0.18040967428837409</v>
      </c>
      <c r="G92" s="2"/>
      <c r="H92" s="7"/>
      <c r="I92" s="2"/>
      <c r="J92" s="6">
        <f t="shared" si="67"/>
        <v>0</v>
      </c>
      <c r="K92" s="2"/>
      <c r="L92" s="7">
        <f t="shared" si="68"/>
        <v>1000</v>
      </c>
      <c r="M92" s="2"/>
      <c r="N92" s="6">
        <f t="shared" si="69"/>
        <v>0</v>
      </c>
      <c r="O92" s="11"/>
      <c r="P92" s="7">
        <v>2000</v>
      </c>
      <c r="Q92" s="2"/>
      <c r="R92" s="6">
        <f t="shared" si="70"/>
        <v>0.30684965134208375</v>
      </c>
      <c r="S92" s="2"/>
      <c r="T92" s="7">
        <v>4436</v>
      </c>
      <c r="U92" s="2"/>
      <c r="V92" s="6">
        <f t="shared" si="71"/>
        <v>6.2086310244312565E-3</v>
      </c>
      <c r="W92" s="2"/>
      <c r="X92" s="7">
        <f t="shared" si="72"/>
        <v>-2436</v>
      </c>
      <c r="Y92" s="2"/>
      <c r="Z92" s="6">
        <f t="shared" si="73"/>
        <v>-0.54914337240757438</v>
      </c>
    </row>
    <row r="93" spans="1:26" s="24" customFormat="1" hidden="1" outlineLevel="2" x14ac:dyDescent="0.25">
      <c r="A93" s="29"/>
      <c r="B93" s="11" t="str">
        <f>CONCATENATE("          ", "6285", " - ", "JANITORIAL SERVICES")</f>
        <v xml:space="preserve">          6285 - JANITORIAL SERVICES</v>
      </c>
      <c r="C93" s="11"/>
      <c r="D93" s="7">
        <v>3155.58</v>
      </c>
      <c r="E93" s="2"/>
      <c r="F93" s="6">
        <f t="shared" si="66"/>
        <v>0.56929715999090746</v>
      </c>
      <c r="G93" s="2"/>
      <c r="H93" s="7">
        <v>13369.69</v>
      </c>
      <c r="I93" s="2"/>
      <c r="J93" s="6">
        <f t="shared" si="67"/>
        <v>2.8075878279824756E-2</v>
      </c>
      <c r="K93" s="2"/>
      <c r="L93" s="7">
        <f t="shared" si="68"/>
        <v>-10214.11</v>
      </c>
      <c r="M93" s="2"/>
      <c r="N93" s="6">
        <f t="shared" si="69"/>
        <v>-0.76397508094802502</v>
      </c>
      <c r="O93" s="11"/>
      <c r="P93" s="7">
        <v>2350.98</v>
      </c>
      <c r="Q93" s="2"/>
      <c r="R93" s="6">
        <f t="shared" si="70"/>
        <v>0.36069869665610599</v>
      </c>
      <c r="S93" s="2"/>
      <c r="T93" s="7">
        <v>26286.769999999997</v>
      </c>
      <c r="U93" s="2"/>
      <c r="V93" s="6">
        <f t="shared" si="71"/>
        <v>3.6790995435998376E-2</v>
      </c>
      <c r="W93" s="2"/>
      <c r="X93" s="7">
        <f t="shared" si="72"/>
        <v>-23935.789999999997</v>
      </c>
      <c r="Y93" s="2"/>
      <c r="Z93" s="6">
        <f t="shared" si="73"/>
        <v>-0.91056413549477555</v>
      </c>
    </row>
    <row r="94" spans="1:26" s="24" customFormat="1" hidden="1" outlineLevel="2" x14ac:dyDescent="0.25">
      <c r="A94" s="29"/>
      <c r="B94" s="11" t="str">
        <f>CONCATENATE("          ", "6286", " - ", "LAUNDRY EXPENSE")</f>
        <v xml:space="preserve">          6286 - LAUNDRY EXPENSE</v>
      </c>
      <c r="C94" s="11"/>
      <c r="D94" s="7">
        <v>147.71</v>
      </c>
      <c r="E94" s="2"/>
      <c r="F94" s="6">
        <f t="shared" si="66"/>
        <v>2.6648312989135736E-2</v>
      </c>
      <c r="G94" s="2"/>
      <c r="H94" s="7">
        <v>3503.19</v>
      </c>
      <c r="I94" s="2"/>
      <c r="J94" s="6">
        <f t="shared" si="67"/>
        <v>7.3565756596524895E-3</v>
      </c>
      <c r="K94" s="2"/>
      <c r="L94" s="7">
        <f t="shared" si="68"/>
        <v>-3355.48</v>
      </c>
      <c r="M94" s="2"/>
      <c r="N94" s="6">
        <f t="shared" si="69"/>
        <v>-0.95783557272086295</v>
      </c>
      <c r="O94" s="11"/>
      <c r="P94" s="7">
        <v>468.29</v>
      </c>
      <c r="Q94" s="2"/>
      <c r="R94" s="6">
        <f t="shared" si="70"/>
        <v>7.1847311613492199E-2</v>
      </c>
      <c r="S94" s="2"/>
      <c r="T94" s="7">
        <v>7198.41</v>
      </c>
      <c r="U94" s="2"/>
      <c r="V94" s="6">
        <f t="shared" si="71"/>
        <v>1.0074903438362533E-2</v>
      </c>
      <c r="W94" s="2"/>
      <c r="X94" s="7">
        <f t="shared" si="72"/>
        <v>-6730.12</v>
      </c>
      <c r="Y94" s="2"/>
      <c r="Z94" s="6">
        <f t="shared" si="73"/>
        <v>-0.93494535598833628</v>
      </c>
    </row>
    <row r="95" spans="1:26" s="28" customFormat="1" outlineLevel="1" collapsed="1" x14ac:dyDescent="0.25">
      <c r="A95" s="27"/>
      <c r="B95" s="14" t="str">
        <f>CONCATENATE("     ","Subscriptions &amp; Dues                              ")</f>
        <v xml:space="preserve">     Subscriptions &amp; Dues                              </v>
      </c>
      <c r="C95" s="14"/>
      <c r="D95" s="1">
        <f>SUM(OSRRefD22_18x_0)</f>
        <v>0</v>
      </c>
      <c r="E95" s="1"/>
      <c r="F95" s="5">
        <f t="shared" ref="F95:F106" si="74">IF(D$12=0,0,D95/D$12)</f>
        <v>0</v>
      </c>
      <c r="G95" s="1"/>
      <c r="H95" s="1">
        <f>SUM(OSRRefH22_18x_0)</f>
        <v>631.17999999999995</v>
      </c>
      <c r="I95" s="1"/>
      <c r="J95" s="5">
        <f t="shared" ref="J95:J106" si="75">IF(H$12=0,0,H95/H$12)</f>
        <v>1.3254557774084357E-3</v>
      </c>
      <c r="K95" s="1"/>
      <c r="L95" s="1">
        <f t="shared" ref="L95:L106" si="76">+D95-H95</f>
        <v>-631.17999999999995</v>
      </c>
      <c r="M95" s="1"/>
      <c r="N95" s="5">
        <f t="shared" ref="N95:N106" si="77">IF(H95=0,0,L95/H95)</f>
        <v>-1</v>
      </c>
      <c r="O95" s="14"/>
      <c r="P95" s="1">
        <f>SUM(OSRRefP22_18x_0)</f>
        <v>9.32</v>
      </c>
      <c r="Q95" s="1"/>
      <c r="R95" s="5">
        <f t="shared" ref="R95:R106" si="78">IF(P$12=0,0,P95/P$12)</f>
        <v>1.4299193752541103E-3</v>
      </c>
      <c r="S95" s="1"/>
      <c r="T95" s="1">
        <f>SUM(OSRRefT22_18x_0)</f>
        <v>1201</v>
      </c>
      <c r="U95" s="1"/>
      <c r="V95" s="5">
        <f t="shared" ref="V95:V106" si="79">IF(T$12=0,0,T95/T$12)</f>
        <v>1.6809210686072901E-3</v>
      </c>
      <c r="W95" s="1"/>
      <c r="X95" s="1">
        <f t="shared" ref="X95:X106" si="80">+P95-T95</f>
        <v>-1191.68</v>
      </c>
      <c r="Y95" s="1"/>
      <c r="Z95" s="5">
        <f t="shared" ref="Z95:Z106" si="81">IF(T95=0,0,X95/T95)</f>
        <v>-0.99223980016652791</v>
      </c>
    </row>
    <row r="96" spans="1:26" s="24" customFormat="1" hidden="1" outlineLevel="2" x14ac:dyDescent="0.25">
      <c r="A96" s="29"/>
      <c r="B96" s="11" t="str">
        <f>CONCATENATE("          ", "6275", " - ", "SUBSCRIPTIONS")</f>
        <v xml:space="preserve">          6275 - SUBSCRIPTIONS</v>
      </c>
      <c r="C96" s="11"/>
      <c r="D96" s="7"/>
      <c r="E96" s="2"/>
      <c r="F96" s="6">
        <f t="shared" si="74"/>
        <v>0</v>
      </c>
      <c r="G96" s="2"/>
      <c r="H96" s="7">
        <v>631.17999999999995</v>
      </c>
      <c r="I96" s="2"/>
      <c r="J96" s="6">
        <f t="shared" si="75"/>
        <v>1.3254557774084357E-3</v>
      </c>
      <c r="K96" s="2"/>
      <c r="L96" s="7">
        <f t="shared" si="76"/>
        <v>-631.17999999999995</v>
      </c>
      <c r="M96" s="2"/>
      <c r="N96" s="6">
        <f t="shared" si="77"/>
        <v>-1</v>
      </c>
      <c r="O96" s="11"/>
      <c r="P96" s="7">
        <v>9.32</v>
      </c>
      <c r="Q96" s="2"/>
      <c r="R96" s="6">
        <f t="shared" si="78"/>
        <v>1.4299193752541103E-3</v>
      </c>
      <c r="S96" s="2"/>
      <c r="T96" s="7">
        <v>1201</v>
      </c>
      <c r="U96" s="2"/>
      <c r="V96" s="6">
        <f t="shared" si="79"/>
        <v>1.6809210686072901E-3</v>
      </c>
      <c r="W96" s="2"/>
      <c r="X96" s="7">
        <f t="shared" si="80"/>
        <v>-1191.68</v>
      </c>
      <c r="Y96" s="2"/>
      <c r="Z96" s="6">
        <f t="shared" si="81"/>
        <v>-0.99223980016652791</v>
      </c>
    </row>
    <row r="97" spans="1:26" s="28" customFormat="1" outlineLevel="1" collapsed="1" x14ac:dyDescent="0.25">
      <c r="A97" s="27"/>
      <c r="B97" s="14" t="str">
        <f>CONCATENATE("     ","Supplies                                          ")</f>
        <v xml:space="preserve">     Supplies                                          </v>
      </c>
      <c r="C97" s="14"/>
      <c r="D97" s="1">
        <f>SUM(OSRRefD22_19x_0)</f>
        <v>-28537.239999999998</v>
      </c>
      <c r="E97" s="1"/>
      <c r="F97" s="5">
        <f t="shared" si="74"/>
        <v>-5.1483941734891596</v>
      </c>
      <c r="G97" s="1"/>
      <c r="H97" s="1">
        <f>SUM(OSRRefH22_19x_0)</f>
        <v>28547.719999999998</v>
      </c>
      <c r="I97" s="1"/>
      <c r="J97" s="5">
        <f t="shared" si="75"/>
        <v>5.9949206891597238E-2</v>
      </c>
      <c r="K97" s="1"/>
      <c r="L97" s="1">
        <f t="shared" si="76"/>
        <v>-57084.959999999992</v>
      </c>
      <c r="M97" s="1"/>
      <c r="N97" s="5">
        <f t="shared" si="77"/>
        <v>-1.9996328953765834</v>
      </c>
      <c r="O97" s="14"/>
      <c r="P97" s="1">
        <f>SUM(OSRRefP22_19x_0)</f>
        <v>-27843.829999999998</v>
      </c>
      <c r="Q97" s="1"/>
      <c r="R97" s="5">
        <f t="shared" si="78"/>
        <v>-4.2719347637641256</v>
      </c>
      <c r="S97" s="1"/>
      <c r="T97" s="1">
        <f>SUM(OSRRefT22_19x_0)</f>
        <v>52754.670000000006</v>
      </c>
      <c r="U97" s="1"/>
      <c r="V97" s="5">
        <f t="shared" si="79"/>
        <v>7.3835500641486224E-2</v>
      </c>
      <c r="W97" s="1"/>
      <c r="X97" s="1">
        <f t="shared" si="80"/>
        <v>-80598.5</v>
      </c>
      <c r="Y97" s="1"/>
      <c r="Z97" s="5">
        <f t="shared" si="81"/>
        <v>-1.5277983920665221</v>
      </c>
    </row>
    <row r="98" spans="1:26" s="24" customFormat="1" hidden="1" outlineLevel="2" x14ac:dyDescent="0.25">
      <c r="A98" s="29"/>
      <c r="B98" s="11" t="str">
        <f>CONCATENATE("          ", "6234", " - ", "EXPENDABLE SUPPLIES &amp; EQUIPMEN")</f>
        <v xml:space="preserve">          6234 - EXPENDABLE SUPPLIES &amp; EQUIPMEN</v>
      </c>
      <c r="C98" s="11"/>
      <c r="D98" s="7">
        <v>255.78</v>
      </c>
      <c r="E98" s="2"/>
      <c r="F98" s="6">
        <f t="shared" si="74"/>
        <v>4.6145186489480322E-2</v>
      </c>
      <c r="G98" s="2"/>
      <c r="H98" s="7">
        <v>1064.24</v>
      </c>
      <c r="I98" s="2"/>
      <c r="J98" s="6">
        <f t="shared" si="75"/>
        <v>2.2348665302277539E-3</v>
      </c>
      <c r="K98" s="2"/>
      <c r="L98" s="7">
        <f t="shared" si="76"/>
        <v>-808.46</v>
      </c>
      <c r="M98" s="2"/>
      <c r="N98" s="6">
        <f t="shared" si="77"/>
        <v>-0.75965947530632194</v>
      </c>
      <c r="O98" s="11"/>
      <c r="P98" s="7">
        <v>255.78</v>
      </c>
      <c r="Q98" s="2"/>
      <c r="R98" s="6">
        <f t="shared" si="78"/>
        <v>3.9243001910139089E-2</v>
      </c>
      <c r="S98" s="2"/>
      <c r="T98" s="7">
        <v>1064.24</v>
      </c>
      <c r="U98" s="2"/>
      <c r="V98" s="6">
        <f t="shared" si="79"/>
        <v>1.4895116053743732E-3</v>
      </c>
      <c r="W98" s="2"/>
      <c r="X98" s="7">
        <f t="shared" si="80"/>
        <v>-808.46</v>
      </c>
      <c r="Y98" s="2"/>
      <c r="Z98" s="6">
        <f t="shared" si="81"/>
        <v>-0.75965947530632194</v>
      </c>
    </row>
    <row r="99" spans="1:26" s="24" customFormat="1" hidden="1" outlineLevel="2" x14ac:dyDescent="0.25">
      <c r="A99" s="29"/>
      <c r="B99" s="11" t="str">
        <f>CONCATENATE("          ", "6235", " - ", "COVID-19 EXPENSES")</f>
        <v xml:space="preserve">          6235 - COVID-19 EXPENSES</v>
      </c>
      <c r="C99" s="11"/>
      <c r="D99" s="7">
        <v>286.14999999999998</v>
      </c>
      <c r="E99" s="2"/>
      <c r="F99" s="6">
        <f t="shared" si="74"/>
        <v>5.1624228297618237E-2</v>
      </c>
      <c r="G99" s="2"/>
      <c r="H99" s="7"/>
      <c r="I99" s="2"/>
      <c r="J99" s="6">
        <f t="shared" si="75"/>
        <v>0</v>
      </c>
      <c r="K99" s="2"/>
      <c r="L99" s="7">
        <f t="shared" si="76"/>
        <v>286.14999999999998</v>
      </c>
      <c r="M99" s="2"/>
      <c r="N99" s="6">
        <f t="shared" si="77"/>
        <v>0</v>
      </c>
      <c r="O99" s="11"/>
      <c r="P99" s="7">
        <v>1029.24</v>
      </c>
      <c r="Q99" s="2"/>
      <c r="R99" s="6">
        <f t="shared" si="78"/>
        <v>0.15791096757366313</v>
      </c>
      <c r="S99" s="2"/>
      <c r="T99" s="7"/>
      <c r="U99" s="2"/>
      <c r="V99" s="6">
        <f t="shared" si="79"/>
        <v>0</v>
      </c>
      <c r="W99" s="2"/>
      <c r="X99" s="7">
        <f t="shared" si="80"/>
        <v>1029.24</v>
      </c>
      <c r="Y99" s="2"/>
      <c r="Z99" s="6">
        <f t="shared" si="81"/>
        <v>0</v>
      </c>
    </row>
    <row r="100" spans="1:26" s="24" customFormat="1" hidden="1" outlineLevel="2" x14ac:dyDescent="0.25">
      <c r="A100" s="29"/>
      <c r="B100" s="11" t="str">
        <f>CONCATENATE("          ", "6237", " - ", "JANITORIAL SUPPLIES")</f>
        <v xml:space="preserve">          6237 - JANITORIAL SUPPLIES</v>
      </c>
      <c r="C100" s="11"/>
      <c r="D100" s="7"/>
      <c r="E100" s="2"/>
      <c r="F100" s="6">
        <f t="shared" si="74"/>
        <v>0</v>
      </c>
      <c r="G100" s="2"/>
      <c r="H100" s="7">
        <v>4102.8</v>
      </c>
      <c r="I100" s="2"/>
      <c r="J100" s="6">
        <f t="shared" si="75"/>
        <v>8.6157355485777919E-3</v>
      </c>
      <c r="K100" s="2"/>
      <c r="L100" s="7">
        <f t="shared" si="76"/>
        <v>-4102.8</v>
      </c>
      <c r="M100" s="2"/>
      <c r="N100" s="6">
        <f t="shared" si="77"/>
        <v>-1</v>
      </c>
      <c r="O100" s="11"/>
      <c r="P100" s="7"/>
      <c r="Q100" s="2"/>
      <c r="R100" s="6">
        <f t="shared" si="78"/>
        <v>0</v>
      </c>
      <c r="S100" s="2"/>
      <c r="T100" s="7">
        <v>8354.44</v>
      </c>
      <c r="U100" s="2"/>
      <c r="V100" s="6">
        <f t="shared" si="79"/>
        <v>1.1692884439979592E-2</v>
      </c>
      <c r="W100" s="2"/>
      <c r="X100" s="7">
        <f t="shared" si="80"/>
        <v>-8354.44</v>
      </c>
      <c r="Y100" s="2"/>
      <c r="Z100" s="6">
        <f t="shared" si="81"/>
        <v>-1</v>
      </c>
    </row>
    <row r="101" spans="1:26" s="24" customFormat="1" hidden="1" outlineLevel="2" x14ac:dyDescent="0.25">
      <c r="A101" s="29"/>
      <c r="B101" s="11" t="str">
        <f>CONCATENATE("          ", "6239", " - ", "KITCHEN SUPPLIES")</f>
        <v xml:space="preserve">          6239 - KITCHEN SUPPLIES</v>
      </c>
      <c r="C101" s="11"/>
      <c r="D101" s="7"/>
      <c r="E101" s="2"/>
      <c r="F101" s="6">
        <f t="shared" si="74"/>
        <v>0</v>
      </c>
      <c r="G101" s="2"/>
      <c r="H101" s="7">
        <v>4005.05</v>
      </c>
      <c r="I101" s="2"/>
      <c r="J101" s="6">
        <f t="shared" si="75"/>
        <v>8.4104639901607398E-3</v>
      </c>
      <c r="K101" s="2"/>
      <c r="L101" s="7">
        <f t="shared" si="76"/>
        <v>-4005.05</v>
      </c>
      <c r="M101" s="2"/>
      <c r="N101" s="6">
        <f t="shared" si="77"/>
        <v>-1</v>
      </c>
      <c r="O101" s="11"/>
      <c r="P101" s="7"/>
      <c r="Q101" s="2"/>
      <c r="R101" s="6">
        <f t="shared" si="78"/>
        <v>0</v>
      </c>
      <c r="S101" s="2"/>
      <c r="T101" s="7">
        <v>10424.58</v>
      </c>
      <c r="U101" s="2"/>
      <c r="V101" s="6">
        <f t="shared" si="79"/>
        <v>1.4590254915388996E-2</v>
      </c>
      <c r="W101" s="2"/>
      <c r="X101" s="7">
        <f t="shared" si="80"/>
        <v>-10424.58</v>
      </c>
      <c r="Y101" s="2"/>
      <c r="Z101" s="6">
        <f t="shared" si="81"/>
        <v>-1</v>
      </c>
    </row>
    <row r="102" spans="1:26" s="24" customFormat="1" hidden="1" outlineLevel="2" x14ac:dyDescent="0.25">
      <c r="A102" s="29"/>
      <c r="B102" s="11" t="str">
        <f>CONCATENATE("          ", "6241", " - ", "OFFICE EXPENSE")</f>
        <v xml:space="preserve">          6241 - OFFICE EXPENSE</v>
      </c>
      <c r="C102" s="11"/>
      <c r="D102" s="7">
        <v>-29159.449999999997</v>
      </c>
      <c r="E102" s="2"/>
      <c r="F102" s="6">
        <f t="shared" si="74"/>
        <v>-5.2606468769281287</v>
      </c>
      <c r="G102" s="2"/>
      <c r="H102" s="7">
        <v>4640.21</v>
      </c>
      <c r="I102" s="2"/>
      <c r="J102" s="6">
        <f t="shared" si="75"/>
        <v>9.7442776274412959E-3</v>
      </c>
      <c r="K102" s="2"/>
      <c r="L102" s="7">
        <f t="shared" si="76"/>
        <v>-33799.659999999996</v>
      </c>
      <c r="M102" s="2"/>
      <c r="N102" s="6">
        <f t="shared" si="77"/>
        <v>-7.2840798153531834</v>
      </c>
      <c r="O102" s="11"/>
      <c r="P102" s="7">
        <v>-29209.129999999997</v>
      </c>
      <c r="Q102" s="2"/>
      <c r="R102" s="6">
        <f t="shared" si="78"/>
        <v>-4.4814056782527985</v>
      </c>
      <c r="S102" s="2"/>
      <c r="T102" s="7">
        <v>7658.85</v>
      </c>
      <c r="U102" s="2"/>
      <c r="V102" s="6">
        <f t="shared" si="79"/>
        <v>1.0719335825397955E-2</v>
      </c>
      <c r="W102" s="2"/>
      <c r="X102" s="7">
        <f t="shared" si="80"/>
        <v>-36867.979999999996</v>
      </c>
      <c r="Y102" s="2"/>
      <c r="Z102" s="6">
        <f t="shared" si="81"/>
        <v>-4.8137749139883921</v>
      </c>
    </row>
    <row r="103" spans="1:26" s="24" customFormat="1" hidden="1" outlineLevel="2" x14ac:dyDescent="0.25">
      <c r="A103" s="29"/>
      <c r="B103" s="11" t="str">
        <f>CONCATENATE("          ", "6243", " - ", "PAPER SUPPLIES")</f>
        <v xml:space="preserve">          6243 - PAPER SUPPLIES</v>
      </c>
      <c r="C103" s="11"/>
      <c r="D103" s="7"/>
      <c r="E103" s="2"/>
      <c r="F103" s="6">
        <f t="shared" si="74"/>
        <v>0</v>
      </c>
      <c r="G103" s="2"/>
      <c r="H103" s="7">
        <v>4315.1499999999996</v>
      </c>
      <c r="I103" s="2"/>
      <c r="J103" s="6">
        <f t="shared" si="75"/>
        <v>9.0616630721569308E-3</v>
      </c>
      <c r="K103" s="2"/>
      <c r="L103" s="7">
        <f t="shared" si="76"/>
        <v>-4315.1499999999996</v>
      </c>
      <c r="M103" s="2"/>
      <c r="N103" s="6">
        <f t="shared" si="77"/>
        <v>-1</v>
      </c>
      <c r="O103" s="11"/>
      <c r="P103" s="7"/>
      <c r="Q103" s="2"/>
      <c r="R103" s="6">
        <f t="shared" si="78"/>
        <v>0</v>
      </c>
      <c r="S103" s="2"/>
      <c r="T103" s="7">
        <v>7153.46</v>
      </c>
      <c r="U103" s="2"/>
      <c r="V103" s="6">
        <f t="shared" si="79"/>
        <v>1.0011991363396757E-2</v>
      </c>
      <c r="W103" s="2"/>
      <c r="X103" s="7">
        <f t="shared" si="80"/>
        <v>-7153.46</v>
      </c>
      <c r="Y103" s="2"/>
      <c r="Z103" s="6">
        <f t="shared" si="81"/>
        <v>-1</v>
      </c>
    </row>
    <row r="104" spans="1:26" s="24" customFormat="1" hidden="1" outlineLevel="2" x14ac:dyDescent="0.25">
      <c r="A104" s="29"/>
      <c r="B104" s="11" t="str">
        <f>CONCATENATE("          ", "6245", " - ", "PRINTING")</f>
        <v xml:space="preserve">          6245 - PRINTING</v>
      </c>
      <c r="C104" s="11"/>
      <c r="D104" s="7"/>
      <c r="E104" s="2"/>
      <c r="F104" s="6">
        <f t="shared" si="74"/>
        <v>0</v>
      </c>
      <c r="G104" s="2"/>
      <c r="H104" s="7">
        <v>33.159999999999997</v>
      </c>
      <c r="I104" s="2"/>
      <c r="J104" s="6">
        <f t="shared" si="75"/>
        <v>6.963483250239824E-5</v>
      </c>
      <c r="K104" s="2"/>
      <c r="L104" s="7">
        <f t="shared" si="76"/>
        <v>-33.159999999999997</v>
      </c>
      <c r="M104" s="2"/>
      <c r="N104" s="6">
        <f t="shared" si="77"/>
        <v>-1</v>
      </c>
      <c r="O104" s="11"/>
      <c r="P104" s="7"/>
      <c r="Q104" s="2"/>
      <c r="R104" s="6">
        <f t="shared" si="78"/>
        <v>0</v>
      </c>
      <c r="S104" s="2"/>
      <c r="T104" s="7">
        <v>170.92</v>
      </c>
      <c r="U104" s="2"/>
      <c r="V104" s="6">
        <f t="shared" si="79"/>
        <v>2.3921984100446126E-4</v>
      </c>
      <c r="W104" s="2"/>
      <c r="X104" s="7">
        <f t="shared" si="80"/>
        <v>-170.92</v>
      </c>
      <c r="Y104" s="2"/>
      <c r="Z104" s="6">
        <f t="shared" si="81"/>
        <v>-1</v>
      </c>
    </row>
    <row r="105" spans="1:26" s="24" customFormat="1" hidden="1" outlineLevel="2" x14ac:dyDescent="0.25">
      <c r="A105" s="29"/>
      <c r="B105" s="11" t="str">
        <f>CONCATENATE("          ", "6247", " - ", "STORE SUPPLIES")</f>
        <v xml:space="preserve">          6247 - STORE SUPPLIES</v>
      </c>
      <c r="C105" s="11"/>
      <c r="D105" s="7">
        <v>80.28</v>
      </c>
      <c r="E105" s="2"/>
      <c r="F105" s="6">
        <f t="shared" si="74"/>
        <v>1.4483288651870671E-2</v>
      </c>
      <c r="G105" s="2"/>
      <c r="H105" s="7">
        <v>8292.07</v>
      </c>
      <c r="I105" s="2"/>
      <c r="J105" s="6">
        <f t="shared" si="75"/>
        <v>1.7413055052718982E-2</v>
      </c>
      <c r="K105" s="2"/>
      <c r="L105" s="7">
        <f t="shared" si="76"/>
        <v>-8211.7899999999991</v>
      </c>
      <c r="M105" s="2"/>
      <c r="N105" s="6">
        <f t="shared" si="77"/>
        <v>-0.99031846089094755</v>
      </c>
      <c r="O105" s="11"/>
      <c r="P105" s="7">
        <v>80.28</v>
      </c>
      <c r="Q105" s="2"/>
      <c r="R105" s="6">
        <f t="shared" si="78"/>
        <v>1.2316945004871242E-2</v>
      </c>
      <c r="S105" s="2"/>
      <c r="T105" s="7">
        <v>15253.7</v>
      </c>
      <c r="U105" s="2"/>
      <c r="V105" s="6">
        <f t="shared" si="79"/>
        <v>2.1349097172535404E-2</v>
      </c>
      <c r="W105" s="2"/>
      <c r="X105" s="7">
        <f t="shared" si="80"/>
        <v>-15173.42</v>
      </c>
      <c r="Y105" s="2"/>
      <c r="Z105" s="6">
        <f t="shared" si="81"/>
        <v>-0.99473701462595954</v>
      </c>
    </row>
    <row r="106" spans="1:26" s="24" customFormat="1" hidden="1" outlineLevel="2" x14ac:dyDescent="0.25">
      <c r="A106" s="29"/>
      <c r="B106" s="11" t="str">
        <f>CONCATENATE("          ", "6248", " - ", "UNIFORMS")</f>
        <v xml:space="preserve">          6248 - UNIFORMS</v>
      </c>
      <c r="C106" s="11"/>
      <c r="D106" s="7"/>
      <c r="E106" s="2"/>
      <c r="F106" s="6">
        <f t="shared" si="74"/>
        <v>0</v>
      </c>
      <c r="G106" s="2"/>
      <c r="H106" s="7">
        <v>2095.04</v>
      </c>
      <c r="I106" s="2"/>
      <c r="J106" s="6">
        <f t="shared" si="75"/>
        <v>4.3995102378113519E-3</v>
      </c>
      <c r="K106" s="2"/>
      <c r="L106" s="7">
        <f t="shared" si="76"/>
        <v>-2095.04</v>
      </c>
      <c r="M106" s="2"/>
      <c r="N106" s="6">
        <f t="shared" si="77"/>
        <v>-1</v>
      </c>
      <c r="O106" s="11"/>
      <c r="P106" s="7"/>
      <c r="Q106" s="2"/>
      <c r="R106" s="6">
        <f t="shared" si="78"/>
        <v>0</v>
      </c>
      <c r="S106" s="2"/>
      <c r="T106" s="7">
        <v>2674.48</v>
      </c>
      <c r="U106" s="2"/>
      <c r="V106" s="6">
        <f t="shared" si="79"/>
        <v>3.7432054784086802E-3</v>
      </c>
      <c r="W106" s="2"/>
      <c r="X106" s="7">
        <f t="shared" si="80"/>
        <v>-2674.48</v>
      </c>
      <c r="Y106" s="2"/>
      <c r="Z106" s="6">
        <f t="shared" si="81"/>
        <v>-1</v>
      </c>
    </row>
    <row r="107" spans="1:26" s="28" customFormat="1" outlineLevel="1" collapsed="1" x14ac:dyDescent="0.25">
      <c r="A107" s="27"/>
      <c r="B107" s="14" t="str">
        <f>CONCATENATE("     ","Telephone/Data Lines                              ")</f>
        <v xml:space="preserve">     Telephone/Data Lines                              </v>
      </c>
      <c r="C107" s="14"/>
      <c r="D107" s="1">
        <f>SUM(OSRRefD22_20x_0)</f>
        <v>1617.52</v>
      </c>
      <c r="E107" s="1"/>
      <c r="F107" s="5">
        <f t="shared" ref="F107:F114" si="82">IF(D$12=0,0,D107/D$12)</f>
        <v>0.29181625635493086</v>
      </c>
      <c r="G107" s="1"/>
      <c r="H107" s="1">
        <f>SUM(OSRRefH22_20x_0)</f>
        <v>1694.1</v>
      </c>
      <c r="I107" s="1"/>
      <c r="J107" s="5">
        <f t="shared" ref="J107:J114" si="83">IF(H$12=0,0,H107/H$12)</f>
        <v>3.557550354110762E-3</v>
      </c>
      <c r="K107" s="1"/>
      <c r="L107" s="1">
        <f t="shared" ref="L107:L114" si="84">+D107-H107</f>
        <v>-76.579999999999927</v>
      </c>
      <c r="M107" s="1"/>
      <c r="N107" s="5">
        <f t="shared" ref="N107:N114" si="85">IF(H107=0,0,L107/H107)</f>
        <v>-4.5203943096629437E-2</v>
      </c>
      <c r="O107" s="14"/>
      <c r="P107" s="1">
        <f>SUM(OSRRefP22_20x_0)</f>
        <v>3210.15</v>
      </c>
      <c r="Q107" s="1"/>
      <c r="R107" s="5">
        <f t="shared" ref="R107:R114" si="86">IF(P$12=0,0,P107/P$12)</f>
        <v>0.49251670412789506</v>
      </c>
      <c r="S107" s="1"/>
      <c r="T107" s="1">
        <f>SUM(OSRRefT22_20x_0)</f>
        <v>2879.25</v>
      </c>
      <c r="U107" s="1"/>
      <c r="V107" s="5">
        <f t="shared" ref="V107:V114" si="87">IF(T$12=0,0,T107/T$12)</f>
        <v>4.0298018208056122E-3</v>
      </c>
      <c r="W107" s="1"/>
      <c r="X107" s="1">
        <f t="shared" ref="X107:X114" si="88">+P107-T107</f>
        <v>330.90000000000009</v>
      </c>
      <c r="Y107" s="1"/>
      <c r="Z107" s="5">
        <f t="shared" ref="Z107:Z114" si="89">IF(T107=0,0,X107/T107)</f>
        <v>0.11492576191716596</v>
      </c>
    </row>
    <row r="108" spans="1:26" s="24" customFormat="1" hidden="1" outlineLevel="2" x14ac:dyDescent="0.25">
      <c r="A108" s="29"/>
      <c r="B108" s="11" t="str">
        <f>CONCATENATE("          ", "6309", " - ", "TELEPHONE")</f>
        <v xml:space="preserve">          6309 - TELEPHONE</v>
      </c>
      <c r="C108" s="11"/>
      <c r="D108" s="7">
        <v>1617.52</v>
      </c>
      <c r="E108" s="2"/>
      <c r="F108" s="6">
        <f t="shared" si="82"/>
        <v>0.29181625635493086</v>
      </c>
      <c r="G108" s="2"/>
      <c r="H108" s="7">
        <v>1694.1</v>
      </c>
      <c r="I108" s="2"/>
      <c r="J108" s="6">
        <f t="shared" si="83"/>
        <v>3.557550354110762E-3</v>
      </c>
      <c r="K108" s="2"/>
      <c r="L108" s="7">
        <f t="shared" si="84"/>
        <v>-76.579999999999927</v>
      </c>
      <c r="M108" s="2"/>
      <c r="N108" s="6">
        <f t="shared" si="85"/>
        <v>-4.5203943096629437E-2</v>
      </c>
      <c r="O108" s="11"/>
      <c r="P108" s="7">
        <v>3210.15</v>
      </c>
      <c r="Q108" s="2"/>
      <c r="R108" s="6">
        <f t="shared" si="86"/>
        <v>0.49251670412789506</v>
      </c>
      <c r="S108" s="2"/>
      <c r="T108" s="7">
        <v>2879.25</v>
      </c>
      <c r="U108" s="2"/>
      <c r="V108" s="6">
        <f t="shared" si="87"/>
        <v>4.0298018208056122E-3</v>
      </c>
      <c r="W108" s="2"/>
      <c r="X108" s="7">
        <f t="shared" si="88"/>
        <v>330.90000000000009</v>
      </c>
      <c r="Y108" s="2"/>
      <c r="Z108" s="6">
        <f t="shared" si="89"/>
        <v>0.11492576191716596</v>
      </c>
    </row>
    <row r="109" spans="1:26" s="28" customFormat="1" outlineLevel="1" collapsed="1" x14ac:dyDescent="0.25">
      <c r="A109" s="27"/>
      <c r="B109" s="14" t="str">
        <f>CONCATENATE("     ","Training                                          ")</f>
        <v xml:space="preserve">     Training                                          </v>
      </c>
      <c r="C109" s="14"/>
      <c r="D109" s="1">
        <f>SUM(OSRRefD22_21x_0)</f>
        <v>0</v>
      </c>
      <c r="E109" s="1"/>
      <c r="F109" s="5">
        <f t="shared" si="82"/>
        <v>0</v>
      </c>
      <c r="G109" s="1"/>
      <c r="H109" s="1">
        <f>SUM(OSRRefH22_21x_0)</f>
        <v>175</v>
      </c>
      <c r="I109" s="1"/>
      <c r="J109" s="5">
        <f t="shared" si="83"/>
        <v>3.6749383859830201E-4</v>
      </c>
      <c r="K109" s="1"/>
      <c r="L109" s="1">
        <f t="shared" si="84"/>
        <v>-175</v>
      </c>
      <c r="M109" s="1"/>
      <c r="N109" s="5">
        <f t="shared" si="85"/>
        <v>-1</v>
      </c>
      <c r="O109" s="14"/>
      <c r="P109" s="1">
        <f>SUM(OSRRefP22_21x_0)</f>
        <v>0</v>
      </c>
      <c r="Q109" s="1"/>
      <c r="R109" s="5">
        <f t="shared" si="86"/>
        <v>0</v>
      </c>
      <c r="S109" s="1"/>
      <c r="T109" s="1">
        <f>SUM(OSRRefT22_21x_0)</f>
        <v>1043.8499999999999</v>
      </c>
      <c r="U109" s="1"/>
      <c r="V109" s="5">
        <f t="shared" si="87"/>
        <v>1.4609737364410654E-3</v>
      </c>
      <c r="W109" s="1"/>
      <c r="X109" s="1">
        <f t="shared" si="88"/>
        <v>-1043.8499999999999</v>
      </c>
      <c r="Y109" s="1"/>
      <c r="Z109" s="5">
        <f t="shared" si="89"/>
        <v>-1</v>
      </c>
    </row>
    <row r="110" spans="1:26" s="24" customFormat="1" hidden="1" outlineLevel="2" x14ac:dyDescent="0.25">
      <c r="A110" s="29"/>
      <c r="B110" s="11" t="str">
        <f>CONCATENATE("          ", "6376", " - ", "TRAINING")</f>
        <v xml:space="preserve">          6376 - TRAINING</v>
      </c>
      <c r="C110" s="11"/>
      <c r="D110" s="7"/>
      <c r="E110" s="2"/>
      <c r="F110" s="6">
        <f t="shared" si="82"/>
        <v>0</v>
      </c>
      <c r="G110" s="2"/>
      <c r="H110" s="7">
        <v>175</v>
      </c>
      <c r="I110" s="2"/>
      <c r="J110" s="6">
        <f t="shared" si="83"/>
        <v>3.6749383859830201E-4</v>
      </c>
      <c r="K110" s="2"/>
      <c r="L110" s="7">
        <f t="shared" si="84"/>
        <v>-175</v>
      </c>
      <c r="M110" s="2"/>
      <c r="N110" s="6">
        <f t="shared" si="85"/>
        <v>-1</v>
      </c>
      <c r="O110" s="11"/>
      <c r="P110" s="7"/>
      <c r="Q110" s="2"/>
      <c r="R110" s="6">
        <f t="shared" si="86"/>
        <v>0</v>
      </c>
      <c r="S110" s="2"/>
      <c r="T110" s="7">
        <v>1043.8499999999999</v>
      </c>
      <c r="U110" s="2"/>
      <c r="V110" s="6">
        <f t="shared" si="87"/>
        <v>1.4609737364410654E-3</v>
      </c>
      <c r="W110" s="2"/>
      <c r="X110" s="7">
        <f t="shared" si="88"/>
        <v>-1043.8499999999999</v>
      </c>
      <c r="Y110" s="2"/>
      <c r="Z110" s="6">
        <f t="shared" si="89"/>
        <v>-1</v>
      </c>
    </row>
    <row r="111" spans="1:26" s="28" customFormat="1" outlineLevel="1" collapsed="1" x14ac:dyDescent="0.25">
      <c r="A111" s="27"/>
      <c r="B111" s="14" t="str">
        <f>CONCATENATE("     ","Travel                                            ")</f>
        <v xml:space="preserve">     Travel                                            </v>
      </c>
      <c r="C111" s="14"/>
      <c r="D111" s="1">
        <f>SUM(OSRRefD22_22x_0)</f>
        <v>0</v>
      </c>
      <c r="E111" s="1"/>
      <c r="F111" s="5">
        <f t="shared" si="82"/>
        <v>0</v>
      </c>
      <c r="G111" s="1"/>
      <c r="H111" s="1">
        <f>SUM(OSRRefH22_22x_0)</f>
        <v>87.039999999999992</v>
      </c>
      <c r="I111" s="1"/>
      <c r="J111" s="5">
        <f t="shared" si="83"/>
        <v>1.8278093549483544E-4</v>
      </c>
      <c r="K111" s="1"/>
      <c r="L111" s="1">
        <f t="shared" si="84"/>
        <v>-87.039999999999992</v>
      </c>
      <c r="M111" s="1"/>
      <c r="N111" s="5">
        <f t="shared" si="85"/>
        <v>-1</v>
      </c>
      <c r="O111" s="14"/>
      <c r="P111" s="1">
        <f>SUM(OSRRefP22_22x_0)</f>
        <v>179.69</v>
      </c>
      <c r="Q111" s="1"/>
      <c r="R111" s="5">
        <f t="shared" si="86"/>
        <v>2.7568906924829512E-2</v>
      </c>
      <c r="S111" s="1"/>
      <c r="T111" s="1">
        <f>SUM(OSRRefT22_22x_0)</f>
        <v>851.36000000000013</v>
      </c>
      <c r="U111" s="1"/>
      <c r="V111" s="5">
        <f t="shared" si="87"/>
        <v>1.1915644970603686E-3</v>
      </c>
      <c r="W111" s="1"/>
      <c r="X111" s="1">
        <f t="shared" si="88"/>
        <v>-671.67000000000007</v>
      </c>
      <c r="Y111" s="1"/>
      <c r="Z111" s="5">
        <f t="shared" si="89"/>
        <v>-0.7889376996805112</v>
      </c>
    </row>
    <row r="112" spans="1:26" s="24" customFormat="1" hidden="1" outlineLevel="2" x14ac:dyDescent="0.25">
      <c r="A112" s="29"/>
      <c r="B112" s="11" t="str">
        <f>CONCATENATE("          ", "6292", " - ", "TRAVEL/CONFERENCE")</f>
        <v xml:space="preserve">          6292 - TRAVEL/CONFERENCE</v>
      </c>
      <c r="C112" s="11"/>
      <c r="D112" s="7"/>
      <c r="E112" s="2"/>
      <c r="F112" s="6">
        <f t="shared" si="82"/>
        <v>0</v>
      </c>
      <c r="G112" s="2"/>
      <c r="H112" s="7">
        <v>40.46</v>
      </c>
      <c r="I112" s="2"/>
      <c r="J112" s="6">
        <f t="shared" si="83"/>
        <v>8.496457548392742E-5</v>
      </c>
      <c r="K112" s="2"/>
      <c r="L112" s="7">
        <f t="shared" si="84"/>
        <v>-40.46</v>
      </c>
      <c r="M112" s="2"/>
      <c r="N112" s="6">
        <f t="shared" si="85"/>
        <v>-1</v>
      </c>
      <c r="O112" s="11"/>
      <c r="P112" s="7"/>
      <c r="Q112" s="2"/>
      <c r="R112" s="6">
        <f t="shared" si="86"/>
        <v>0</v>
      </c>
      <c r="S112" s="2"/>
      <c r="T112" s="7">
        <v>545.69000000000005</v>
      </c>
      <c r="U112" s="2"/>
      <c r="V112" s="6">
        <f t="shared" si="87"/>
        <v>7.6374839128085946E-4</v>
      </c>
      <c r="W112" s="2"/>
      <c r="X112" s="7">
        <f t="shared" si="88"/>
        <v>-545.69000000000005</v>
      </c>
      <c r="Y112" s="2"/>
      <c r="Z112" s="6">
        <f t="shared" si="89"/>
        <v>-1</v>
      </c>
    </row>
    <row r="113" spans="1:26" s="24" customFormat="1" hidden="1" outlineLevel="2" x14ac:dyDescent="0.25">
      <c r="A113" s="29"/>
      <c r="B113" s="11" t="str">
        <f>CONCATENATE("          ", "6294", " - ", "TRAVEL OPERATIONAL")</f>
        <v xml:space="preserve">          6294 - TRAVEL OPERATIONAL</v>
      </c>
      <c r="C113" s="11"/>
      <c r="D113" s="7"/>
      <c r="E113" s="2"/>
      <c r="F113" s="6">
        <f t="shared" si="82"/>
        <v>0</v>
      </c>
      <c r="G113" s="2"/>
      <c r="H113" s="7"/>
      <c r="I113" s="2"/>
      <c r="J113" s="6">
        <f t="shared" si="83"/>
        <v>0</v>
      </c>
      <c r="K113" s="2"/>
      <c r="L113" s="7">
        <f t="shared" si="84"/>
        <v>0</v>
      </c>
      <c r="M113" s="2"/>
      <c r="N113" s="6">
        <f t="shared" si="85"/>
        <v>0</v>
      </c>
      <c r="O113" s="11"/>
      <c r="P113" s="7"/>
      <c r="Q113" s="2"/>
      <c r="R113" s="6">
        <f t="shared" si="86"/>
        <v>0</v>
      </c>
      <c r="S113" s="2"/>
      <c r="T113" s="7">
        <v>45.49</v>
      </c>
      <c r="U113" s="2"/>
      <c r="V113" s="6">
        <f t="shared" si="87"/>
        <v>6.3667859626099604E-5</v>
      </c>
      <c r="W113" s="2"/>
      <c r="X113" s="7">
        <f t="shared" si="88"/>
        <v>-45.49</v>
      </c>
      <c r="Y113" s="2"/>
      <c r="Z113" s="6">
        <f t="shared" si="89"/>
        <v>-1</v>
      </c>
    </row>
    <row r="114" spans="1:26" s="24" customFormat="1" hidden="1" outlineLevel="2" x14ac:dyDescent="0.25">
      <c r="A114" s="29"/>
      <c r="B114" s="11" t="str">
        <f>CONCATENATE("          ", "6298", " - ", "VEHICLE MILEAGE")</f>
        <v xml:space="preserve">          6298 - VEHICLE MILEAGE</v>
      </c>
      <c r="C114" s="11"/>
      <c r="D114" s="7"/>
      <c r="E114" s="2"/>
      <c r="F114" s="6">
        <f t="shared" si="82"/>
        <v>0</v>
      </c>
      <c r="G114" s="2"/>
      <c r="H114" s="7">
        <v>46.58</v>
      </c>
      <c r="I114" s="2"/>
      <c r="J114" s="6">
        <f t="shared" si="83"/>
        <v>9.7816360010908034E-5</v>
      </c>
      <c r="K114" s="2"/>
      <c r="L114" s="7">
        <f t="shared" si="84"/>
        <v>-46.58</v>
      </c>
      <c r="M114" s="2"/>
      <c r="N114" s="6">
        <f t="shared" si="85"/>
        <v>-1</v>
      </c>
      <c r="O114" s="11"/>
      <c r="P114" s="7">
        <v>179.69</v>
      </c>
      <c r="Q114" s="2"/>
      <c r="R114" s="6">
        <f t="shared" si="86"/>
        <v>2.7568906924829512E-2</v>
      </c>
      <c r="S114" s="2"/>
      <c r="T114" s="7">
        <v>260.18</v>
      </c>
      <c r="U114" s="2"/>
      <c r="V114" s="6">
        <f t="shared" si="87"/>
        <v>3.6414824615340946E-4</v>
      </c>
      <c r="W114" s="2"/>
      <c r="X114" s="7">
        <f t="shared" si="88"/>
        <v>-80.490000000000009</v>
      </c>
      <c r="Y114" s="2"/>
      <c r="Z114" s="6">
        <f t="shared" si="89"/>
        <v>-0.3093627488661696</v>
      </c>
    </row>
    <row r="115" spans="1:26" s="28" customFormat="1" outlineLevel="1" collapsed="1" x14ac:dyDescent="0.25">
      <c r="A115" s="27"/>
      <c r="B115" s="14" t="str">
        <f>CONCATENATE("     ","Utilities                                         ")</f>
        <v xml:space="preserve">     Utilities                                         </v>
      </c>
      <c r="C115" s="14"/>
      <c r="D115" s="1">
        <f>SUM(OSRRefD22_23x_0)</f>
        <v>2350</v>
      </c>
      <c r="E115" s="1"/>
      <c r="F115" s="5">
        <f t="shared" ref="F115:F116" si="90">IF(D$12=0,0,D115/D$12)</f>
        <v>0.42396273457767908</v>
      </c>
      <c r="G115" s="1"/>
      <c r="H115" s="1">
        <f>SUM(OSRRefH22_23x_0)</f>
        <v>-902.88</v>
      </c>
      <c r="I115" s="1"/>
      <c r="J115" s="5">
        <f t="shared" ref="J115:J116" si="91">IF(H$12=0,0,H115/H$12)</f>
        <v>-1.8960162113921995E-3</v>
      </c>
      <c r="K115" s="1"/>
      <c r="L115" s="1">
        <f t="shared" ref="L115:L116" si="92">+D115-H115</f>
        <v>3252.88</v>
      </c>
      <c r="M115" s="1"/>
      <c r="N115" s="5">
        <f t="shared" ref="N115:N116" si="93">IF(H115=0,0,L115/H115)</f>
        <v>-3.6027822080453662</v>
      </c>
      <c r="O115" s="14"/>
      <c r="P115" s="1">
        <f>SUM(OSRRefP22_23x_0)</f>
        <v>4700</v>
      </c>
      <c r="Q115" s="1"/>
      <c r="R115" s="5">
        <f t="shared" ref="R115:R116" si="94">IF(P$12=0,0,P115/P$12)</f>
        <v>0.72109668065389676</v>
      </c>
      <c r="S115" s="1"/>
      <c r="T115" s="1">
        <f>SUM(OSRRefT22_23x_0)</f>
        <v>13747.12</v>
      </c>
      <c r="U115" s="1"/>
      <c r="V115" s="5">
        <f t="shared" ref="V115:V116" si="95">IF(T$12=0,0,T115/T$12)</f>
        <v>1.924048596225866E-2</v>
      </c>
      <c r="W115" s="1"/>
      <c r="X115" s="1">
        <f t="shared" ref="X115:X116" si="96">+P115-T115</f>
        <v>-9047.1200000000008</v>
      </c>
      <c r="Y115" s="1"/>
      <c r="Z115" s="5">
        <f t="shared" ref="Z115:Z116" si="97">IF(T115=0,0,X115/T115)</f>
        <v>-0.65811020781079965</v>
      </c>
    </row>
    <row r="116" spans="1:26" s="24" customFormat="1" hidden="1" outlineLevel="2" x14ac:dyDescent="0.25">
      <c r="A116" s="29"/>
      <c r="B116" s="11" t="str">
        <f>CONCATENATE("          ", "6274", " - ", "UTILITIES")</f>
        <v xml:space="preserve">          6274 - UTILITIES</v>
      </c>
      <c r="C116" s="11"/>
      <c r="D116" s="7">
        <v>2350</v>
      </c>
      <c r="E116" s="2"/>
      <c r="F116" s="6">
        <f t="shared" si="90"/>
        <v>0.42396273457767908</v>
      </c>
      <c r="G116" s="2"/>
      <c r="H116" s="7">
        <v>-902.88</v>
      </c>
      <c r="I116" s="2"/>
      <c r="J116" s="6">
        <f t="shared" si="91"/>
        <v>-1.8960162113921995E-3</v>
      </c>
      <c r="K116" s="2"/>
      <c r="L116" s="7">
        <f t="shared" si="92"/>
        <v>3252.88</v>
      </c>
      <c r="M116" s="2"/>
      <c r="N116" s="6">
        <f t="shared" si="93"/>
        <v>-3.6027822080453662</v>
      </c>
      <c r="O116" s="11"/>
      <c r="P116" s="7">
        <v>4700</v>
      </c>
      <c r="Q116" s="2"/>
      <c r="R116" s="6">
        <f t="shared" si="94"/>
        <v>0.72109668065389676</v>
      </c>
      <c r="S116" s="2"/>
      <c r="T116" s="7">
        <v>13747.12</v>
      </c>
      <c r="U116" s="2"/>
      <c r="V116" s="6">
        <f t="shared" si="95"/>
        <v>1.924048596225866E-2</v>
      </c>
      <c r="W116" s="2"/>
      <c r="X116" s="7">
        <f t="shared" si="96"/>
        <v>-9047.1200000000008</v>
      </c>
      <c r="Y116" s="2"/>
      <c r="Z116" s="6">
        <f t="shared" si="97"/>
        <v>-0.65811020781079965</v>
      </c>
    </row>
    <row r="117" spans="1:26" s="52" customFormat="1" x14ac:dyDescent="0.25">
      <c r="A117" s="37"/>
      <c r="B117" s="37"/>
      <c r="C117" s="37"/>
      <c r="D117" s="1"/>
      <c r="E117" s="1"/>
      <c r="F117" s="5"/>
      <c r="G117" s="1"/>
      <c r="H117" s="1"/>
      <c r="I117" s="1"/>
      <c r="J117" s="5"/>
      <c r="K117" s="1"/>
      <c r="L117" s="1"/>
      <c r="M117" s="1"/>
      <c r="N117" s="5"/>
      <c r="O117" s="37"/>
      <c r="P117" s="1"/>
      <c r="Q117" s="1"/>
      <c r="R117" s="5"/>
      <c r="S117" s="1"/>
      <c r="T117" s="1"/>
      <c r="U117" s="1"/>
      <c r="V117" s="5"/>
      <c r="W117" s="1"/>
      <c r="X117" s="1"/>
      <c r="Y117" s="1"/>
      <c r="Z117" s="5"/>
    </row>
    <row r="118" spans="1:26" s="23" customFormat="1" collapsed="1" x14ac:dyDescent="0.25">
      <c r="A118" s="10"/>
      <c r="B118" s="25" t="s">
        <v>0</v>
      </c>
      <c r="C118" s="10"/>
      <c r="D118" s="4">
        <f>SUM(OSRRefD25x_0)</f>
        <v>737.84999999999991</v>
      </c>
      <c r="E118" s="4"/>
      <c r="F118" s="12">
        <f t="shared" ref="F118:F121" si="98">IF(D$12=0,0,D118/D$12)</f>
        <v>0.1331152781736768</v>
      </c>
      <c r="G118" s="4"/>
      <c r="H118" s="4">
        <f>SUM(OSRRefH25x_0)</f>
        <v>14461.25</v>
      </c>
      <c r="I118" s="4"/>
      <c r="J118" s="12">
        <f t="shared" ref="J118:J121" si="99">IF(H$12=0,0,H118/H$12)</f>
        <v>3.0368115848169685E-2</v>
      </c>
      <c r="K118" s="4"/>
      <c r="L118" s="4">
        <f t="shared" ref="L118:L121" si="100">+D118-H118</f>
        <v>-13723.4</v>
      </c>
      <c r="M118" s="4"/>
      <c r="N118" s="12">
        <f t="shared" ref="N118:N121" si="101">IF(H118=0,0,L118/H118)</f>
        <v>-0.9489774397095686</v>
      </c>
      <c r="O118" s="10"/>
      <c r="P118" s="4">
        <f>SUM(OSRRefP25x_0)</f>
        <v>2814.39</v>
      </c>
      <c r="Q118" s="4"/>
      <c r="R118" s="12">
        <f t="shared" ref="R118:R121" si="102">IF(P$12=0,0,P118/P$12)</f>
        <v>0.4317972951203235</v>
      </c>
      <c r="S118" s="4"/>
      <c r="T118" s="4">
        <f>SUM(OSRRefT25x_0)</f>
        <v>65394.66</v>
      </c>
      <c r="U118" s="4"/>
      <c r="V118" s="12">
        <f t="shared" ref="V118:V121" si="103">IF(T$12=0,0,T118/T$12)</f>
        <v>9.1526446101923745E-2</v>
      </c>
      <c r="W118" s="4"/>
      <c r="X118" s="4">
        <f t="shared" ref="X118:X121" si="104">+P118-T118</f>
        <v>-62580.270000000004</v>
      </c>
      <c r="Y118" s="4"/>
      <c r="Z118" s="12">
        <f t="shared" ref="Z118:Z121" si="105">IF(T118=0,0,X118/T118)</f>
        <v>-0.95696299973117072</v>
      </c>
    </row>
    <row r="119" spans="1:26" s="24" customFormat="1" hidden="1" outlineLevel="1" x14ac:dyDescent="0.25">
      <c r="A119" s="44"/>
      <c r="B119" s="11" t="str">
        <f>CONCATENATE("          ", "9150", " - ", "MISC. INCOME")</f>
        <v xml:space="preserve">          9150 - MISC. INCOME</v>
      </c>
      <c r="C119" s="11"/>
      <c r="D119" s="2">
        <f>--111.42</f>
        <v>111.42</v>
      </c>
      <c r="E119" s="2"/>
      <c r="F119" s="19">
        <f t="shared" si="98"/>
        <v>2.0101245909210641E-2</v>
      </c>
      <c r="G119" s="2"/>
      <c r="H119" s="2">
        <f>--6527.69</f>
        <v>6527.69</v>
      </c>
      <c r="I119" s="2"/>
      <c r="J119" s="19">
        <f t="shared" si="99"/>
        <v>1.3707919173027142E-2</v>
      </c>
      <c r="K119" s="2"/>
      <c r="L119" s="2">
        <f t="shared" si="100"/>
        <v>-6416.2699999999995</v>
      </c>
      <c r="M119" s="2"/>
      <c r="N119" s="19">
        <f t="shared" si="101"/>
        <v>-0.9829311747340943</v>
      </c>
      <c r="O119" s="11"/>
      <c r="P119" s="2">
        <f>--623.83</f>
        <v>623.83000000000004</v>
      </c>
      <c r="Q119" s="2"/>
      <c r="R119" s="19">
        <f t="shared" si="102"/>
        <v>9.5711008998366057E-2</v>
      </c>
      <c r="S119" s="2"/>
      <c r="T119" s="2">
        <f>--47787.95</f>
        <v>47787.95</v>
      </c>
      <c r="U119" s="2"/>
      <c r="V119" s="19">
        <f t="shared" si="103"/>
        <v>6.6884073256079715E-2</v>
      </c>
      <c r="W119" s="2"/>
      <c r="X119" s="2">
        <f t="shared" si="104"/>
        <v>-47164.119999999995</v>
      </c>
      <c r="Y119" s="2"/>
      <c r="Z119" s="19">
        <f t="shared" si="105"/>
        <v>-0.98694587233811026</v>
      </c>
    </row>
    <row r="120" spans="1:26" s="24" customFormat="1" hidden="1" outlineLevel="1" x14ac:dyDescent="0.25">
      <c r="A120" s="44"/>
      <c r="B120" s="11" t="str">
        <f>CONCATENATE("          ", "9160", " - ", "MISC. INCOME")</f>
        <v xml:space="preserve">          9160 - MISC. INCOME</v>
      </c>
      <c r="C120" s="11"/>
      <c r="D120" s="2">
        <f>--626.43</f>
        <v>626.42999999999995</v>
      </c>
      <c r="E120" s="2"/>
      <c r="F120" s="19">
        <f t="shared" si="98"/>
        <v>0.11301403226446617</v>
      </c>
      <c r="G120" s="2"/>
      <c r="H120" s="2">
        <f>--4981.17</f>
        <v>4981.17</v>
      </c>
      <c r="I120" s="2"/>
      <c r="J120" s="19">
        <f t="shared" si="99"/>
        <v>1.0460281622918309E-2</v>
      </c>
      <c r="K120" s="2"/>
      <c r="L120" s="2">
        <f t="shared" si="100"/>
        <v>-4354.74</v>
      </c>
      <c r="M120" s="2"/>
      <c r="N120" s="19">
        <f t="shared" si="101"/>
        <v>-0.8742403893061268</v>
      </c>
      <c r="O120" s="11"/>
      <c r="P120" s="2">
        <f>--1990.06</f>
        <v>1990.06</v>
      </c>
      <c r="Q120" s="2"/>
      <c r="R120" s="19">
        <f t="shared" si="102"/>
        <v>0.30532460857491356</v>
      </c>
      <c r="S120" s="2"/>
      <c r="T120" s="2">
        <f>--10973.27</f>
        <v>10973.27</v>
      </c>
      <c r="U120" s="2"/>
      <c r="V120" s="19">
        <f t="shared" si="103"/>
        <v>1.5358202110338316E-2</v>
      </c>
      <c r="W120" s="2"/>
      <c r="X120" s="2">
        <f t="shared" si="104"/>
        <v>-8983.2100000000009</v>
      </c>
      <c r="Y120" s="2"/>
      <c r="Z120" s="19">
        <f t="shared" si="105"/>
        <v>-0.81864476131545116</v>
      </c>
    </row>
    <row r="121" spans="1:26" s="24" customFormat="1" hidden="1" outlineLevel="1" x14ac:dyDescent="0.25">
      <c r="A121" s="44"/>
      <c r="B121" s="11" t="str">
        <f>CONCATENATE("          ", "9165", " - ", "OTHER INCOME")</f>
        <v xml:space="preserve">          9165 - OTHER INCOME</v>
      </c>
      <c r="C121" s="11"/>
      <c r="D121" s="2">
        <f>0</f>
        <v>0</v>
      </c>
      <c r="E121" s="2"/>
      <c r="F121" s="19">
        <f t="shared" si="98"/>
        <v>0</v>
      </c>
      <c r="G121" s="2"/>
      <c r="H121" s="2">
        <f>--2952.39</f>
        <v>2952.39</v>
      </c>
      <c r="I121" s="2"/>
      <c r="J121" s="19">
        <f t="shared" si="99"/>
        <v>6.199915052224233E-3</v>
      </c>
      <c r="K121" s="2"/>
      <c r="L121" s="2">
        <f t="shared" si="100"/>
        <v>-2952.39</v>
      </c>
      <c r="M121" s="2"/>
      <c r="N121" s="19">
        <f t="shared" si="101"/>
        <v>-1</v>
      </c>
      <c r="O121" s="11"/>
      <c r="P121" s="2">
        <f>--200.5</f>
        <v>200.5</v>
      </c>
      <c r="Q121" s="2"/>
      <c r="R121" s="19">
        <f t="shared" si="102"/>
        <v>3.0761677547043894E-2</v>
      </c>
      <c r="S121" s="2"/>
      <c r="T121" s="2">
        <f>--6633.44</f>
        <v>6633.44</v>
      </c>
      <c r="U121" s="2"/>
      <c r="V121" s="19">
        <f t="shared" si="103"/>
        <v>9.2841707355056959E-3</v>
      </c>
      <c r="W121" s="2"/>
      <c r="X121" s="2">
        <f t="shared" si="104"/>
        <v>-6432.94</v>
      </c>
      <c r="Y121" s="2"/>
      <c r="Z121" s="19">
        <f t="shared" si="105"/>
        <v>-0.9697743553872501</v>
      </c>
    </row>
    <row r="122" spans="1:26" x14ac:dyDescent="0.25">
      <c r="A122" s="9"/>
      <c r="B122" s="10"/>
      <c r="C122" s="10"/>
      <c r="D122" s="3"/>
      <c r="E122" s="3"/>
      <c r="F122" s="8"/>
      <c r="G122" s="3"/>
      <c r="H122" s="3"/>
      <c r="I122" s="3"/>
      <c r="J122" s="8"/>
      <c r="K122" s="3"/>
      <c r="L122" s="3"/>
      <c r="M122" s="3"/>
      <c r="N122" s="8"/>
      <c r="O122" s="10"/>
      <c r="P122" s="3"/>
      <c r="Q122" s="3"/>
      <c r="R122" s="8"/>
      <c r="S122" s="3"/>
      <c r="T122" s="3"/>
      <c r="U122" s="3"/>
      <c r="V122" s="8"/>
      <c r="W122" s="3"/>
      <c r="X122" s="3"/>
      <c r="Y122" s="3"/>
      <c r="Z122" s="8"/>
    </row>
    <row r="123" spans="1:26" s="23" customFormat="1" x14ac:dyDescent="0.25">
      <c r="A123" s="10"/>
      <c r="B123" s="26" t="s">
        <v>3</v>
      </c>
      <c r="C123" s="26"/>
      <c r="D123" s="22">
        <f>+D33-D35+D118</f>
        <v>-110737.59999999999</v>
      </c>
      <c r="E123" s="13"/>
      <c r="F123" s="21">
        <f>IF(D$12=0,0,D123/D$12)</f>
        <v>-19.978134347476253</v>
      </c>
      <c r="G123" s="13"/>
      <c r="H123" s="22">
        <f>+H33-H35+H118</f>
        <v>-163030.66999999993</v>
      </c>
      <c r="I123" s="13"/>
      <c r="J123" s="21">
        <f>IF(H$12=0,0,H123/H$12)</f>
        <v>-0.34235866701458861</v>
      </c>
      <c r="K123" s="16"/>
      <c r="L123" s="22">
        <f>+D123-H123</f>
        <v>52293.069999999934</v>
      </c>
      <c r="M123" s="16"/>
      <c r="N123" s="21">
        <f>IF(H123=0,0,L123/H123)</f>
        <v>-0.32075602707147038</v>
      </c>
      <c r="O123" s="25"/>
      <c r="P123" s="22">
        <f>+P33-P35+P118</f>
        <v>-269859.51</v>
      </c>
      <c r="Q123" s="13"/>
      <c r="R123" s="21">
        <f>IF(P$12=0,0,P123/P$12)</f>
        <v>-41.40314827742278</v>
      </c>
      <c r="S123" s="13"/>
      <c r="T123" s="22">
        <f>+T33-T35+T118</f>
        <v>-457177.6799999997</v>
      </c>
      <c r="U123" s="13"/>
      <c r="V123" s="21">
        <f>IF(T$12=0,0,T123/T$12)</f>
        <v>-0.63986643997418913</v>
      </c>
      <c r="W123" s="16"/>
      <c r="X123" s="22">
        <f>+P123-T123</f>
        <v>187318.16999999969</v>
      </c>
      <c r="Y123" s="16"/>
      <c r="Z123" s="21">
        <f>IF(T123=0,0,X123/T123)</f>
        <v>-0.40972728589899626</v>
      </c>
    </row>
    <row r="124" spans="1:26" x14ac:dyDescent="0.25">
      <c r="A124" s="9"/>
      <c r="B124" s="10"/>
      <c r="C124" s="9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25">
      <c r="A125" s="51"/>
      <c r="B125" s="10" t="s">
        <v>13</v>
      </c>
      <c r="C125" s="10"/>
      <c r="D125" s="4">
        <v>631.57000000000005</v>
      </c>
      <c r="E125" s="4"/>
      <c r="F125" s="12">
        <f>IF(D$12=0,0,D125/D$12)</f>
        <v>0.11394133799030842</v>
      </c>
      <c r="G125" s="4"/>
      <c r="H125" s="4">
        <v>39536.120000000003</v>
      </c>
      <c r="I125" s="4"/>
      <c r="J125" s="12">
        <f>IF(H$12=0,0,H125/H$12)</f>
        <v>8.3024460011903431E-2</v>
      </c>
      <c r="K125" s="4"/>
      <c r="L125" s="4">
        <f>+D125-H125</f>
        <v>-38904.550000000003</v>
      </c>
      <c r="M125" s="4"/>
      <c r="N125" s="12">
        <f>IF(H125=0,0,L125/H125)</f>
        <v>-0.98402549364985736</v>
      </c>
      <c r="O125" s="10"/>
      <c r="P125" s="4">
        <v>1100.45</v>
      </c>
      <c r="Q125" s="4"/>
      <c r="R125" s="12">
        <f>IF(P$12=0,0,P125/P$12)</f>
        <v>0.16883634940969802</v>
      </c>
      <c r="S125" s="4"/>
      <c r="T125" s="4">
        <v>89083.78</v>
      </c>
      <c r="U125" s="4"/>
      <c r="V125" s="12">
        <f>IF(T$12=0,0,T125/T$12)</f>
        <v>0.12468176742146272</v>
      </c>
      <c r="W125" s="4"/>
      <c r="X125" s="4">
        <f>+P125-T125</f>
        <v>-87983.33</v>
      </c>
      <c r="Y125" s="4"/>
      <c r="Z125" s="12">
        <f>IF(T125=0,0,X125/T125)</f>
        <v>-0.98764702171371721</v>
      </c>
    </row>
    <row r="126" spans="1:26" x14ac:dyDescent="0.25">
      <c r="A126" s="9"/>
      <c r="B126" s="10"/>
      <c r="C126" s="10"/>
      <c r="D126" s="3"/>
      <c r="E126" s="3"/>
      <c r="F126" s="8"/>
      <c r="G126" s="3"/>
      <c r="H126" s="3"/>
      <c r="I126" s="3"/>
      <c r="J126" s="8"/>
      <c r="K126" s="3"/>
      <c r="L126" s="3"/>
      <c r="M126" s="3"/>
      <c r="N126" s="8"/>
      <c r="O126" s="10"/>
      <c r="P126" s="3"/>
      <c r="Q126" s="3"/>
      <c r="R126" s="8"/>
      <c r="S126" s="3"/>
      <c r="T126" s="3"/>
      <c r="U126" s="3"/>
      <c r="V126" s="8"/>
      <c r="W126" s="3"/>
      <c r="X126" s="3"/>
      <c r="Y126" s="3"/>
      <c r="Z126" s="8"/>
    </row>
    <row r="127" spans="1:26" s="23" customFormat="1" ht="15.75" thickBot="1" x14ac:dyDescent="0.3">
      <c r="A127" s="10"/>
      <c r="B127" s="26" t="s">
        <v>4</v>
      </c>
      <c r="C127" s="26"/>
      <c r="D127" s="36">
        <f>+D123-D125</f>
        <v>-111369.17</v>
      </c>
      <c r="E127" s="13"/>
      <c r="F127" s="34">
        <f>IF(D$12=0,0,D127/D$12)</f>
        <v>-20.092075685466561</v>
      </c>
      <c r="G127" s="13"/>
      <c r="H127" s="36">
        <f>+H123-H125</f>
        <v>-202566.78999999992</v>
      </c>
      <c r="I127" s="13"/>
      <c r="J127" s="34">
        <f>IF(H$12=0,0,H127/H$12)</f>
        <v>-0.42538312702649206</v>
      </c>
      <c r="K127" s="16"/>
      <c r="L127" s="36">
        <f>D127-H127</f>
        <v>91197.619999999923</v>
      </c>
      <c r="M127" s="16"/>
      <c r="N127" s="34">
        <f>IF(H127=0,0,L127/H127)</f>
        <v>-0.45021012575654656</v>
      </c>
      <c r="O127" s="25"/>
      <c r="P127" s="36">
        <f>+P123-P125</f>
        <v>-270959.96000000002</v>
      </c>
      <c r="Q127" s="13"/>
      <c r="R127" s="34">
        <f>IF(P$12=0,0,P127/P$12)</f>
        <v>-41.571984626832482</v>
      </c>
      <c r="S127" s="13"/>
      <c r="T127" s="36">
        <f>+T123-T125</f>
        <v>-546261.45999999973</v>
      </c>
      <c r="U127" s="13"/>
      <c r="V127" s="34">
        <f>IF(T$12=0,0,T127/T$12)</f>
        <v>-0.76454820739565188</v>
      </c>
      <c r="W127" s="16"/>
      <c r="X127" s="36">
        <f>P127-T127</f>
        <v>275301.49999999971</v>
      </c>
      <c r="Y127" s="16"/>
      <c r="Z127" s="34">
        <f>IF(T127=0,0,X127/T127)</f>
        <v>-0.50397386628739993</v>
      </c>
    </row>
    <row r="128" spans="1:26" ht="15.75" thickTop="1" x14ac:dyDescent="0.25">
      <c r="A128" s="9"/>
      <c r="B128" s="9"/>
      <c r="C128" s="9"/>
      <c r="D128" s="3"/>
      <c r="E128" s="3"/>
      <c r="F128" s="8"/>
      <c r="G128" s="3"/>
      <c r="H128" s="3"/>
      <c r="I128" s="3"/>
      <c r="J128" s="8"/>
      <c r="K128" s="3"/>
      <c r="L128" s="3"/>
      <c r="M128" s="3"/>
      <c r="N128" s="8"/>
      <c r="P128" s="3"/>
      <c r="Q128" s="3"/>
      <c r="R128" s="8"/>
      <c r="S128" s="3"/>
      <c r="T128" s="3"/>
      <c r="U128" s="3"/>
      <c r="V128" s="8"/>
      <c r="W128" s="3"/>
      <c r="X128" s="3"/>
      <c r="Y128" s="3"/>
      <c r="Z128" s="8"/>
    </row>
    <row r="129" spans="1:26" x14ac:dyDescent="0.25">
      <c r="A129" s="9"/>
      <c r="B129" s="9"/>
      <c r="C129" s="9"/>
      <c r="D129" s="3"/>
      <c r="E129" s="3"/>
      <c r="F129" s="8"/>
      <c r="G129" s="3"/>
      <c r="H129" s="3"/>
      <c r="I129" s="3"/>
      <c r="J129" s="8"/>
      <c r="K129" s="3"/>
      <c r="L129" s="3"/>
      <c r="M129" s="3"/>
      <c r="N129" s="8"/>
      <c r="P129" s="3"/>
      <c r="Q129" s="3"/>
      <c r="R129" s="8"/>
      <c r="S129" s="3"/>
      <c r="T129" s="3"/>
      <c r="U129" s="3"/>
      <c r="V129" s="8"/>
      <c r="W129" s="3"/>
      <c r="X129" s="3"/>
      <c r="Y129" s="3"/>
      <c r="Z129" s="8"/>
    </row>
    <row r="130" spans="1:26" s="23" customFormat="1" ht="15.75" thickBot="1" x14ac:dyDescent="0.3">
      <c r="A130" s="10"/>
      <c r="B130" s="26" t="s">
        <v>5</v>
      </c>
      <c r="C130" s="26"/>
      <c r="D130" s="30">
        <f>SUM(D127:D129)</f>
        <v>-111369.17</v>
      </c>
      <c r="E130" s="13"/>
      <c r="F130" s="31">
        <f>IF(D$12=0,0,D130/D$12)</f>
        <v>-20.092075685466561</v>
      </c>
      <c r="G130" s="13"/>
      <c r="H130" s="30">
        <f>SUM(H127:H129)</f>
        <v>-202566.78999999992</v>
      </c>
      <c r="I130" s="13"/>
      <c r="J130" s="31">
        <f>IF(H$12=0,0,H130/H$12)</f>
        <v>-0.42538312702649206</v>
      </c>
      <c r="K130" s="16"/>
      <c r="L130" s="30">
        <f>+D130-H130</f>
        <v>91197.619999999923</v>
      </c>
      <c r="M130" s="16"/>
      <c r="N130" s="31">
        <f>IF(H130=0,0,L130/H130)</f>
        <v>-0.45021012575654656</v>
      </c>
      <c r="O130" s="25"/>
      <c r="P130" s="30">
        <f>SUM(P127:P129)</f>
        <v>-270959.96000000002</v>
      </c>
      <c r="Q130" s="13"/>
      <c r="R130" s="31">
        <f>IF(P$12=0,0,P130/P$12)</f>
        <v>-41.571984626832482</v>
      </c>
      <c r="S130" s="13"/>
      <c r="T130" s="30">
        <f>SUM(T127:T129)</f>
        <v>-546261.45999999973</v>
      </c>
      <c r="U130" s="13"/>
      <c r="V130" s="31">
        <f>IF(T$12=0,0,T130/T$12)</f>
        <v>-0.76454820739565188</v>
      </c>
      <c r="W130" s="16"/>
      <c r="X130" s="30">
        <f>+P130-T130</f>
        <v>275301.49999999971</v>
      </c>
      <c r="Y130" s="16"/>
      <c r="Z130" s="31">
        <f>IF(T130=0,0,X130/T130)</f>
        <v>-0.50397386628739993</v>
      </c>
    </row>
    <row r="131" spans="1:26" ht="15.75" thickTop="1" x14ac:dyDescent="0.25">
      <c r="A131" s="9"/>
      <c r="C131" s="9"/>
      <c r="D131" s="18"/>
      <c r="E131" s="18"/>
      <c r="G131" s="18"/>
      <c r="H131" s="18"/>
      <c r="I131" s="18"/>
      <c r="J131" s="43"/>
      <c r="K131" s="18"/>
      <c r="L131" s="18"/>
      <c r="M131" s="18"/>
      <c r="P131" s="18"/>
      <c r="Q131" s="18"/>
      <c r="R131" s="43"/>
      <c r="S131" s="18"/>
      <c r="T131" s="18"/>
      <c r="U131" s="18"/>
      <c r="V131" s="43"/>
      <c r="W131" s="18"/>
      <c r="X131" s="18"/>
    </row>
    <row r="132" spans="1:26" x14ac:dyDescent="0.25">
      <c r="A132" s="9"/>
      <c r="B132" s="61">
        <v>44113.69583827546</v>
      </c>
      <c r="D132" s="18"/>
      <c r="E132" s="18"/>
      <c r="G132" s="18"/>
      <c r="H132" s="18"/>
      <c r="I132" s="18"/>
      <c r="J132" s="43"/>
      <c r="K132" s="18"/>
      <c r="L132" s="18"/>
      <c r="M132" s="18"/>
      <c r="P132" s="18"/>
      <c r="Q132" s="18"/>
      <c r="R132" s="43"/>
      <c r="S132" s="18"/>
      <c r="T132" s="18"/>
      <c r="U132" s="18"/>
      <c r="V132" s="43"/>
      <c r="W132" s="18"/>
      <c r="X132" s="18"/>
    </row>
    <row r="133" spans="1:26" x14ac:dyDescent="0.25">
      <c r="A133" s="9"/>
      <c r="B133" s="56" t="s">
        <v>313</v>
      </c>
      <c r="D133" s="18"/>
      <c r="E133" s="18"/>
      <c r="G133" s="18"/>
      <c r="H133" s="18"/>
      <c r="I133" s="18"/>
      <c r="J133" s="43"/>
      <c r="K133" s="18"/>
      <c r="L133" s="18"/>
      <c r="M133" s="18"/>
      <c r="P133" s="18"/>
      <c r="Q133" s="18"/>
      <c r="R133" s="43"/>
      <c r="S133" s="18"/>
      <c r="T133" s="18"/>
      <c r="U133" s="18"/>
      <c r="V133" s="43"/>
      <c r="W133" s="18"/>
      <c r="X133" s="18"/>
    </row>
    <row r="134" spans="1:26" x14ac:dyDescent="0.25">
      <c r="A134" s="9"/>
      <c r="B134" s="58"/>
      <c r="D134" s="18"/>
      <c r="E134" s="18"/>
      <c r="G134" s="18"/>
      <c r="H134" s="18"/>
      <c r="I134" s="18"/>
      <c r="J134" s="43"/>
      <c r="K134" s="18"/>
      <c r="L134" s="18"/>
      <c r="M134" s="18"/>
      <c r="P134" s="18"/>
      <c r="Q134" s="18"/>
      <c r="R134" s="43"/>
      <c r="S134" s="18"/>
      <c r="T134" s="18"/>
      <c r="U134" s="18"/>
      <c r="V134" s="43"/>
      <c r="W134" s="18"/>
      <c r="X134" s="18"/>
    </row>
    <row r="135" spans="1:26" x14ac:dyDescent="0.25">
      <c r="D135" s="18"/>
      <c r="E135" s="18"/>
      <c r="G135" s="18"/>
      <c r="H135" s="18"/>
      <c r="I135" s="18"/>
      <c r="J135" s="43"/>
      <c r="K135" s="18"/>
      <c r="L135" s="18"/>
      <c r="M135" s="18"/>
      <c r="P135" s="18"/>
      <c r="Q135" s="18"/>
      <c r="R135" s="43"/>
      <c r="S135" s="18"/>
      <c r="T135" s="18"/>
      <c r="U135" s="18"/>
      <c r="V135" s="43"/>
      <c r="W135" s="18"/>
      <c r="X135" s="18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25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299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4718.9399999999996</v>
      </c>
      <c r="E12" s="4"/>
      <c r="F12" s="12"/>
      <c r="G12" s="4"/>
      <c r="H12" s="4">
        <f>SUM(OSRRefH13x_0)</f>
        <v>347480.10000000009</v>
      </c>
      <c r="I12" s="4"/>
      <c r="J12" s="12"/>
      <c r="K12" s="4"/>
      <c r="L12" s="4">
        <f t="shared" ref="L12:L21" si="0">+D12-H12</f>
        <v>-342761.16000000009</v>
      </c>
      <c r="M12" s="4"/>
      <c r="N12" s="12">
        <f t="shared" ref="N12:N21" si="1">IF(H12=0,0,L12/H12)</f>
        <v>-0.98641953884553391</v>
      </c>
      <c r="O12" s="10"/>
      <c r="P12" s="4">
        <f>SUM(OSRRefP13x_0)</f>
        <v>5693.8499999999995</v>
      </c>
      <c r="Q12" s="4"/>
      <c r="R12" s="12"/>
      <c r="S12" s="4"/>
      <c r="T12" s="4">
        <f>SUM(OSRRefT13x_0)</f>
        <v>526945.93000000005</v>
      </c>
      <c r="U12" s="4"/>
      <c r="V12" s="12"/>
      <c r="W12" s="4"/>
      <c r="X12" s="4">
        <f t="shared" ref="X12:X21" si="2">+P12-T12</f>
        <v>-521252.08000000007</v>
      </c>
      <c r="Y12" s="4"/>
      <c r="Z12" s="12">
        <f t="shared" ref="Z12:Z21" si="3">IF(T12=0,0,X12/T12)</f>
        <v>-0.98919462192259466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--2510.72</f>
        <v>2510.7199999999998</v>
      </c>
      <c r="E13" s="2"/>
      <c r="F13" s="19"/>
      <c r="G13" s="2"/>
      <c r="H13" s="2">
        <f>--34317.05</f>
        <v>34317.050000000003</v>
      </c>
      <c r="I13" s="2"/>
      <c r="J13" s="19"/>
      <c r="K13" s="2"/>
      <c r="L13" s="2">
        <f t="shared" si="0"/>
        <v>-31806.33</v>
      </c>
      <c r="M13" s="2"/>
      <c r="N13" s="19">
        <f t="shared" si="1"/>
        <v>-0.92683753411205216</v>
      </c>
      <c r="O13" s="11"/>
      <c r="P13" s="2">
        <f>--2510.72</f>
        <v>2510.7199999999998</v>
      </c>
      <c r="Q13" s="2"/>
      <c r="R13" s="19"/>
      <c r="S13" s="2"/>
      <c r="T13" s="2">
        <f>--53195.75</f>
        <v>53195.75</v>
      </c>
      <c r="U13" s="2"/>
      <c r="V13" s="19"/>
      <c r="W13" s="2"/>
      <c r="X13" s="2">
        <f t="shared" si="2"/>
        <v>-50685.03</v>
      </c>
      <c r="Y13" s="2"/>
      <c r="Z13" s="19">
        <f t="shared" si="3"/>
        <v>-0.95280224454021234</v>
      </c>
    </row>
    <row r="14" spans="1:26" s="24" customFormat="1" hidden="1" outlineLevel="1" x14ac:dyDescent="0.25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 t="shared" ref="D14:D17" si="4">0</f>
        <v>0</v>
      </c>
      <c r="E14" s="2"/>
      <c r="F14" s="19"/>
      <c r="G14" s="2"/>
      <c r="H14" s="2">
        <f>--95751.36</f>
        <v>95751.360000000001</v>
      </c>
      <c r="I14" s="2"/>
      <c r="J14" s="19"/>
      <c r="K14" s="2"/>
      <c r="L14" s="2">
        <f t="shared" si="0"/>
        <v>-95751.360000000001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--139530.2</f>
        <v>139530.20000000001</v>
      </c>
      <c r="U14" s="2"/>
      <c r="V14" s="19"/>
      <c r="W14" s="2"/>
      <c r="X14" s="2">
        <f t="shared" si="2"/>
        <v>-139530.20000000001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 t="shared" si="4"/>
        <v>0</v>
      </c>
      <c r="E15" s="2"/>
      <c r="F15" s="19"/>
      <c r="G15" s="2"/>
      <c r="H15" s="2">
        <f>--19917.63</f>
        <v>19917.63</v>
      </c>
      <c r="I15" s="2"/>
      <c r="J15" s="19"/>
      <c r="K15" s="2"/>
      <c r="L15" s="2">
        <f t="shared" si="0"/>
        <v>-19917.63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--44848.74</f>
        <v>44848.74</v>
      </c>
      <c r="U15" s="2"/>
      <c r="V15" s="19"/>
      <c r="W15" s="2"/>
      <c r="X15" s="2">
        <f t="shared" si="2"/>
        <v>-44848.74</v>
      </c>
      <c r="Y15" s="2"/>
      <c r="Z15" s="19">
        <f t="shared" si="3"/>
        <v>-1</v>
      </c>
    </row>
    <row r="16" spans="1:26" s="24" customFormat="1" hidden="1" outlineLevel="1" x14ac:dyDescent="0.25">
      <c r="A16" s="44"/>
      <c r="B16" s="11" t="str">
        <f>CONCATENATE("          ", "4055", " - ", "TAXABLE SALES-FOOD")</f>
        <v xml:space="preserve">          4055 - TAXABLE SALES-FOOD</v>
      </c>
      <c r="C16" s="11"/>
      <c r="D16" s="2">
        <f t="shared" si="4"/>
        <v>0</v>
      </c>
      <c r="E16" s="2"/>
      <c r="F16" s="19"/>
      <c r="G16" s="2"/>
      <c r="H16" s="2">
        <f>--29693.44</f>
        <v>29693.439999999999</v>
      </c>
      <c r="I16" s="2"/>
      <c r="J16" s="19"/>
      <c r="K16" s="2"/>
      <c r="L16" s="2">
        <f t="shared" si="0"/>
        <v>-29693.439999999999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--43937.07</f>
        <v>43937.07</v>
      </c>
      <c r="U16" s="2"/>
      <c r="V16" s="19"/>
      <c r="W16" s="2"/>
      <c r="X16" s="2">
        <f t="shared" si="2"/>
        <v>-43937.07</v>
      </c>
      <c r="Y16" s="2"/>
      <c r="Z16" s="19">
        <f t="shared" si="3"/>
        <v>-1</v>
      </c>
    </row>
    <row r="17" spans="1:26" s="24" customFormat="1" hidden="1" outlineLevel="1" x14ac:dyDescent="0.25">
      <c r="A17" s="44"/>
      <c r="B17" s="11" t="str">
        <f>CONCATENATE("          ", "4058", " - ", "TAXABLE SALES-FOOD")</f>
        <v xml:space="preserve">          4058 - TAXABLE SALES-FOOD</v>
      </c>
      <c r="C17" s="11"/>
      <c r="D17" s="2">
        <f t="shared" si="4"/>
        <v>0</v>
      </c>
      <c r="E17" s="2"/>
      <c r="F17" s="19"/>
      <c r="G17" s="2"/>
      <c r="H17" s="2">
        <f>--9436.48</f>
        <v>9436.48</v>
      </c>
      <c r="I17" s="2"/>
      <c r="J17" s="19"/>
      <c r="K17" s="2"/>
      <c r="L17" s="2">
        <f t="shared" si="0"/>
        <v>-9436.48</v>
      </c>
      <c r="M17" s="2"/>
      <c r="N17" s="19">
        <f t="shared" si="1"/>
        <v>-1</v>
      </c>
      <c r="O17" s="11"/>
      <c r="P17" s="2">
        <f>--974.91</f>
        <v>974.91</v>
      </c>
      <c r="Q17" s="2"/>
      <c r="R17" s="19"/>
      <c r="S17" s="2"/>
      <c r="T17" s="2">
        <f>--17838.14</f>
        <v>17838.14</v>
      </c>
      <c r="U17" s="2"/>
      <c r="V17" s="19"/>
      <c r="W17" s="2"/>
      <c r="X17" s="2">
        <f t="shared" si="2"/>
        <v>-16863.23</v>
      </c>
      <c r="Y17" s="2"/>
      <c r="Z17" s="19">
        <f t="shared" si="3"/>
        <v>-0.94534688033617853</v>
      </c>
    </row>
    <row r="18" spans="1:26" s="24" customFormat="1" hidden="1" outlineLevel="1" x14ac:dyDescent="0.25">
      <c r="A18" s="44"/>
      <c r="B18" s="11" t="str">
        <f>CONCATENATE("          ", "4151", " - ", "NON-TAXABLE SALES-FOOD")</f>
        <v xml:space="preserve">          4151 - NON-TAXABLE SALES-FOOD</v>
      </c>
      <c r="C18" s="11"/>
      <c r="D18" s="2">
        <f>--2208.22</f>
        <v>2208.2199999999998</v>
      </c>
      <c r="E18" s="2"/>
      <c r="F18" s="19"/>
      <c r="G18" s="2"/>
      <c r="H18" s="2">
        <f>--78475.1</f>
        <v>78475.100000000006</v>
      </c>
      <c r="I18" s="2"/>
      <c r="J18" s="19"/>
      <c r="K18" s="2"/>
      <c r="L18" s="2">
        <f t="shared" si="0"/>
        <v>-76266.880000000005</v>
      </c>
      <c r="M18" s="2"/>
      <c r="N18" s="19">
        <f t="shared" si="1"/>
        <v>-0.9718608832610599</v>
      </c>
      <c r="O18" s="11"/>
      <c r="P18" s="2">
        <f>--2208.22</f>
        <v>2208.2199999999998</v>
      </c>
      <c r="Q18" s="2"/>
      <c r="R18" s="19"/>
      <c r="S18" s="2"/>
      <c r="T18" s="2">
        <f>--108843.55</f>
        <v>108843.55</v>
      </c>
      <c r="U18" s="2"/>
      <c r="V18" s="19"/>
      <c r="W18" s="2"/>
      <c r="X18" s="2">
        <f t="shared" si="2"/>
        <v>-106635.33</v>
      </c>
      <c r="Y18" s="2"/>
      <c r="Z18" s="19">
        <f t="shared" si="3"/>
        <v>-0.97971198109580215</v>
      </c>
    </row>
    <row r="19" spans="1:26" s="24" customFormat="1" hidden="1" outlineLevel="1" x14ac:dyDescent="0.25">
      <c r="A19" s="44"/>
      <c r="B19" s="11" t="str">
        <f>CONCATENATE("          ", "4152", " - ", "NON-TAXABLE SALES-FOOD")</f>
        <v xml:space="preserve">          4152 - NON-TAXABLE SALES-FOOD</v>
      </c>
      <c r="C19" s="11"/>
      <c r="D19" s="2">
        <f t="shared" ref="D19:D21" si="6">0</f>
        <v>0</v>
      </c>
      <c r="E19" s="2"/>
      <c r="F19" s="19"/>
      <c r="G19" s="2"/>
      <c r="H19" s="2">
        <f>--3990.43</f>
        <v>3990.43</v>
      </c>
      <c r="I19" s="2"/>
      <c r="J19" s="19"/>
      <c r="K19" s="2"/>
      <c r="L19" s="2">
        <f t="shared" si="0"/>
        <v>-3990.43</v>
      </c>
      <c r="M19" s="2"/>
      <c r="N19" s="19">
        <f t="shared" si="1"/>
        <v>-1</v>
      </c>
      <c r="O19" s="11"/>
      <c r="P19" s="2">
        <f t="shared" ref="P19:P21" si="7">0</f>
        <v>0</v>
      </c>
      <c r="Q19" s="2"/>
      <c r="R19" s="19"/>
      <c r="S19" s="2"/>
      <c r="T19" s="2">
        <f>--7657.52</f>
        <v>7657.52</v>
      </c>
      <c r="U19" s="2"/>
      <c r="V19" s="19"/>
      <c r="W19" s="2"/>
      <c r="X19" s="2">
        <f t="shared" si="2"/>
        <v>-7657.52</v>
      </c>
      <c r="Y19" s="2"/>
      <c r="Z19" s="19">
        <f t="shared" si="3"/>
        <v>-1</v>
      </c>
    </row>
    <row r="20" spans="1:26" s="24" customFormat="1" hidden="1" outlineLevel="1" x14ac:dyDescent="0.25">
      <c r="A20" s="44"/>
      <c r="B20" s="11" t="str">
        <f>CONCATENATE("          ", "4155", " - ", "NON-TAXABLE SALES-FOOD")</f>
        <v xml:space="preserve">          4155 - NON-TAXABLE SALES-FOOD</v>
      </c>
      <c r="C20" s="11"/>
      <c r="D20" s="2">
        <f t="shared" si="6"/>
        <v>0</v>
      </c>
      <c r="E20" s="2"/>
      <c r="F20" s="19"/>
      <c r="G20" s="2"/>
      <c r="H20" s="2">
        <f>--45088.39</f>
        <v>45088.39</v>
      </c>
      <c r="I20" s="2"/>
      <c r="J20" s="19"/>
      <c r="K20" s="2"/>
      <c r="L20" s="2">
        <f t="shared" si="0"/>
        <v>-45088.39</v>
      </c>
      <c r="M20" s="2"/>
      <c r="N20" s="19">
        <f t="shared" si="1"/>
        <v>-1</v>
      </c>
      <c r="O20" s="11"/>
      <c r="P20" s="2">
        <f t="shared" si="7"/>
        <v>0</v>
      </c>
      <c r="Q20" s="2"/>
      <c r="R20" s="19"/>
      <c r="S20" s="2"/>
      <c r="T20" s="2">
        <f>--70725.05</f>
        <v>70725.05</v>
      </c>
      <c r="U20" s="2"/>
      <c r="V20" s="19"/>
      <c r="W20" s="2"/>
      <c r="X20" s="2">
        <f t="shared" si="2"/>
        <v>-70725.05</v>
      </c>
      <c r="Y20" s="2"/>
      <c r="Z20" s="19">
        <f t="shared" si="3"/>
        <v>-1</v>
      </c>
    </row>
    <row r="21" spans="1:26" s="24" customFormat="1" hidden="1" outlineLevel="1" x14ac:dyDescent="0.25">
      <c r="A21" s="44"/>
      <c r="B21" s="11" t="str">
        <f>CONCATENATE("          ", "4158", " - ", "NON-TAXABLE SALES-FOOD")</f>
        <v xml:space="preserve">          4158 - NON-TAXABLE SALES-FOOD</v>
      </c>
      <c r="C21" s="11"/>
      <c r="D21" s="2">
        <f t="shared" si="6"/>
        <v>0</v>
      </c>
      <c r="E21" s="2"/>
      <c r="F21" s="19"/>
      <c r="G21" s="2"/>
      <c r="H21" s="2">
        <f>--30810.22</f>
        <v>30810.22</v>
      </c>
      <c r="I21" s="2"/>
      <c r="J21" s="19"/>
      <c r="K21" s="2"/>
      <c r="L21" s="2">
        <f t="shared" si="0"/>
        <v>-30810.22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--40369.91</f>
        <v>40369.910000000003</v>
      </c>
      <c r="U21" s="2"/>
      <c r="V21" s="19"/>
      <c r="W21" s="2"/>
      <c r="X21" s="2">
        <f t="shared" si="2"/>
        <v>-40369.910000000003</v>
      </c>
      <c r="Y21" s="2"/>
      <c r="Z21" s="19">
        <f t="shared" si="3"/>
        <v>-1</v>
      </c>
    </row>
    <row r="22" spans="1:26" x14ac:dyDescent="0.25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25">
      <c r="A23" s="10"/>
      <c r="B23" s="25" t="s">
        <v>8</v>
      </c>
      <c r="C23" s="10"/>
      <c r="D23" s="4">
        <f>SUM(OSRRefD16x_0)</f>
        <v>4245.9399999999996</v>
      </c>
      <c r="E23" s="4"/>
      <c r="F23" s="12">
        <f t="shared" ref="F23:F25" si="8">IF(D$12=0,0,D23/D$12)</f>
        <v>0.89976562533111248</v>
      </c>
      <c r="G23" s="4"/>
      <c r="H23" s="4">
        <f>SUM(OSRRefH16x_0)</f>
        <v>108837.59</v>
      </c>
      <c r="I23" s="4"/>
      <c r="J23" s="12">
        <f t="shared" ref="J23:J25" si="9">IF(H$12=0,0,H23/H$12)</f>
        <v>0.31321963473591713</v>
      </c>
      <c r="K23" s="4"/>
      <c r="L23" s="4">
        <f t="shared" ref="L23:L25" si="10">+D23-H23</f>
        <v>-104591.65</v>
      </c>
      <c r="M23" s="4"/>
      <c r="N23" s="12">
        <f t="shared" ref="N23:N25" si="11">IF(H23=0,0,L23/H23)</f>
        <v>-0.96098829457726875</v>
      </c>
      <c r="O23" s="10"/>
      <c r="P23" s="4">
        <f>SUM(OSRRefP16x_0)</f>
        <v>4245.9399999999996</v>
      </c>
      <c r="Q23" s="4"/>
      <c r="R23" s="12">
        <f t="shared" ref="R23:R25" si="12">IF(P$12=0,0,P23/P$12)</f>
        <v>0.74570633227078342</v>
      </c>
      <c r="S23" s="4"/>
      <c r="T23" s="4">
        <f>SUM(OSRRefT16x_0)</f>
        <v>178458.82</v>
      </c>
      <c r="U23" s="4"/>
      <c r="V23" s="12">
        <f t="shared" ref="V23:V25" si="13">IF(T$12=0,0,T23/T$12)</f>
        <v>0.33866628403411331</v>
      </c>
      <c r="W23" s="4"/>
      <c r="X23" s="4">
        <f t="shared" ref="X23:X25" si="14">+P23-T23</f>
        <v>-174212.88</v>
      </c>
      <c r="Y23" s="4"/>
      <c r="Z23" s="12">
        <f t="shared" ref="Z23:Z25" si="15">IF(T23=0,0,X23/T23)</f>
        <v>-0.9762077324057169</v>
      </c>
    </row>
    <row r="24" spans="1:26" s="24" customFormat="1" hidden="1" outlineLevel="1" x14ac:dyDescent="0.25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4200.9399999999996</v>
      </c>
      <c r="E24" s="2"/>
      <c r="F24" s="19">
        <f t="shared" si="8"/>
        <v>0.8902295854577511</v>
      </c>
      <c r="G24" s="2"/>
      <c r="H24" s="2">
        <v>125619.93</v>
      </c>
      <c r="I24" s="2"/>
      <c r="J24" s="19">
        <f t="shared" si="9"/>
        <v>0.36151690413350279</v>
      </c>
      <c r="K24" s="2"/>
      <c r="L24" s="2">
        <f t="shared" si="10"/>
        <v>-121418.98999999999</v>
      </c>
      <c r="M24" s="2"/>
      <c r="N24" s="19">
        <f t="shared" si="11"/>
        <v>-0.96655833194621266</v>
      </c>
      <c r="O24" s="11"/>
      <c r="P24" s="2">
        <v>4200.9399999999996</v>
      </c>
      <c r="Q24" s="2"/>
      <c r="R24" s="19">
        <f t="shared" si="12"/>
        <v>0.73780306822273156</v>
      </c>
      <c r="S24" s="2"/>
      <c r="T24" s="2">
        <v>203483.16</v>
      </c>
      <c r="U24" s="2"/>
      <c r="V24" s="19">
        <f t="shared" si="13"/>
        <v>0.38615567255638539</v>
      </c>
      <c r="W24" s="2"/>
      <c r="X24" s="2">
        <f t="shared" si="14"/>
        <v>-199282.22</v>
      </c>
      <c r="Y24" s="2"/>
      <c r="Z24" s="19">
        <f t="shared" si="15"/>
        <v>-0.97935485177250048</v>
      </c>
    </row>
    <row r="25" spans="1:26" s="24" customFormat="1" hidden="1" outlineLevel="1" x14ac:dyDescent="0.25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45</v>
      </c>
      <c r="E25" s="2"/>
      <c r="F25" s="19">
        <f t="shared" si="8"/>
        <v>9.5360398733613915E-3</v>
      </c>
      <c r="G25" s="2"/>
      <c r="H25" s="2">
        <v>-16782.34</v>
      </c>
      <c r="I25" s="2"/>
      <c r="J25" s="19">
        <f t="shared" si="9"/>
        <v>-4.8297269397585635E-2</v>
      </c>
      <c r="K25" s="2"/>
      <c r="L25" s="2">
        <f t="shared" si="10"/>
        <v>16827.34</v>
      </c>
      <c r="M25" s="2"/>
      <c r="N25" s="19">
        <f t="shared" si="11"/>
        <v>-1.0026813900802867</v>
      </c>
      <c r="O25" s="11"/>
      <c r="P25" s="2">
        <v>45</v>
      </c>
      <c r="Q25" s="2"/>
      <c r="R25" s="19">
        <f t="shared" si="12"/>
        <v>7.9032640480518456E-3</v>
      </c>
      <c r="S25" s="2"/>
      <c r="T25" s="2">
        <v>-25024.34</v>
      </c>
      <c r="U25" s="2"/>
      <c r="V25" s="19">
        <f t="shared" si="13"/>
        <v>-4.7489388522272101E-2</v>
      </c>
      <c r="W25" s="2"/>
      <c r="X25" s="2">
        <f t="shared" si="14"/>
        <v>25069.34</v>
      </c>
      <c r="Y25" s="2"/>
      <c r="Z25" s="19">
        <f t="shared" si="15"/>
        <v>-1.001798249224555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6</v>
      </c>
      <c r="C27" s="26"/>
      <c r="D27" s="22">
        <f>D12-D23</f>
        <v>473</v>
      </c>
      <c r="E27" s="13"/>
      <c r="F27" s="21">
        <f>IF(D$12=0,0,D27/D$12)</f>
        <v>0.10023437466888752</v>
      </c>
      <c r="G27" s="13"/>
      <c r="H27" s="22">
        <f>H12-H23</f>
        <v>238642.5100000001</v>
      </c>
      <c r="I27" s="13"/>
      <c r="J27" s="21">
        <f>IF(H$12=0,0,H27/H$12)</f>
        <v>0.68678036526408281</v>
      </c>
      <c r="K27" s="16"/>
      <c r="L27" s="22">
        <f>+D27-H27</f>
        <v>-238169.5100000001</v>
      </c>
      <c r="M27" s="16"/>
      <c r="N27" s="21">
        <f>IF(H27=0,0,L27/H27)</f>
        <v>-0.99801795581181241</v>
      </c>
      <c r="O27" s="25"/>
      <c r="P27" s="22">
        <f>P12-P23</f>
        <v>1447.9099999999999</v>
      </c>
      <c r="Q27" s="13"/>
      <c r="R27" s="21">
        <f>IF(P$12=0,0,P27/P$12)</f>
        <v>0.25429366772921663</v>
      </c>
      <c r="S27" s="13"/>
      <c r="T27" s="22">
        <f>T12-T23</f>
        <v>348487.11000000004</v>
      </c>
      <c r="U27" s="13"/>
      <c r="V27" s="21">
        <f>IF(T$12=0,0,T27/T$12)</f>
        <v>0.66133371596588664</v>
      </c>
      <c r="W27" s="16"/>
      <c r="X27" s="22">
        <f>+P27-T27</f>
        <v>-347039.20000000007</v>
      </c>
      <c r="Y27" s="16"/>
      <c r="Z27" s="21">
        <f>IF(T27=0,0,X27/T27)</f>
        <v>-0.99584515478922597</v>
      </c>
    </row>
    <row r="28" spans="1:26" x14ac:dyDescent="0.25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25">
      <c r="A29" s="10"/>
      <c r="B29" s="25" t="s">
        <v>9</v>
      </c>
      <c r="C29" s="10"/>
      <c r="D29" s="20">
        <f>SUM(OSRRefD22x_0)</f>
        <v>84836.560000000012</v>
      </c>
      <c r="E29" s="20"/>
      <c r="F29" s="35">
        <f t="shared" ref="F29:F39" si="16">IF(D$12=0,0,D29/D$12)</f>
        <v>17.977884863973692</v>
      </c>
      <c r="G29" s="20"/>
      <c r="H29" s="20">
        <f>SUM(OSRRefH22x_0)</f>
        <v>390908.52000000014</v>
      </c>
      <c r="I29" s="20"/>
      <c r="J29" s="35">
        <f t="shared" ref="J29:J39" si="17">IF(H$12=0,0,H29/H$12)</f>
        <v>1.1249810276905068</v>
      </c>
      <c r="K29" s="4"/>
      <c r="L29" s="20">
        <f t="shared" ref="L29:L39" si="18">+D29-H29</f>
        <v>-306071.96000000014</v>
      </c>
      <c r="M29" s="4"/>
      <c r="N29" s="35">
        <f t="shared" ref="N29:N39" si="19">IF(H29=0,0,L29/H29)</f>
        <v>-0.78297592490437418</v>
      </c>
      <c r="O29" s="10"/>
      <c r="P29" s="20">
        <f>SUM(OSRRefP22x_0)</f>
        <v>211961.71</v>
      </c>
      <c r="Q29" s="20"/>
      <c r="R29" s="35">
        <f t="shared" ref="R29:R39" si="20">IF(P$12=0,0,P29/P$12)</f>
        <v>37.226430271257584</v>
      </c>
      <c r="S29" s="20"/>
      <c r="T29" s="20">
        <f>SUM(OSRRefT22x_0)</f>
        <v>794668.4800000001</v>
      </c>
      <c r="U29" s="20"/>
      <c r="V29" s="35">
        <f t="shared" ref="V29:V39" si="21">IF(T$12=0,0,T29/T$12)</f>
        <v>1.508064556073144</v>
      </c>
      <c r="W29" s="4"/>
      <c r="X29" s="20">
        <f t="shared" ref="X29:X39" si="22">+P29-T29</f>
        <v>-582706.77000000014</v>
      </c>
      <c r="Y29" s="4"/>
      <c r="Z29" s="35">
        <f t="shared" ref="Z29:Z39" si="23">IF(T29=0,0,X29/T29)</f>
        <v>-0.73327026887992341</v>
      </c>
    </row>
    <row r="30" spans="1:26" s="28" customFormat="1" outlineLevel="1" collapsed="1" x14ac:dyDescent="0.25">
      <c r="A30" s="27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21317.179999999997</v>
      </c>
      <c r="E30" s="1"/>
      <c r="F30" s="5">
        <f t="shared" si="16"/>
        <v>4.517366188169377</v>
      </c>
      <c r="G30" s="1"/>
      <c r="H30" s="1">
        <f>SUM(OSRRefH22_0x_0)</f>
        <v>58225.58</v>
      </c>
      <c r="I30" s="1"/>
      <c r="J30" s="5">
        <f t="shared" si="17"/>
        <v>0.16756522172061072</v>
      </c>
      <c r="K30" s="1"/>
      <c r="L30" s="1">
        <f t="shared" si="18"/>
        <v>-36908.400000000009</v>
      </c>
      <c r="M30" s="1"/>
      <c r="N30" s="5">
        <f t="shared" si="19"/>
        <v>-0.63388634342500338</v>
      </c>
      <c r="O30" s="14"/>
      <c r="P30" s="1">
        <f>SUM(OSRRefP22_0x_0)</f>
        <v>47290.65</v>
      </c>
      <c r="Q30" s="1"/>
      <c r="R30" s="5">
        <f t="shared" si="20"/>
        <v>8.3055665323111789</v>
      </c>
      <c r="S30" s="1"/>
      <c r="T30" s="1">
        <f>SUM(OSRRefT22_0x_0)</f>
        <v>124407.06</v>
      </c>
      <c r="U30" s="1"/>
      <c r="V30" s="5">
        <f t="shared" si="21"/>
        <v>0.23609075033561791</v>
      </c>
      <c r="W30" s="1"/>
      <c r="X30" s="1">
        <f t="shared" si="22"/>
        <v>-77116.41</v>
      </c>
      <c r="Y30" s="1"/>
      <c r="Z30" s="5">
        <f t="shared" si="23"/>
        <v>-0.61987165358621932</v>
      </c>
    </row>
    <row r="31" spans="1:26" s="24" customFormat="1" hidden="1" outlineLevel="2" x14ac:dyDescent="0.25">
      <c r="A31" s="29"/>
      <c r="B31" s="11" t="str">
        <f>CONCATENATE("          ", "6111", " - ", "F.I.C.A.")</f>
        <v xml:space="preserve">          6111 - F.I.C.A.</v>
      </c>
      <c r="C31" s="11"/>
      <c r="D31" s="7">
        <v>2439.41</v>
      </c>
      <c r="E31" s="2"/>
      <c r="F31" s="6">
        <f t="shared" si="16"/>
        <v>0.51694024505503355</v>
      </c>
      <c r="G31" s="2"/>
      <c r="H31" s="7">
        <v>12778.57</v>
      </c>
      <c r="I31" s="2"/>
      <c r="J31" s="6">
        <f t="shared" si="17"/>
        <v>3.6774969271621584E-2</v>
      </c>
      <c r="K31" s="2"/>
      <c r="L31" s="7">
        <f t="shared" si="18"/>
        <v>-10339.16</v>
      </c>
      <c r="M31" s="2"/>
      <c r="N31" s="6">
        <f t="shared" si="19"/>
        <v>-0.80910148788166436</v>
      </c>
      <c r="O31" s="11"/>
      <c r="P31" s="7">
        <v>5054.0600000000004</v>
      </c>
      <c r="Q31" s="2"/>
      <c r="R31" s="6">
        <f t="shared" si="20"/>
        <v>0.8876349043265982</v>
      </c>
      <c r="S31" s="2"/>
      <c r="T31" s="7">
        <v>23234.76</v>
      </c>
      <c r="U31" s="2"/>
      <c r="V31" s="6">
        <f t="shared" si="21"/>
        <v>4.4093252603734874E-2</v>
      </c>
      <c r="W31" s="2"/>
      <c r="X31" s="7">
        <f t="shared" si="22"/>
        <v>-18180.699999999997</v>
      </c>
      <c r="Y31" s="2"/>
      <c r="Z31" s="6">
        <f t="shared" si="23"/>
        <v>-0.78247849342967168</v>
      </c>
    </row>
    <row r="32" spans="1:26" s="24" customFormat="1" hidden="1" outlineLevel="2" x14ac:dyDescent="0.25">
      <c r="A32" s="29"/>
      <c r="B32" s="11" t="str">
        <f>CONCATENATE("          ", "6112", " - ", "COMPENSATION INSURANCE")</f>
        <v xml:space="preserve">          6112 - COMPENSATION INSURANCE</v>
      </c>
      <c r="C32" s="11"/>
      <c r="D32" s="7">
        <v>613.87</v>
      </c>
      <c r="E32" s="2"/>
      <c r="F32" s="6">
        <f t="shared" si="16"/>
        <v>0.13008641771245238</v>
      </c>
      <c r="G32" s="2"/>
      <c r="H32" s="7">
        <v>6238.95</v>
      </c>
      <c r="I32" s="2"/>
      <c r="J32" s="6">
        <f t="shared" si="17"/>
        <v>1.795484115493232E-2</v>
      </c>
      <c r="K32" s="2"/>
      <c r="L32" s="7">
        <f t="shared" si="18"/>
        <v>-5625.08</v>
      </c>
      <c r="M32" s="2"/>
      <c r="N32" s="6">
        <f t="shared" si="19"/>
        <v>-0.90160684089470189</v>
      </c>
      <c r="O32" s="11"/>
      <c r="P32" s="7">
        <v>1182.77</v>
      </c>
      <c r="Q32" s="2"/>
      <c r="R32" s="6">
        <f t="shared" si="20"/>
        <v>0.20772763595809515</v>
      </c>
      <c r="S32" s="2"/>
      <c r="T32" s="7">
        <v>11187.75</v>
      </c>
      <c r="U32" s="2"/>
      <c r="V32" s="6">
        <f t="shared" si="21"/>
        <v>2.1231305458607488E-2</v>
      </c>
      <c r="W32" s="2"/>
      <c r="X32" s="7">
        <f t="shared" si="22"/>
        <v>-10004.98</v>
      </c>
      <c r="Y32" s="2"/>
      <c r="Z32" s="6">
        <f t="shared" si="23"/>
        <v>-0.89427990435967908</v>
      </c>
    </row>
    <row r="33" spans="1:26" s="24" customFormat="1" hidden="1" outlineLevel="2" x14ac:dyDescent="0.25">
      <c r="A33" s="29"/>
      <c r="B33" s="11" t="str">
        <f>CONCATENATE("          ", "6113", " - ", "GROUP INSURANCE")</f>
        <v xml:space="preserve">          6113 - GROUP INSURANCE</v>
      </c>
      <c r="C33" s="11"/>
      <c r="D33" s="7">
        <v>10662.18</v>
      </c>
      <c r="E33" s="2"/>
      <c r="F33" s="6">
        <f t="shared" si="16"/>
        <v>2.2594438581545857</v>
      </c>
      <c r="G33" s="2"/>
      <c r="H33" s="7">
        <v>20602.48</v>
      </c>
      <c r="I33" s="2"/>
      <c r="J33" s="6">
        <f t="shared" si="17"/>
        <v>5.9291107605874388E-2</v>
      </c>
      <c r="K33" s="2"/>
      <c r="L33" s="7">
        <f t="shared" si="18"/>
        <v>-9940.2999999999993</v>
      </c>
      <c r="M33" s="2"/>
      <c r="N33" s="6">
        <f t="shared" si="19"/>
        <v>-0.48248074989030443</v>
      </c>
      <c r="O33" s="11"/>
      <c r="P33" s="7">
        <v>24280.7</v>
      </c>
      <c r="Q33" s="2"/>
      <c r="R33" s="6">
        <f t="shared" si="20"/>
        <v>4.2643729638118328</v>
      </c>
      <c r="S33" s="2"/>
      <c r="T33" s="7">
        <v>41205.040000000001</v>
      </c>
      <c r="U33" s="2"/>
      <c r="V33" s="6">
        <f t="shared" si="21"/>
        <v>7.8195954564066944E-2</v>
      </c>
      <c r="W33" s="2"/>
      <c r="X33" s="7">
        <f t="shared" si="22"/>
        <v>-16924.34</v>
      </c>
      <c r="Y33" s="2"/>
      <c r="Z33" s="6">
        <f t="shared" si="23"/>
        <v>-0.41073470623981923</v>
      </c>
    </row>
    <row r="34" spans="1:26" s="24" customFormat="1" hidden="1" outlineLevel="2" x14ac:dyDescent="0.25">
      <c r="A34" s="29"/>
      <c r="B34" s="11" t="str">
        <f>CONCATENATE("          ", "6114", " - ", "STATE UNEMPLOYMENT INSURANCE")</f>
        <v xml:space="preserve">          6114 - STATE UNEMPLOYMENT INSURANCE</v>
      </c>
      <c r="C34" s="11"/>
      <c r="D34" s="7">
        <v>84.68</v>
      </c>
      <c r="E34" s="2"/>
      <c r="F34" s="6">
        <f t="shared" si="16"/>
        <v>1.7944707921694281E-2</v>
      </c>
      <c r="G34" s="2"/>
      <c r="H34" s="7">
        <v>435.89</v>
      </c>
      <c r="I34" s="2"/>
      <c r="J34" s="6">
        <f t="shared" si="17"/>
        <v>1.2544315487419276E-3</v>
      </c>
      <c r="K34" s="2"/>
      <c r="L34" s="7">
        <f t="shared" si="18"/>
        <v>-351.21</v>
      </c>
      <c r="M34" s="2"/>
      <c r="N34" s="6">
        <f t="shared" si="19"/>
        <v>-0.805730803643121</v>
      </c>
      <c r="O34" s="11"/>
      <c r="P34" s="7">
        <v>166.63</v>
      </c>
      <c r="Q34" s="2"/>
      <c r="R34" s="6">
        <f t="shared" si="20"/>
        <v>2.9264908629486202E-2</v>
      </c>
      <c r="S34" s="2"/>
      <c r="T34" s="7">
        <v>785.34</v>
      </c>
      <c r="U34" s="2"/>
      <c r="V34" s="6">
        <f t="shared" si="21"/>
        <v>1.4903616391913302E-3</v>
      </c>
      <c r="W34" s="2"/>
      <c r="X34" s="7">
        <f t="shared" si="22"/>
        <v>-618.71</v>
      </c>
      <c r="Y34" s="2"/>
      <c r="Z34" s="6">
        <f t="shared" si="23"/>
        <v>-0.78782438179641945</v>
      </c>
    </row>
    <row r="35" spans="1:26" s="24" customFormat="1" hidden="1" outlineLevel="2" x14ac:dyDescent="0.25">
      <c r="A35" s="29"/>
      <c r="B35" s="11" t="str">
        <f>CONCATENATE("          ", "6115", " - ", "P.E.R.S.")</f>
        <v xml:space="preserve">          6115 - P.E.R.S.</v>
      </c>
      <c r="C35" s="11"/>
      <c r="D35" s="7">
        <v>2748.35</v>
      </c>
      <c r="E35" s="2"/>
      <c r="F35" s="6">
        <f t="shared" si="16"/>
        <v>0.58240833746561727</v>
      </c>
      <c r="G35" s="2"/>
      <c r="H35" s="7">
        <v>5779.58</v>
      </c>
      <c r="I35" s="2"/>
      <c r="J35" s="6">
        <f t="shared" si="17"/>
        <v>1.6632837391263554E-2</v>
      </c>
      <c r="K35" s="2"/>
      <c r="L35" s="7">
        <f t="shared" si="18"/>
        <v>-3031.23</v>
      </c>
      <c r="M35" s="2"/>
      <c r="N35" s="6">
        <f t="shared" si="19"/>
        <v>-0.52447236650414042</v>
      </c>
      <c r="O35" s="11"/>
      <c r="P35" s="7">
        <v>7397.15</v>
      </c>
      <c r="Q35" s="2"/>
      <c r="R35" s="6">
        <f t="shared" si="20"/>
        <v>1.2991473256232602</v>
      </c>
      <c r="S35" s="2"/>
      <c r="T35" s="7">
        <v>11559.16</v>
      </c>
      <c r="U35" s="2"/>
      <c r="V35" s="6">
        <f t="shared" si="21"/>
        <v>2.1936140582772882E-2</v>
      </c>
      <c r="W35" s="2"/>
      <c r="X35" s="7">
        <f t="shared" si="22"/>
        <v>-4162.01</v>
      </c>
      <c r="Y35" s="2"/>
      <c r="Z35" s="6">
        <f t="shared" si="23"/>
        <v>-0.36006163077593878</v>
      </c>
    </row>
    <row r="36" spans="1:26" s="24" customFormat="1" hidden="1" outlineLevel="2" x14ac:dyDescent="0.25">
      <c r="A36" s="29"/>
      <c r="B36" s="11" t="str">
        <f>CONCATENATE("          ", "6117", " - ", "RETIREMENT STAFF HOURLY")</f>
        <v xml:space="preserve">          6117 - RETIREMENT STAFF HOURLY</v>
      </c>
      <c r="C36" s="11"/>
      <c r="D36" s="7"/>
      <c r="E36" s="2"/>
      <c r="F36" s="6">
        <f t="shared" si="16"/>
        <v>0</v>
      </c>
      <c r="G36" s="2"/>
      <c r="H36" s="7">
        <v>56</v>
      </c>
      <c r="I36" s="2"/>
      <c r="J36" s="6">
        <f t="shared" si="17"/>
        <v>1.6116030817304354E-4</v>
      </c>
      <c r="K36" s="2"/>
      <c r="L36" s="7">
        <f t="shared" si="18"/>
        <v>-56</v>
      </c>
      <c r="M36" s="2"/>
      <c r="N36" s="6">
        <f t="shared" si="19"/>
        <v>-1</v>
      </c>
      <c r="O36" s="11"/>
      <c r="P36" s="7"/>
      <c r="Q36" s="2"/>
      <c r="R36" s="6">
        <f t="shared" si="20"/>
        <v>0</v>
      </c>
      <c r="S36" s="2"/>
      <c r="T36" s="7">
        <v>112</v>
      </c>
      <c r="U36" s="2"/>
      <c r="V36" s="6">
        <f t="shared" si="21"/>
        <v>2.1254552625541673E-4</v>
      </c>
      <c r="W36" s="2"/>
      <c r="X36" s="7">
        <f t="shared" si="22"/>
        <v>-112</v>
      </c>
      <c r="Y36" s="2"/>
      <c r="Z36" s="6">
        <f t="shared" si="23"/>
        <v>-1</v>
      </c>
    </row>
    <row r="37" spans="1:26" s="24" customFormat="1" hidden="1" outlineLevel="2" x14ac:dyDescent="0.25">
      <c r="A37" s="29"/>
      <c r="B37" s="11" t="str">
        <f>CONCATENATE("          ", "6118", " - ", "VACATION")</f>
        <v xml:space="preserve">          6118 - VACATION</v>
      </c>
      <c r="C37" s="11"/>
      <c r="D37" s="7">
        <v>2561.8200000000002</v>
      </c>
      <c r="E37" s="2"/>
      <c r="F37" s="6">
        <f t="shared" si="16"/>
        <v>0.54288039263054844</v>
      </c>
      <c r="G37" s="2"/>
      <c r="H37" s="7">
        <v>5591.88</v>
      </c>
      <c r="I37" s="2"/>
      <c r="J37" s="6">
        <f t="shared" si="17"/>
        <v>1.6092662572619262E-2</v>
      </c>
      <c r="K37" s="2"/>
      <c r="L37" s="7">
        <f t="shared" si="18"/>
        <v>-3030.06</v>
      </c>
      <c r="M37" s="2"/>
      <c r="N37" s="6">
        <f t="shared" si="19"/>
        <v>-0.54186785124144288</v>
      </c>
      <c r="O37" s="11"/>
      <c r="P37" s="7">
        <v>5122.1499999999996</v>
      </c>
      <c r="Q37" s="2"/>
      <c r="R37" s="6">
        <f t="shared" si="20"/>
        <v>0.89959342097175021</v>
      </c>
      <c r="S37" s="2"/>
      <c r="T37" s="7">
        <v>14109.58</v>
      </c>
      <c r="U37" s="2"/>
      <c r="V37" s="6">
        <f t="shared" si="21"/>
        <v>2.6776143806633061E-2</v>
      </c>
      <c r="W37" s="2"/>
      <c r="X37" s="7">
        <f t="shared" si="22"/>
        <v>-8987.43</v>
      </c>
      <c r="Y37" s="2"/>
      <c r="Z37" s="6">
        <f t="shared" si="23"/>
        <v>-0.63697360233259959</v>
      </c>
    </row>
    <row r="38" spans="1:26" s="24" customFormat="1" hidden="1" outlineLevel="2" x14ac:dyDescent="0.25">
      <c r="A38" s="29"/>
      <c r="B38" s="11" t="str">
        <f>CONCATENATE("          ", "6119", " - ", "SICK LEAVE")</f>
        <v xml:space="preserve">          6119 - SICK LEAVE</v>
      </c>
      <c r="C38" s="11"/>
      <c r="D38" s="7">
        <v>1497.32</v>
      </c>
      <c r="E38" s="2"/>
      <c r="F38" s="6">
        <f t="shared" si="16"/>
        <v>0.31730007162625506</v>
      </c>
      <c r="G38" s="2"/>
      <c r="H38" s="7">
        <v>4044.8</v>
      </c>
      <c r="I38" s="2"/>
      <c r="J38" s="6">
        <f t="shared" si="17"/>
        <v>1.164037883032726E-2</v>
      </c>
      <c r="K38" s="2"/>
      <c r="L38" s="7">
        <f t="shared" si="18"/>
        <v>-2547.4800000000005</v>
      </c>
      <c r="M38" s="2"/>
      <c r="N38" s="6">
        <f t="shared" si="19"/>
        <v>-0.62981606012658242</v>
      </c>
      <c r="O38" s="11"/>
      <c r="P38" s="7">
        <v>3073.89</v>
      </c>
      <c r="Q38" s="2"/>
      <c r="R38" s="6">
        <f t="shared" si="20"/>
        <v>0.5398614294370242</v>
      </c>
      <c r="S38" s="2"/>
      <c r="T38" s="7">
        <v>17435.68</v>
      </c>
      <c r="U38" s="2"/>
      <c r="V38" s="6">
        <f t="shared" si="21"/>
        <v>3.3088176618045043E-2</v>
      </c>
      <c r="W38" s="2"/>
      <c r="X38" s="7">
        <f t="shared" si="22"/>
        <v>-14361.79</v>
      </c>
      <c r="Y38" s="2"/>
      <c r="Z38" s="6">
        <f t="shared" si="23"/>
        <v>-0.82370116909693225</v>
      </c>
    </row>
    <row r="39" spans="1:26" s="24" customFormat="1" hidden="1" outlineLevel="2" x14ac:dyDescent="0.25">
      <c r="A39" s="29"/>
      <c r="B39" s="11" t="str">
        <f>CONCATENATE("          ", "6156", " - ", "EMPLOYEE MEALS")</f>
        <v xml:space="preserve">          6156 - EMPLOYEE MEALS</v>
      </c>
      <c r="C39" s="11"/>
      <c r="D39" s="7">
        <v>709.55</v>
      </c>
      <c r="E39" s="2"/>
      <c r="F39" s="6">
        <f t="shared" si="16"/>
        <v>0.15036215760319055</v>
      </c>
      <c r="G39" s="2"/>
      <c r="H39" s="7">
        <v>2697.43</v>
      </c>
      <c r="I39" s="2"/>
      <c r="J39" s="6">
        <f t="shared" si="17"/>
        <v>7.7628330370573713E-3</v>
      </c>
      <c r="K39" s="2"/>
      <c r="L39" s="7">
        <f t="shared" si="18"/>
        <v>-1987.8799999999999</v>
      </c>
      <c r="M39" s="2"/>
      <c r="N39" s="6">
        <f t="shared" si="19"/>
        <v>-0.73695332223635091</v>
      </c>
      <c r="O39" s="11"/>
      <c r="P39" s="7">
        <v>1013.3</v>
      </c>
      <c r="Q39" s="2"/>
      <c r="R39" s="6">
        <f t="shared" si="20"/>
        <v>0.17796394355313189</v>
      </c>
      <c r="S39" s="2"/>
      <c r="T39" s="7">
        <v>4777.75</v>
      </c>
      <c r="U39" s="2"/>
      <c r="V39" s="6">
        <f t="shared" si="21"/>
        <v>9.0668695363108689E-3</v>
      </c>
      <c r="W39" s="2"/>
      <c r="X39" s="7">
        <f t="shared" si="22"/>
        <v>-3764.45</v>
      </c>
      <c r="Y39" s="2"/>
      <c r="Z39" s="6">
        <f t="shared" si="23"/>
        <v>-0.78791272042279314</v>
      </c>
    </row>
    <row r="40" spans="1:26" s="28" customFormat="1" outlineLevel="1" collapsed="1" x14ac:dyDescent="0.25">
      <c r="A40" s="27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30741.25</v>
      </c>
      <c r="E40" s="1"/>
      <c r="F40" s="5">
        <f t="shared" ref="F40:F47" si="24">IF(D$12=0,0,D40/D$12)</f>
        <v>6.5144396834882414</v>
      </c>
      <c r="G40" s="1"/>
      <c r="H40" s="1">
        <f>SUM(OSRRefH22_1x_0)</f>
        <v>183875.58000000002</v>
      </c>
      <c r="I40" s="1"/>
      <c r="J40" s="5">
        <f t="shared" ref="J40:J47" si="25">IF(H$12=0,0,H40/H$12)</f>
        <v>0.52916866318387723</v>
      </c>
      <c r="K40" s="1"/>
      <c r="L40" s="1">
        <f t="shared" ref="L40:L47" si="26">+D40-H40</f>
        <v>-153134.33000000002</v>
      </c>
      <c r="M40" s="1"/>
      <c r="N40" s="5">
        <f t="shared" ref="N40:N47" si="27">IF(H40=0,0,L40/H40)</f>
        <v>-0.83281493931929407</v>
      </c>
      <c r="O40" s="14"/>
      <c r="P40" s="1">
        <f>SUM(OSRRefP22_1x_0)</f>
        <v>67169.27</v>
      </c>
      <c r="Q40" s="1"/>
      <c r="R40" s="5">
        <f t="shared" ref="R40:R47" si="28">IF(P$12=0,0,P40/P$12)</f>
        <v>11.796810593886388</v>
      </c>
      <c r="S40" s="1"/>
      <c r="T40" s="1">
        <f>SUM(OSRRefT22_1x_0)</f>
        <v>344230.86999999994</v>
      </c>
      <c r="U40" s="1"/>
      <c r="V40" s="5">
        <f t="shared" ref="V40:V47" si="29">IF(T$12=0,0,T40/T$12)</f>
        <v>0.65325653051348154</v>
      </c>
      <c r="W40" s="1"/>
      <c r="X40" s="1">
        <f t="shared" ref="X40:X47" si="30">+P40-T40</f>
        <v>-277061.59999999992</v>
      </c>
      <c r="Y40" s="1"/>
      <c r="Z40" s="5">
        <f t="shared" ref="Z40:Z47" si="31">IF(T40=0,0,X40/T40)</f>
        <v>-0.80487145153483752</v>
      </c>
    </row>
    <row r="41" spans="1:26" s="24" customFormat="1" hidden="1" outlineLevel="2" x14ac:dyDescent="0.25">
      <c r="A41" s="29"/>
      <c r="B41" s="11" t="str">
        <f>CONCATENATE("          ", "6001", " - ", "ADMINISTRATIVE SALARIES")</f>
        <v xml:space="preserve">          6001 - ADMINISTRATIVE SALARIES</v>
      </c>
      <c r="C41" s="11"/>
      <c r="D41" s="7">
        <v>11069.28</v>
      </c>
      <c r="E41" s="2"/>
      <c r="F41" s="6">
        <f t="shared" si="24"/>
        <v>2.3457132322089285</v>
      </c>
      <c r="G41" s="2"/>
      <c r="H41" s="7">
        <v>15056.230000000001</v>
      </c>
      <c r="I41" s="2"/>
      <c r="J41" s="6">
        <f t="shared" si="25"/>
        <v>4.3329761905789708E-2</v>
      </c>
      <c r="K41" s="2"/>
      <c r="L41" s="7">
        <f t="shared" si="26"/>
        <v>-3986.9500000000007</v>
      </c>
      <c r="M41" s="2"/>
      <c r="N41" s="6">
        <f t="shared" si="27"/>
        <v>-0.26480400472096938</v>
      </c>
      <c r="O41" s="11"/>
      <c r="P41" s="7">
        <v>22276.609999999997</v>
      </c>
      <c r="Q41" s="2"/>
      <c r="R41" s="6">
        <f t="shared" si="28"/>
        <v>3.9123984650104937</v>
      </c>
      <c r="S41" s="2"/>
      <c r="T41" s="7">
        <v>35482.899999999994</v>
      </c>
      <c r="U41" s="2"/>
      <c r="V41" s="6">
        <f t="shared" si="29"/>
        <v>6.73368897640029E-2</v>
      </c>
      <c r="W41" s="2"/>
      <c r="X41" s="7">
        <f t="shared" si="30"/>
        <v>-13206.289999999997</v>
      </c>
      <c r="Y41" s="2"/>
      <c r="Z41" s="6">
        <f t="shared" si="31"/>
        <v>-0.37218744803835085</v>
      </c>
    </row>
    <row r="42" spans="1:26" s="24" customFormat="1" hidden="1" outlineLevel="2" x14ac:dyDescent="0.25">
      <c r="A42" s="29"/>
      <c r="B42" s="11" t="str">
        <f>CONCATENATE("          ", "6002", " - ", "STAFF SALARIES")</f>
        <v xml:space="preserve">          6002 - STAFF SALARIES</v>
      </c>
      <c r="C42" s="11"/>
      <c r="D42" s="7">
        <v>14643.4</v>
      </c>
      <c r="E42" s="2"/>
      <c r="F42" s="6">
        <f t="shared" si="24"/>
        <v>3.1031121395906709</v>
      </c>
      <c r="G42" s="2"/>
      <c r="H42" s="7">
        <v>49996.060000000005</v>
      </c>
      <c r="I42" s="2"/>
      <c r="J42" s="6">
        <f t="shared" si="25"/>
        <v>0.14388179351853528</v>
      </c>
      <c r="K42" s="2"/>
      <c r="L42" s="7">
        <f t="shared" si="26"/>
        <v>-35352.660000000003</v>
      </c>
      <c r="M42" s="2"/>
      <c r="N42" s="6">
        <f t="shared" si="27"/>
        <v>-0.70710892018291038</v>
      </c>
      <c r="O42" s="11"/>
      <c r="P42" s="7">
        <v>35742.36</v>
      </c>
      <c r="Q42" s="2"/>
      <c r="R42" s="6">
        <f t="shared" si="28"/>
        <v>6.2773624173450306</v>
      </c>
      <c r="S42" s="2"/>
      <c r="T42" s="7">
        <v>108022.37000000001</v>
      </c>
      <c r="U42" s="2"/>
      <c r="V42" s="6">
        <f t="shared" si="29"/>
        <v>0.20499706677685128</v>
      </c>
      <c r="W42" s="2"/>
      <c r="X42" s="7">
        <f t="shared" si="30"/>
        <v>-72280.010000000009</v>
      </c>
      <c r="Y42" s="2"/>
      <c r="Z42" s="6">
        <f t="shared" si="31"/>
        <v>-0.66912075711725272</v>
      </c>
    </row>
    <row r="43" spans="1:26" s="24" customFormat="1" hidden="1" outlineLevel="2" x14ac:dyDescent="0.25">
      <c r="A43" s="29"/>
      <c r="B43" s="11" t="str">
        <f>CONCATENATE("          ", "6004", " - ", "STAFF HOURLY")</f>
        <v xml:space="preserve">          6004 - STAFF HOURLY</v>
      </c>
      <c r="C43" s="11"/>
      <c r="D43" s="7">
        <v>4818.47</v>
      </c>
      <c r="E43" s="2"/>
      <c r="F43" s="6">
        <f t="shared" si="24"/>
        <v>1.0210916010799036</v>
      </c>
      <c r="G43" s="2"/>
      <c r="H43" s="7">
        <v>17600.66</v>
      </c>
      <c r="I43" s="2"/>
      <c r="J43" s="6">
        <f t="shared" si="25"/>
        <v>5.0652281958017152E-2</v>
      </c>
      <c r="K43" s="2"/>
      <c r="L43" s="7">
        <f t="shared" si="26"/>
        <v>-12782.189999999999</v>
      </c>
      <c r="M43" s="2"/>
      <c r="N43" s="6">
        <f t="shared" si="27"/>
        <v>-0.72623356169598174</v>
      </c>
      <c r="O43" s="11"/>
      <c r="P43" s="7">
        <v>7590.2</v>
      </c>
      <c r="Q43" s="2"/>
      <c r="R43" s="6">
        <f t="shared" si="28"/>
        <v>1.3330523283894027</v>
      </c>
      <c r="S43" s="2"/>
      <c r="T43" s="7">
        <v>32910.67</v>
      </c>
      <c r="U43" s="2"/>
      <c r="V43" s="6">
        <f t="shared" si="29"/>
        <v>6.2455497094360317E-2</v>
      </c>
      <c r="W43" s="2"/>
      <c r="X43" s="7">
        <f t="shared" si="30"/>
        <v>-25320.469999999998</v>
      </c>
      <c r="Y43" s="2"/>
      <c r="Z43" s="6">
        <f t="shared" si="31"/>
        <v>-0.76936962997107017</v>
      </c>
    </row>
    <row r="44" spans="1:26" s="24" customFormat="1" hidden="1" outlineLevel="2" x14ac:dyDescent="0.25">
      <c r="A44" s="29"/>
      <c r="B44" s="11" t="str">
        <f>CONCATENATE("          ", "6005", " - ", "TEMPORARY WAGES-HOURLY")</f>
        <v xml:space="preserve">          6005 - TEMPORARY WAGES-HOURLY</v>
      </c>
      <c r="C44" s="11"/>
      <c r="D44" s="7">
        <v>155.1</v>
      </c>
      <c r="E44" s="2"/>
      <c r="F44" s="6">
        <f t="shared" si="24"/>
        <v>3.2867550763518924E-2</v>
      </c>
      <c r="G44" s="2"/>
      <c r="H44" s="7">
        <v>36041.340000000004</v>
      </c>
      <c r="I44" s="2"/>
      <c r="J44" s="6">
        <f t="shared" si="25"/>
        <v>0.10372202609588288</v>
      </c>
      <c r="K44" s="2"/>
      <c r="L44" s="7">
        <f t="shared" si="26"/>
        <v>-35886.240000000005</v>
      </c>
      <c r="M44" s="2"/>
      <c r="N44" s="6">
        <f t="shared" si="27"/>
        <v>-0.99569660839469343</v>
      </c>
      <c r="O44" s="11"/>
      <c r="P44" s="7">
        <v>155.1</v>
      </c>
      <c r="Q44" s="2"/>
      <c r="R44" s="6">
        <f t="shared" si="28"/>
        <v>2.7239916752285362E-2</v>
      </c>
      <c r="S44" s="2"/>
      <c r="T44" s="7">
        <v>63364.18</v>
      </c>
      <c r="U44" s="2"/>
      <c r="V44" s="6">
        <f t="shared" si="29"/>
        <v>0.12024797307002635</v>
      </c>
      <c r="W44" s="2"/>
      <c r="X44" s="7">
        <f t="shared" si="30"/>
        <v>-63209.08</v>
      </c>
      <c r="Y44" s="2"/>
      <c r="Z44" s="6">
        <f t="shared" si="31"/>
        <v>-0.99755224481718219</v>
      </c>
    </row>
    <row r="45" spans="1:26" s="24" customFormat="1" hidden="1" outlineLevel="2" x14ac:dyDescent="0.25">
      <c r="A45" s="29"/>
      <c r="B45" s="11" t="str">
        <f>CONCATENATE("          ", "6006", " - ", "TEMPORARY PART TIME")</f>
        <v xml:space="preserve">          6006 - TEMPORARY PART TIME</v>
      </c>
      <c r="C45" s="11"/>
      <c r="D45" s="7"/>
      <c r="E45" s="2"/>
      <c r="F45" s="6">
        <f t="shared" si="24"/>
        <v>0</v>
      </c>
      <c r="G45" s="2"/>
      <c r="H45" s="7">
        <v>2152.38</v>
      </c>
      <c r="I45" s="2"/>
      <c r="J45" s="6">
        <f t="shared" si="25"/>
        <v>6.1942540018838478E-3</v>
      </c>
      <c r="K45" s="2"/>
      <c r="L45" s="7">
        <f t="shared" si="26"/>
        <v>-2152.38</v>
      </c>
      <c r="M45" s="2"/>
      <c r="N45" s="6">
        <f t="shared" si="27"/>
        <v>-1</v>
      </c>
      <c r="O45" s="11"/>
      <c r="P45" s="7"/>
      <c r="Q45" s="2"/>
      <c r="R45" s="6">
        <f t="shared" si="28"/>
        <v>0</v>
      </c>
      <c r="S45" s="2"/>
      <c r="T45" s="7">
        <v>4403.0200000000004</v>
      </c>
      <c r="U45" s="2"/>
      <c r="V45" s="6">
        <f t="shared" si="29"/>
        <v>8.3557339554743305E-3</v>
      </c>
      <c r="W45" s="2"/>
      <c r="X45" s="7">
        <f t="shared" si="30"/>
        <v>-4403.0200000000004</v>
      </c>
      <c r="Y45" s="2"/>
      <c r="Z45" s="6">
        <f t="shared" si="31"/>
        <v>-1</v>
      </c>
    </row>
    <row r="46" spans="1:26" s="24" customFormat="1" hidden="1" outlineLevel="2" x14ac:dyDescent="0.25">
      <c r="A46" s="29"/>
      <c r="B46" s="11" t="str">
        <f>CONCATENATE("          ", "6007", " - ", "STUDENT HOURLY")</f>
        <v xml:space="preserve">          6007 - STUDENT HOURLY</v>
      </c>
      <c r="C46" s="11"/>
      <c r="D46" s="7">
        <v>55</v>
      </c>
      <c r="E46" s="2"/>
      <c r="F46" s="6">
        <f t="shared" si="24"/>
        <v>1.1655159845219478E-2</v>
      </c>
      <c r="G46" s="2"/>
      <c r="H46" s="7">
        <v>59916.17</v>
      </c>
      <c r="I46" s="2"/>
      <c r="J46" s="6">
        <f t="shared" si="25"/>
        <v>0.1724305075312226</v>
      </c>
      <c r="K46" s="2"/>
      <c r="L46" s="7">
        <f t="shared" si="26"/>
        <v>-59861.17</v>
      </c>
      <c r="M46" s="2"/>
      <c r="N46" s="6">
        <f t="shared" si="27"/>
        <v>-0.99908205080531687</v>
      </c>
      <c r="O46" s="11"/>
      <c r="P46" s="7">
        <v>1405</v>
      </c>
      <c r="Q46" s="2"/>
      <c r="R46" s="6">
        <f t="shared" si="28"/>
        <v>0.24675746638917431</v>
      </c>
      <c r="S46" s="2"/>
      <c r="T46" s="7">
        <v>96201.57</v>
      </c>
      <c r="U46" s="2"/>
      <c r="V46" s="6">
        <f t="shared" si="29"/>
        <v>0.18256440466292242</v>
      </c>
      <c r="W46" s="2"/>
      <c r="X46" s="7">
        <f t="shared" si="30"/>
        <v>-94796.57</v>
      </c>
      <c r="Y46" s="2"/>
      <c r="Z46" s="6">
        <f t="shared" si="31"/>
        <v>-0.98539524874697992</v>
      </c>
    </row>
    <row r="47" spans="1:26" s="24" customFormat="1" hidden="1" outlineLevel="2" x14ac:dyDescent="0.25">
      <c r="A47" s="29"/>
      <c r="B47" s="11" t="str">
        <f>CONCATENATE("          ", "6008", " - ", "STUDENT HOURLY-FICA EXEMPT")</f>
        <v xml:space="preserve">          6008 - STUDENT HOURLY-FICA EXEMPT</v>
      </c>
      <c r="C47" s="11"/>
      <c r="D47" s="7"/>
      <c r="E47" s="2"/>
      <c r="F47" s="6">
        <f t="shared" si="24"/>
        <v>0</v>
      </c>
      <c r="G47" s="2"/>
      <c r="H47" s="7">
        <v>3112.74</v>
      </c>
      <c r="I47" s="2"/>
      <c r="J47" s="6">
        <f t="shared" si="25"/>
        <v>8.9580381725457049E-3</v>
      </c>
      <c r="K47" s="2"/>
      <c r="L47" s="7">
        <f t="shared" si="26"/>
        <v>-3112.74</v>
      </c>
      <c r="M47" s="2"/>
      <c r="N47" s="6">
        <f t="shared" si="27"/>
        <v>-1</v>
      </c>
      <c r="O47" s="11"/>
      <c r="P47" s="7"/>
      <c r="Q47" s="2"/>
      <c r="R47" s="6">
        <f t="shared" si="28"/>
        <v>0</v>
      </c>
      <c r="S47" s="2"/>
      <c r="T47" s="7">
        <v>3846.16</v>
      </c>
      <c r="U47" s="2"/>
      <c r="V47" s="6">
        <f t="shared" si="29"/>
        <v>7.2989651898440503E-3</v>
      </c>
      <c r="W47" s="2"/>
      <c r="X47" s="7">
        <f t="shared" si="30"/>
        <v>-3846.16</v>
      </c>
      <c r="Y47" s="2"/>
      <c r="Z47" s="6">
        <f t="shared" si="31"/>
        <v>-1</v>
      </c>
    </row>
    <row r="48" spans="1:26" s="28" customFormat="1" outlineLevel="1" collapsed="1" x14ac:dyDescent="0.25">
      <c r="A48" s="27"/>
      <c r="B48" s="14" t="str">
        <f>CONCATENATE("     ","Advertising/Promo                                 ")</f>
        <v xml:space="preserve">     Advertising/Promo                                 </v>
      </c>
      <c r="C48" s="14"/>
      <c r="D48" s="1">
        <f>SUM(OSRRefD22_2x_0)</f>
        <v>0</v>
      </c>
      <c r="E48" s="1"/>
      <c r="F48" s="5">
        <f t="shared" ref="F48:F57" si="32">IF(D$12=0,0,D48/D$12)</f>
        <v>0</v>
      </c>
      <c r="G48" s="1"/>
      <c r="H48" s="1">
        <f>SUM(OSRRefH22_2x_0)</f>
        <v>2532.71</v>
      </c>
      <c r="I48" s="1"/>
      <c r="J48" s="5">
        <f t="shared" ref="J48:J57" si="33">IF(H$12=0,0,H48/H$12)</f>
        <v>7.2887915020169482E-3</v>
      </c>
      <c r="K48" s="1"/>
      <c r="L48" s="1">
        <f t="shared" ref="L48:L57" si="34">+D48-H48</f>
        <v>-2532.71</v>
      </c>
      <c r="M48" s="1"/>
      <c r="N48" s="5">
        <f t="shared" ref="N48:N57" si="35">IF(H48=0,0,L48/H48)</f>
        <v>-1</v>
      </c>
      <c r="O48" s="14"/>
      <c r="P48" s="1">
        <f>SUM(OSRRefP22_2x_0)</f>
        <v>45.97</v>
      </c>
      <c r="Q48" s="1"/>
      <c r="R48" s="5">
        <f t="shared" ref="R48:R57" si="36">IF(P$12=0,0,P48/P$12)</f>
        <v>8.0736232953098532E-3</v>
      </c>
      <c r="S48" s="1"/>
      <c r="T48" s="1">
        <f>SUM(OSRRefT22_2x_0)</f>
        <v>5181.54</v>
      </c>
      <c r="U48" s="1"/>
      <c r="V48" s="5">
        <f t="shared" ref="V48:V57" si="37">IF(T$12=0,0,T48/T$12)</f>
        <v>9.8331530902990363E-3</v>
      </c>
      <c r="W48" s="1"/>
      <c r="X48" s="1">
        <f t="shared" ref="X48:X57" si="38">+P48-T48</f>
        <v>-5135.57</v>
      </c>
      <c r="Y48" s="1"/>
      <c r="Z48" s="5">
        <f t="shared" ref="Z48:Z57" si="39">IF(T48=0,0,X48/T48)</f>
        <v>-0.99112812021136565</v>
      </c>
    </row>
    <row r="49" spans="1:26" s="24" customFormat="1" hidden="1" outlineLevel="2" x14ac:dyDescent="0.25">
      <c r="A49" s="29"/>
      <c r="B49" s="11" t="str">
        <f>CONCATENATE("          ", "6362", " - ", "ADVERTISING EXPENSE")</f>
        <v xml:space="preserve">          6362 - ADVERTISING EXPENSE</v>
      </c>
      <c r="C49" s="11"/>
      <c r="D49" s="7"/>
      <c r="E49" s="2"/>
      <c r="F49" s="6">
        <f t="shared" si="32"/>
        <v>0</v>
      </c>
      <c r="G49" s="2"/>
      <c r="H49" s="7">
        <v>2532.71</v>
      </c>
      <c r="I49" s="2"/>
      <c r="J49" s="6">
        <f t="shared" si="33"/>
        <v>7.2887915020169482E-3</v>
      </c>
      <c r="K49" s="2"/>
      <c r="L49" s="7">
        <f t="shared" si="34"/>
        <v>-2532.71</v>
      </c>
      <c r="M49" s="2"/>
      <c r="N49" s="6">
        <f t="shared" si="35"/>
        <v>-1</v>
      </c>
      <c r="O49" s="11"/>
      <c r="P49" s="7">
        <v>45.97</v>
      </c>
      <c r="Q49" s="2"/>
      <c r="R49" s="6">
        <f t="shared" si="36"/>
        <v>8.0736232953098532E-3</v>
      </c>
      <c r="S49" s="2"/>
      <c r="T49" s="7">
        <v>5181.54</v>
      </c>
      <c r="U49" s="2"/>
      <c r="V49" s="6">
        <f t="shared" si="37"/>
        <v>9.8331530902990363E-3</v>
      </c>
      <c r="W49" s="2"/>
      <c r="X49" s="7">
        <f t="shared" si="38"/>
        <v>-5135.57</v>
      </c>
      <c r="Y49" s="2"/>
      <c r="Z49" s="6">
        <f t="shared" si="39"/>
        <v>-0.99112812021136565</v>
      </c>
    </row>
    <row r="50" spans="1:26" s="28" customFormat="1" outlineLevel="1" collapsed="1" x14ac:dyDescent="0.25">
      <c r="A50" s="27"/>
      <c r="B50" s="14" t="str">
        <f>CONCATENATE("     ","Bad Debts/Over/Short                              ")</f>
        <v xml:space="preserve">     Bad Debts/Over/Short                              </v>
      </c>
      <c r="C50" s="14"/>
      <c r="D50" s="1">
        <f>SUM(OSRRefD22_3x_0)</f>
        <v>-0.14000000000000001</v>
      </c>
      <c r="E50" s="1"/>
      <c r="F50" s="5">
        <f t="shared" si="32"/>
        <v>-2.9667679606013222E-5</v>
      </c>
      <c r="G50" s="1"/>
      <c r="H50" s="1">
        <f>SUM(OSRRefH22_3x_0)</f>
        <v>5.84</v>
      </c>
      <c r="I50" s="1"/>
      <c r="J50" s="5">
        <f t="shared" si="33"/>
        <v>1.6806717852331683E-5</v>
      </c>
      <c r="K50" s="1"/>
      <c r="L50" s="1">
        <f t="shared" si="34"/>
        <v>-5.9799999999999995</v>
      </c>
      <c r="M50" s="1"/>
      <c r="N50" s="5">
        <f t="shared" si="35"/>
        <v>-1.023972602739726</v>
      </c>
      <c r="O50" s="14"/>
      <c r="P50" s="1">
        <f>SUM(OSRRefP22_3x_0)</f>
        <v>-0.14000000000000001</v>
      </c>
      <c r="Q50" s="1"/>
      <c r="R50" s="5">
        <f t="shared" si="36"/>
        <v>-2.4587932593939079E-5</v>
      </c>
      <c r="S50" s="1"/>
      <c r="T50" s="1">
        <f>SUM(OSRRefT22_3x_0)</f>
        <v>-12.74</v>
      </c>
      <c r="U50" s="1"/>
      <c r="V50" s="5">
        <f t="shared" si="37"/>
        <v>-2.4177053611553655E-5</v>
      </c>
      <c r="W50" s="1"/>
      <c r="X50" s="1">
        <f t="shared" si="38"/>
        <v>12.6</v>
      </c>
      <c r="Y50" s="1"/>
      <c r="Z50" s="5">
        <f t="shared" si="39"/>
        <v>-0.98901098901098894</v>
      </c>
    </row>
    <row r="51" spans="1:26" s="24" customFormat="1" hidden="1" outlineLevel="2" x14ac:dyDescent="0.25">
      <c r="A51" s="29"/>
      <c r="B51" s="11" t="str">
        <f>CONCATENATE("          ", "6272", " - ", "CASH (OVER/SHORT)")</f>
        <v xml:space="preserve">          6272 - CASH (OVER/SHORT)</v>
      </c>
      <c r="C51" s="11"/>
      <c r="D51" s="7">
        <v>-0.14000000000000001</v>
      </c>
      <c r="E51" s="2"/>
      <c r="F51" s="6">
        <f t="shared" si="32"/>
        <v>-2.9667679606013222E-5</v>
      </c>
      <c r="G51" s="2"/>
      <c r="H51" s="7">
        <v>5.84</v>
      </c>
      <c r="I51" s="2"/>
      <c r="J51" s="6">
        <f t="shared" si="33"/>
        <v>1.6806717852331683E-5</v>
      </c>
      <c r="K51" s="2"/>
      <c r="L51" s="7">
        <f t="shared" si="34"/>
        <v>-5.9799999999999995</v>
      </c>
      <c r="M51" s="2"/>
      <c r="N51" s="6">
        <f t="shared" si="35"/>
        <v>-1.023972602739726</v>
      </c>
      <c r="O51" s="11"/>
      <c r="P51" s="7">
        <v>-0.14000000000000001</v>
      </c>
      <c r="Q51" s="2"/>
      <c r="R51" s="6">
        <f t="shared" si="36"/>
        <v>-2.4587932593939079E-5</v>
      </c>
      <c r="S51" s="2"/>
      <c r="T51" s="7">
        <v>-12.74</v>
      </c>
      <c r="U51" s="2"/>
      <c r="V51" s="6">
        <f t="shared" si="37"/>
        <v>-2.4177053611553655E-5</v>
      </c>
      <c r="W51" s="2"/>
      <c r="X51" s="7">
        <f t="shared" si="38"/>
        <v>12.6</v>
      </c>
      <c r="Y51" s="2"/>
      <c r="Z51" s="6">
        <f t="shared" si="39"/>
        <v>-0.98901098901098894</v>
      </c>
    </row>
    <row r="52" spans="1:26" s="28" customFormat="1" outlineLevel="1" collapsed="1" x14ac:dyDescent="0.25">
      <c r="A52" s="27"/>
      <c r="B52" s="14" t="str">
        <f>CONCATENATE("     ","Bank/card Fees                                    ")</f>
        <v xml:space="preserve">     Bank/card Fees                                    </v>
      </c>
      <c r="C52" s="14"/>
      <c r="D52" s="1">
        <f>SUM(OSRRefD22_4x_0)</f>
        <v>333.07</v>
      </c>
      <c r="E52" s="1"/>
      <c r="F52" s="5">
        <f t="shared" si="32"/>
        <v>7.0581528902677299E-2</v>
      </c>
      <c r="G52" s="1"/>
      <c r="H52" s="1">
        <f>SUM(OSRRefH22_4x_0)</f>
        <v>8836.69</v>
      </c>
      <c r="I52" s="1"/>
      <c r="J52" s="5">
        <f t="shared" si="33"/>
        <v>2.5430780064815216E-2</v>
      </c>
      <c r="K52" s="1"/>
      <c r="L52" s="1">
        <f t="shared" si="34"/>
        <v>-8503.6200000000008</v>
      </c>
      <c r="M52" s="1"/>
      <c r="N52" s="5">
        <f t="shared" si="35"/>
        <v>-0.96230828511580702</v>
      </c>
      <c r="O52" s="14"/>
      <c r="P52" s="1">
        <f>SUM(OSRRefP22_4x_0)</f>
        <v>615.89</v>
      </c>
      <c r="Q52" s="1"/>
      <c r="R52" s="5">
        <f t="shared" si="36"/>
        <v>0.10816758432343671</v>
      </c>
      <c r="S52" s="1"/>
      <c r="T52" s="1">
        <f>SUM(OSRRefT22_4x_0)</f>
        <v>13005.95</v>
      </c>
      <c r="U52" s="1"/>
      <c r="V52" s="5">
        <f t="shared" si="37"/>
        <v>2.4681754350014622E-2</v>
      </c>
      <c r="W52" s="1"/>
      <c r="X52" s="1">
        <f t="shared" si="38"/>
        <v>-12390.060000000001</v>
      </c>
      <c r="Y52" s="1"/>
      <c r="Z52" s="5">
        <f t="shared" si="39"/>
        <v>-0.95264551993510671</v>
      </c>
    </row>
    <row r="53" spans="1:26" s="24" customFormat="1" hidden="1" outlineLevel="2" x14ac:dyDescent="0.25">
      <c r="A53" s="29"/>
      <c r="B53" s="11" t="str">
        <f>CONCATENATE("          ", "6381", " - ", "BANK/CREDIT CARD FEES")</f>
        <v xml:space="preserve">          6381 - BANK/CREDIT CARD FEES</v>
      </c>
      <c r="C53" s="11"/>
      <c r="D53" s="7">
        <v>333.07</v>
      </c>
      <c r="E53" s="2"/>
      <c r="F53" s="6">
        <f t="shared" si="32"/>
        <v>7.0581528902677299E-2</v>
      </c>
      <c r="G53" s="2"/>
      <c r="H53" s="7">
        <v>8836.69</v>
      </c>
      <c r="I53" s="2"/>
      <c r="J53" s="6">
        <f t="shared" si="33"/>
        <v>2.5430780064815216E-2</v>
      </c>
      <c r="K53" s="2"/>
      <c r="L53" s="7">
        <f t="shared" si="34"/>
        <v>-8503.6200000000008</v>
      </c>
      <c r="M53" s="2"/>
      <c r="N53" s="6">
        <f t="shared" si="35"/>
        <v>-0.96230828511580702</v>
      </c>
      <c r="O53" s="11"/>
      <c r="P53" s="7">
        <v>615.89</v>
      </c>
      <c r="Q53" s="2"/>
      <c r="R53" s="6">
        <f t="shared" si="36"/>
        <v>0.10816758432343671</v>
      </c>
      <c r="S53" s="2"/>
      <c r="T53" s="7">
        <v>13005.95</v>
      </c>
      <c r="U53" s="2"/>
      <c r="V53" s="6">
        <f t="shared" si="37"/>
        <v>2.4681754350014622E-2</v>
      </c>
      <c r="W53" s="2"/>
      <c r="X53" s="7">
        <f t="shared" si="38"/>
        <v>-12390.060000000001</v>
      </c>
      <c r="Y53" s="2"/>
      <c r="Z53" s="6">
        <f t="shared" si="39"/>
        <v>-0.95264551993510671</v>
      </c>
    </row>
    <row r="54" spans="1:26" s="28" customFormat="1" outlineLevel="1" collapsed="1" x14ac:dyDescent="0.25">
      <c r="A54" s="27"/>
      <c r="B54" s="14" t="str">
        <f>CONCATENATE("     ","Depreciation                                      ")</f>
        <v xml:space="preserve">     Depreciation                                      </v>
      </c>
      <c r="C54" s="14"/>
      <c r="D54" s="1">
        <f>SUM(OSRRefD22_5x_0)</f>
        <v>37690.479999999996</v>
      </c>
      <c r="E54" s="1"/>
      <c r="F54" s="5">
        <f t="shared" si="32"/>
        <v>7.9870648916917784</v>
      </c>
      <c r="G54" s="1"/>
      <c r="H54" s="1">
        <f>SUM(OSRRefH22_5x_0)</f>
        <v>39571.050000000003</v>
      </c>
      <c r="I54" s="1"/>
      <c r="J54" s="5">
        <f t="shared" si="33"/>
        <v>0.1138800466559092</v>
      </c>
      <c r="K54" s="1"/>
      <c r="L54" s="1">
        <f t="shared" si="34"/>
        <v>-1880.570000000007</v>
      </c>
      <c r="M54" s="1"/>
      <c r="N54" s="5">
        <f t="shared" si="35"/>
        <v>-4.7523884253766496E-2</v>
      </c>
      <c r="O54" s="14"/>
      <c r="P54" s="1">
        <f>SUM(OSRRefP22_5x_0)</f>
        <v>75246.490000000005</v>
      </c>
      <c r="Q54" s="1"/>
      <c r="R54" s="5">
        <f t="shared" si="36"/>
        <v>13.215397314646507</v>
      </c>
      <c r="S54" s="1"/>
      <c r="T54" s="1">
        <f>SUM(OSRRefT22_5x_0)</f>
        <v>79142.100000000006</v>
      </c>
      <c r="U54" s="1"/>
      <c r="V54" s="5">
        <f t="shared" si="37"/>
        <v>0.15019017226302517</v>
      </c>
      <c r="W54" s="1"/>
      <c r="X54" s="1">
        <f t="shared" si="38"/>
        <v>-3895.6100000000006</v>
      </c>
      <c r="Y54" s="1"/>
      <c r="Z54" s="5">
        <f t="shared" si="39"/>
        <v>-4.9222979931035443E-2</v>
      </c>
    </row>
    <row r="55" spans="1:26" s="24" customFormat="1" hidden="1" outlineLevel="2" x14ac:dyDescent="0.25">
      <c r="A55" s="29"/>
      <c r="B55" s="11" t="str">
        <f>CONCATENATE("          ", "6321", " - ", "BUILDING DEPRECIATION")</f>
        <v xml:space="preserve">          6321 - BUILDING DEPRECIATION</v>
      </c>
      <c r="C55" s="11"/>
      <c r="D55" s="7">
        <v>23844.89</v>
      </c>
      <c r="E55" s="2"/>
      <c r="F55" s="6">
        <f t="shared" si="32"/>
        <v>5.0530182625759181</v>
      </c>
      <c r="G55" s="2"/>
      <c r="H55" s="7">
        <v>24042.959999999999</v>
      </c>
      <c r="I55" s="2"/>
      <c r="J55" s="6">
        <f t="shared" si="33"/>
        <v>6.9192336482002834E-2</v>
      </c>
      <c r="K55" s="2"/>
      <c r="L55" s="7">
        <f t="shared" si="34"/>
        <v>-198.06999999999971</v>
      </c>
      <c r="M55" s="2"/>
      <c r="N55" s="6">
        <f t="shared" si="35"/>
        <v>-8.2381703417549138E-3</v>
      </c>
      <c r="O55" s="11"/>
      <c r="P55" s="7">
        <v>47689.78</v>
      </c>
      <c r="Q55" s="2"/>
      <c r="R55" s="6">
        <f t="shared" si="36"/>
        <v>8.3756649718555991</v>
      </c>
      <c r="S55" s="2"/>
      <c r="T55" s="7">
        <v>48085.919999999998</v>
      </c>
      <c r="U55" s="2"/>
      <c r="V55" s="6">
        <f t="shared" si="37"/>
        <v>9.1253992606034534E-2</v>
      </c>
      <c r="W55" s="2"/>
      <c r="X55" s="7">
        <f t="shared" si="38"/>
        <v>-396.13999999999942</v>
      </c>
      <c r="Y55" s="2"/>
      <c r="Z55" s="6">
        <f t="shared" si="39"/>
        <v>-8.2381703417549138E-3</v>
      </c>
    </row>
    <row r="56" spans="1:26" s="24" customFormat="1" hidden="1" outlineLevel="2" x14ac:dyDescent="0.25">
      <c r="A56" s="29"/>
      <c r="B56" s="11" t="str">
        <f>CONCATENATE("          ", "6322", " - ", "EQUIPMENT DEPRECIATION EXPENSE")</f>
        <v xml:space="preserve">          6322 - EQUIPMENT DEPRECIATION EXPENSE</v>
      </c>
      <c r="C56" s="11"/>
      <c r="D56" s="7">
        <v>13845.59</v>
      </c>
      <c r="E56" s="2"/>
      <c r="F56" s="6">
        <f t="shared" si="32"/>
        <v>2.9340466291158611</v>
      </c>
      <c r="G56" s="2"/>
      <c r="H56" s="7">
        <v>15103.84</v>
      </c>
      <c r="I56" s="2"/>
      <c r="J56" s="6">
        <f t="shared" si="33"/>
        <v>4.346677694636325E-2</v>
      </c>
      <c r="K56" s="2"/>
      <c r="L56" s="7">
        <f t="shared" si="34"/>
        <v>-1258.25</v>
      </c>
      <c r="M56" s="2"/>
      <c r="N56" s="6">
        <f t="shared" si="35"/>
        <v>-8.3306629307513855E-2</v>
      </c>
      <c r="O56" s="11"/>
      <c r="P56" s="7">
        <v>27556.710000000003</v>
      </c>
      <c r="Q56" s="2"/>
      <c r="R56" s="6">
        <f t="shared" si="36"/>
        <v>4.8397323427909074</v>
      </c>
      <c r="S56" s="2"/>
      <c r="T56" s="7">
        <v>30207.68</v>
      </c>
      <c r="U56" s="2"/>
      <c r="V56" s="6">
        <f t="shared" si="37"/>
        <v>5.7325957522814525E-2</v>
      </c>
      <c r="W56" s="2"/>
      <c r="X56" s="7">
        <f t="shared" si="38"/>
        <v>-2650.9699999999975</v>
      </c>
      <c r="Y56" s="2"/>
      <c r="Z56" s="6">
        <f t="shared" si="39"/>
        <v>-8.7758146272735857E-2</v>
      </c>
    </row>
    <row r="57" spans="1:26" s="24" customFormat="1" hidden="1" outlineLevel="2" x14ac:dyDescent="0.25">
      <c r="A57" s="29"/>
      <c r="B57" s="11" t="str">
        <f>CONCATENATE("          ", "6326", " - ", "VEHICLES DEPRECIATION EXPENSE")</f>
        <v xml:space="preserve">          6326 - VEHICLES DEPRECIATION EXPENSE</v>
      </c>
      <c r="C57" s="11"/>
      <c r="D57" s="7"/>
      <c r="E57" s="2"/>
      <c r="F57" s="6">
        <f t="shared" si="32"/>
        <v>0</v>
      </c>
      <c r="G57" s="2"/>
      <c r="H57" s="7">
        <v>424.25</v>
      </c>
      <c r="I57" s="2"/>
      <c r="J57" s="6">
        <f t="shared" si="33"/>
        <v>1.2209332275431022E-3</v>
      </c>
      <c r="K57" s="2"/>
      <c r="L57" s="7">
        <f t="shared" si="34"/>
        <v>-424.25</v>
      </c>
      <c r="M57" s="2"/>
      <c r="N57" s="6">
        <f t="shared" si="35"/>
        <v>-1</v>
      </c>
      <c r="O57" s="11"/>
      <c r="P57" s="7"/>
      <c r="Q57" s="2"/>
      <c r="R57" s="6">
        <f t="shared" si="36"/>
        <v>0</v>
      </c>
      <c r="S57" s="2"/>
      <c r="T57" s="7">
        <v>848.5</v>
      </c>
      <c r="U57" s="2"/>
      <c r="V57" s="6">
        <f t="shared" si="37"/>
        <v>1.6102221341760812E-3</v>
      </c>
      <c r="W57" s="2"/>
      <c r="X57" s="7">
        <f t="shared" si="38"/>
        <v>-848.5</v>
      </c>
      <c r="Y57" s="2"/>
      <c r="Z57" s="6">
        <f t="shared" si="39"/>
        <v>-1</v>
      </c>
    </row>
    <row r="58" spans="1:26" s="28" customFormat="1" outlineLevel="1" collapsed="1" x14ac:dyDescent="0.25">
      <c r="A58" s="27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0</v>
      </c>
      <c r="E58" s="1"/>
      <c r="F58" s="5">
        <f t="shared" ref="F58:F64" si="40">IF(D$12=0,0,D58/D$12)</f>
        <v>0</v>
      </c>
      <c r="G58" s="1"/>
      <c r="H58" s="1">
        <f>SUM(OSRRefH22_6x_0)</f>
        <v>289.95999999999998</v>
      </c>
      <c r="I58" s="1"/>
      <c r="J58" s="5">
        <f t="shared" ref="J58:J64" si="41">IF(H$12=0,0,H58/H$12)</f>
        <v>8.3446505281885178E-4</v>
      </c>
      <c r="K58" s="1"/>
      <c r="L58" s="1">
        <f t="shared" ref="L58:L64" si="42">+D58-H58</f>
        <v>-289.95999999999998</v>
      </c>
      <c r="M58" s="1"/>
      <c r="N58" s="5">
        <f t="shared" ref="N58:N64" si="43">IF(H58=0,0,L58/H58)</f>
        <v>-1</v>
      </c>
      <c r="O58" s="14"/>
      <c r="P58" s="1">
        <f>SUM(OSRRefP22_6x_0)</f>
        <v>0</v>
      </c>
      <c r="Q58" s="1"/>
      <c r="R58" s="5">
        <f t="shared" ref="R58:R64" si="44">IF(P$12=0,0,P58/P$12)</f>
        <v>0</v>
      </c>
      <c r="S58" s="1"/>
      <c r="T58" s="1">
        <f>SUM(OSRRefT22_6x_0)</f>
        <v>399.72</v>
      </c>
      <c r="U58" s="1"/>
      <c r="V58" s="5">
        <f t="shared" ref="V58:V64" si="45">IF(T$12=0,0,T58/T$12)</f>
        <v>7.5855980138227848E-4</v>
      </c>
      <c r="W58" s="1"/>
      <c r="X58" s="1">
        <f t="shared" ref="X58:X64" si="46">+P58-T58</f>
        <v>-399.72</v>
      </c>
      <c r="Y58" s="1"/>
      <c r="Z58" s="5">
        <f t="shared" ref="Z58:Z64" si="47">IF(T58=0,0,X58/T58)</f>
        <v>-1</v>
      </c>
    </row>
    <row r="59" spans="1:26" s="24" customFormat="1" hidden="1" outlineLevel="2" x14ac:dyDescent="0.25">
      <c r="A59" s="29"/>
      <c r="B59" s="11" t="str">
        <f>CONCATENATE("          ", "6277", " - ", "EMPLOYEE APPRECIATION")</f>
        <v xml:space="preserve">          6277 - EMPLOYEE APPRECIATION</v>
      </c>
      <c r="C59" s="11"/>
      <c r="D59" s="7"/>
      <c r="E59" s="2"/>
      <c r="F59" s="6">
        <f t="shared" si="40"/>
        <v>0</v>
      </c>
      <c r="G59" s="2"/>
      <c r="H59" s="7">
        <v>289.95999999999998</v>
      </c>
      <c r="I59" s="2"/>
      <c r="J59" s="6">
        <f t="shared" si="41"/>
        <v>8.3446505281885178E-4</v>
      </c>
      <c r="K59" s="2"/>
      <c r="L59" s="7">
        <f t="shared" si="42"/>
        <v>-289.95999999999998</v>
      </c>
      <c r="M59" s="2"/>
      <c r="N59" s="6">
        <f t="shared" si="43"/>
        <v>-1</v>
      </c>
      <c r="O59" s="11"/>
      <c r="P59" s="7"/>
      <c r="Q59" s="2"/>
      <c r="R59" s="6">
        <f t="shared" si="44"/>
        <v>0</v>
      </c>
      <c r="S59" s="2"/>
      <c r="T59" s="7">
        <v>399.72</v>
      </c>
      <c r="U59" s="2"/>
      <c r="V59" s="6">
        <f t="shared" si="45"/>
        <v>7.5855980138227848E-4</v>
      </c>
      <c r="W59" s="2"/>
      <c r="X59" s="7">
        <f t="shared" si="46"/>
        <v>-399.72</v>
      </c>
      <c r="Y59" s="2"/>
      <c r="Z59" s="6">
        <f t="shared" si="47"/>
        <v>-1</v>
      </c>
    </row>
    <row r="60" spans="1:26" s="28" customFormat="1" outlineLevel="1" collapsed="1" x14ac:dyDescent="0.25">
      <c r="A60" s="27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163.80000000000001</v>
      </c>
      <c r="E60" s="1"/>
      <c r="F60" s="5">
        <f t="shared" si="40"/>
        <v>3.4711185139035469E-2</v>
      </c>
      <c r="G60" s="1"/>
      <c r="H60" s="1">
        <f>SUM(OSRRefH22_7x_0)</f>
        <v>2627.59</v>
      </c>
      <c r="I60" s="1"/>
      <c r="J60" s="5">
        <f t="shared" si="41"/>
        <v>7.5618431098644192E-3</v>
      </c>
      <c r="K60" s="1"/>
      <c r="L60" s="1">
        <f t="shared" si="42"/>
        <v>-2463.79</v>
      </c>
      <c r="M60" s="1"/>
      <c r="N60" s="5">
        <f t="shared" si="43"/>
        <v>-0.93766150731278464</v>
      </c>
      <c r="O60" s="14"/>
      <c r="P60" s="1">
        <f>SUM(OSRRefP22_7x_0)</f>
        <v>1032.75</v>
      </c>
      <c r="Q60" s="1"/>
      <c r="R60" s="5">
        <f t="shared" si="44"/>
        <v>0.18137990990278988</v>
      </c>
      <c r="S60" s="1"/>
      <c r="T60" s="1">
        <f>SUM(OSRRefT22_7x_0)</f>
        <v>4165.6000000000004</v>
      </c>
      <c r="U60" s="1"/>
      <c r="V60" s="5">
        <f t="shared" si="45"/>
        <v>7.9051753943711073E-3</v>
      </c>
      <c r="W60" s="1"/>
      <c r="X60" s="1">
        <f t="shared" si="46"/>
        <v>-3132.8500000000004</v>
      </c>
      <c r="Y60" s="1"/>
      <c r="Z60" s="5">
        <f t="shared" si="47"/>
        <v>-0.75207653159208765</v>
      </c>
    </row>
    <row r="61" spans="1:26" s="24" customFormat="1" hidden="1" outlineLevel="2" x14ac:dyDescent="0.25">
      <c r="A61" s="29"/>
      <c r="B61" s="11" t="str">
        <f>CONCATENATE("          ", "6351", " - ", "EQUIPMENT RENTAL")</f>
        <v xml:space="preserve">          6351 - EQUIPMENT RENTAL</v>
      </c>
      <c r="C61" s="11"/>
      <c r="D61" s="7">
        <v>163.80000000000001</v>
      </c>
      <c r="E61" s="2"/>
      <c r="F61" s="6">
        <f t="shared" si="40"/>
        <v>3.4711185139035469E-2</v>
      </c>
      <c r="G61" s="2"/>
      <c r="H61" s="7">
        <v>2627.59</v>
      </c>
      <c r="I61" s="2"/>
      <c r="J61" s="6">
        <f t="shared" si="41"/>
        <v>7.5618431098644192E-3</v>
      </c>
      <c r="K61" s="2"/>
      <c r="L61" s="7">
        <f t="shared" si="42"/>
        <v>-2463.79</v>
      </c>
      <c r="M61" s="2"/>
      <c r="N61" s="6">
        <f t="shared" si="43"/>
        <v>-0.93766150731278464</v>
      </c>
      <c r="O61" s="11"/>
      <c r="P61" s="7">
        <v>1032.75</v>
      </c>
      <c r="Q61" s="2"/>
      <c r="R61" s="6">
        <f t="shared" si="44"/>
        <v>0.18137990990278988</v>
      </c>
      <c r="S61" s="2"/>
      <c r="T61" s="7">
        <v>4165.6000000000004</v>
      </c>
      <c r="U61" s="2"/>
      <c r="V61" s="6">
        <f t="shared" si="45"/>
        <v>7.9051753943711073E-3</v>
      </c>
      <c r="W61" s="2"/>
      <c r="X61" s="7">
        <f t="shared" si="46"/>
        <v>-3132.8500000000004</v>
      </c>
      <c r="Y61" s="2"/>
      <c r="Z61" s="6">
        <f t="shared" si="47"/>
        <v>-0.75207653159208765</v>
      </c>
    </row>
    <row r="62" spans="1:26" s="28" customFormat="1" outlineLevel="1" collapsed="1" x14ac:dyDescent="0.25">
      <c r="A62" s="27"/>
      <c r="B62" s="14" t="str">
        <f>CONCATENATE("     ","General                                           ")</f>
        <v xml:space="preserve">     General                                           </v>
      </c>
      <c r="C62" s="14"/>
      <c r="D62" s="1">
        <f>SUM(OSRRefD22_8x_0)</f>
        <v>-1107.27</v>
      </c>
      <c r="E62" s="1"/>
      <c r="F62" s="5">
        <f t="shared" si="40"/>
        <v>-0.23464379712393038</v>
      </c>
      <c r="G62" s="1"/>
      <c r="H62" s="1">
        <f>SUM(OSRRefH22_8x_0)</f>
        <v>4452.93</v>
      </c>
      <c r="I62" s="1"/>
      <c r="J62" s="5">
        <f t="shared" si="41"/>
        <v>1.2814920912017693E-2</v>
      </c>
      <c r="K62" s="1"/>
      <c r="L62" s="1">
        <f t="shared" si="42"/>
        <v>-5560.2000000000007</v>
      </c>
      <c r="M62" s="1"/>
      <c r="N62" s="5">
        <f t="shared" si="43"/>
        <v>-1.2486609939972109</v>
      </c>
      <c r="O62" s="14"/>
      <c r="P62" s="1">
        <f>SUM(OSRRefP22_8x_0)</f>
        <v>3215.93</v>
      </c>
      <c r="Q62" s="1"/>
      <c r="R62" s="5">
        <f t="shared" si="44"/>
        <v>0.56480764333447497</v>
      </c>
      <c r="S62" s="1"/>
      <c r="T62" s="1">
        <f>SUM(OSRRefT22_8x_0)</f>
        <v>22065.98</v>
      </c>
      <c r="U62" s="1"/>
      <c r="V62" s="5">
        <f t="shared" si="45"/>
        <v>4.1875226173584829E-2</v>
      </c>
      <c r="W62" s="1"/>
      <c r="X62" s="1">
        <f t="shared" si="46"/>
        <v>-18850.05</v>
      </c>
      <c r="Y62" s="1"/>
      <c r="Z62" s="5">
        <f t="shared" si="47"/>
        <v>-0.85425845577672055</v>
      </c>
    </row>
    <row r="63" spans="1:26" s="24" customFormat="1" hidden="1" outlineLevel="2" x14ac:dyDescent="0.25">
      <c r="A63" s="29"/>
      <c r="B63" s="11" t="str">
        <f>CONCATENATE("          ", "6269", " - ", "ENTERTAINMENT")</f>
        <v xml:space="preserve">          6269 - ENTERTAINMENT</v>
      </c>
      <c r="C63" s="11"/>
      <c r="D63" s="7"/>
      <c r="E63" s="2"/>
      <c r="F63" s="6">
        <f t="shared" si="40"/>
        <v>0</v>
      </c>
      <c r="G63" s="2"/>
      <c r="H63" s="7">
        <v>2600</v>
      </c>
      <c r="I63" s="2"/>
      <c r="J63" s="6">
        <f t="shared" si="41"/>
        <v>7.4824428794627359E-3</v>
      </c>
      <c r="K63" s="2"/>
      <c r="L63" s="7">
        <f t="shared" si="42"/>
        <v>-2600</v>
      </c>
      <c r="M63" s="2"/>
      <c r="N63" s="6">
        <f t="shared" si="43"/>
        <v>-1</v>
      </c>
      <c r="O63" s="11"/>
      <c r="P63" s="7"/>
      <c r="Q63" s="2"/>
      <c r="R63" s="6">
        <f t="shared" si="44"/>
        <v>0</v>
      </c>
      <c r="S63" s="2"/>
      <c r="T63" s="7">
        <v>2600</v>
      </c>
      <c r="U63" s="2"/>
      <c r="V63" s="6">
        <f t="shared" si="45"/>
        <v>4.9340925737864604E-3</v>
      </c>
      <c r="W63" s="2"/>
      <c r="X63" s="7">
        <f t="shared" si="46"/>
        <v>-2600</v>
      </c>
      <c r="Y63" s="2"/>
      <c r="Z63" s="6">
        <f t="shared" si="47"/>
        <v>-1</v>
      </c>
    </row>
    <row r="64" spans="1:26" s="24" customFormat="1" hidden="1" outlineLevel="2" x14ac:dyDescent="0.25">
      <c r="A64" s="29"/>
      <c r="B64" s="11" t="str">
        <f>CONCATENATE("          ", "6279", " - ", "GENERAL EXPENSE")</f>
        <v xml:space="preserve">          6279 - GENERAL EXPENSE</v>
      </c>
      <c r="C64" s="11"/>
      <c r="D64" s="7">
        <v>-1107.27</v>
      </c>
      <c r="E64" s="2"/>
      <c r="F64" s="6">
        <f t="shared" si="40"/>
        <v>-0.23464379712393038</v>
      </c>
      <c r="G64" s="2"/>
      <c r="H64" s="7">
        <v>1852.93</v>
      </c>
      <c r="I64" s="2"/>
      <c r="J64" s="6">
        <f t="shared" si="41"/>
        <v>5.3324780325549569E-3</v>
      </c>
      <c r="K64" s="2"/>
      <c r="L64" s="7">
        <f t="shared" si="42"/>
        <v>-2960.2</v>
      </c>
      <c r="M64" s="2"/>
      <c r="N64" s="6">
        <f t="shared" si="43"/>
        <v>-1.5975778901523532</v>
      </c>
      <c r="O64" s="11"/>
      <c r="P64" s="7">
        <v>3215.93</v>
      </c>
      <c r="Q64" s="2"/>
      <c r="R64" s="6">
        <f t="shared" si="44"/>
        <v>0.56480764333447497</v>
      </c>
      <c r="S64" s="2"/>
      <c r="T64" s="7">
        <v>19465.98</v>
      </c>
      <c r="U64" s="2"/>
      <c r="V64" s="6">
        <f t="shared" si="45"/>
        <v>3.6941133599798365E-2</v>
      </c>
      <c r="W64" s="2"/>
      <c r="X64" s="7">
        <f t="shared" si="46"/>
        <v>-16250.05</v>
      </c>
      <c r="Y64" s="2"/>
      <c r="Z64" s="6">
        <f t="shared" si="47"/>
        <v>-0.83479228890608126</v>
      </c>
    </row>
    <row r="65" spans="1:26" s="28" customFormat="1" outlineLevel="1" collapsed="1" x14ac:dyDescent="0.25">
      <c r="A65" s="27"/>
      <c r="B65" s="14" t="str">
        <f>CONCATENATE("     ","Insurance                                         ")</f>
        <v xml:space="preserve">     Insurance                                         </v>
      </c>
      <c r="C65" s="14"/>
      <c r="D65" s="1">
        <f>SUM(OSRRefD22_9x_0)</f>
        <v>4240.13</v>
      </c>
      <c r="E65" s="1"/>
      <c r="F65" s="5">
        <f t="shared" ref="F65:F75" si="48">IF(D$12=0,0,D65/D$12)</f>
        <v>0.89853441662746303</v>
      </c>
      <c r="G65" s="1"/>
      <c r="H65" s="1">
        <f>SUM(OSRRefH22_9x_0)</f>
        <v>4240.13</v>
      </c>
      <c r="I65" s="1"/>
      <c r="J65" s="5">
        <f t="shared" ref="J65:J75" si="49">IF(H$12=0,0,H65/H$12)</f>
        <v>1.2202511740960128E-2</v>
      </c>
      <c r="K65" s="1"/>
      <c r="L65" s="1">
        <f t="shared" ref="L65:L75" si="50">+D65-H65</f>
        <v>0</v>
      </c>
      <c r="M65" s="1"/>
      <c r="N65" s="5">
        <f t="shared" ref="N65:N75" si="51">IF(H65=0,0,L65/H65)</f>
        <v>0</v>
      </c>
      <c r="O65" s="14"/>
      <c r="P65" s="1">
        <f>SUM(OSRRefP22_9x_0)</f>
        <v>8480.26</v>
      </c>
      <c r="Q65" s="1"/>
      <c r="R65" s="5">
        <f t="shared" ref="R65:R75" si="52">IF(P$12=0,0,P65/P$12)</f>
        <v>1.48937186613627</v>
      </c>
      <c r="S65" s="1"/>
      <c r="T65" s="1">
        <f>SUM(OSRRefT22_9x_0)</f>
        <v>8480.26</v>
      </c>
      <c r="U65" s="1"/>
      <c r="V65" s="5">
        <f t="shared" ref="V65:V75" si="53">IF(T$12=0,0,T65/T$12)</f>
        <v>1.6093226111453217E-2</v>
      </c>
      <c r="W65" s="1"/>
      <c r="X65" s="1">
        <f t="shared" ref="X65:X75" si="54">+P65-T65</f>
        <v>0</v>
      </c>
      <c r="Y65" s="1"/>
      <c r="Z65" s="5">
        <f t="shared" ref="Z65:Z75" si="55">IF(T65=0,0,X65/T65)</f>
        <v>0</v>
      </c>
    </row>
    <row r="66" spans="1:26" s="24" customFormat="1" hidden="1" outlineLevel="2" x14ac:dyDescent="0.25">
      <c r="A66" s="29"/>
      <c r="B66" s="11" t="str">
        <f>CONCATENATE("          ", "6314", " - ", "LIABILITY INSURANCE")</f>
        <v xml:space="preserve">          6314 - LIABILITY INSURANCE</v>
      </c>
      <c r="C66" s="11"/>
      <c r="D66" s="7">
        <v>4240.13</v>
      </c>
      <c r="E66" s="2"/>
      <c r="F66" s="6">
        <f t="shared" si="48"/>
        <v>0.89853441662746303</v>
      </c>
      <c r="G66" s="2"/>
      <c r="H66" s="7">
        <v>4240.13</v>
      </c>
      <c r="I66" s="2"/>
      <c r="J66" s="6">
        <f t="shared" si="49"/>
        <v>1.2202511740960128E-2</v>
      </c>
      <c r="K66" s="2"/>
      <c r="L66" s="7">
        <f t="shared" si="50"/>
        <v>0</v>
      </c>
      <c r="M66" s="2"/>
      <c r="N66" s="6">
        <f t="shared" si="51"/>
        <v>0</v>
      </c>
      <c r="O66" s="11"/>
      <c r="P66" s="7">
        <v>8480.26</v>
      </c>
      <c r="Q66" s="2"/>
      <c r="R66" s="6">
        <f t="shared" si="52"/>
        <v>1.48937186613627</v>
      </c>
      <c r="S66" s="2"/>
      <c r="T66" s="7">
        <v>8480.26</v>
      </c>
      <c r="U66" s="2"/>
      <c r="V66" s="6">
        <f t="shared" si="53"/>
        <v>1.6093226111453217E-2</v>
      </c>
      <c r="W66" s="2"/>
      <c r="X66" s="7">
        <f t="shared" si="54"/>
        <v>0</v>
      </c>
      <c r="Y66" s="2"/>
      <c r="Z66" s="6">
        <f t="shared" si="55"/>
        <v>0</v>
      </c>
    </row>
    <row r="67" spans="1:26" s="28" customFormat="1" outlineLevel="1" collapsed="1" x14ac:dyDescent="0.25">
      <c r="A67" s="27"/>
      <c r="B67" s="14" t="str">
        <f>CONCATENATE("     ","Interest                                          ")</f>
        <v xml:space="preserve">     Interest                                          </v>
      </c>
      <c r="C67" s="14"/>
      <c r="D67" s="1">
        <f>SUM(OSRRefD22_10x_0)</f>
        <v>7510</v>
      </c>
      <c r="E67" s="1"/>
      <c r="F67" s="5">
        <f t="shared" si="48"/>
        <v>1.5914590988654234</v>
      </c>
      <c r="G67" s="1"/>
      <c r="H67" s="1">
        <f>SUM(OSRRefH22_10x_0)</f>
        <v>7630</v>
      </c>
      <c r="I67" s="1"/>
      <c r="J67" s="5">
        <f t="shared" si="49"/>
        <v>2.1958091988577181E-2</v>
      </c>
      <c r="K67" s="1"/>
      <c r="L67" s="1">
        <f t="shared" si="50"/>
        <v>-120</v>
      </c>
      <c r="M67" s="1"/>
      <c r="N67" s="5">
        <f t="shared" si="51"/>
        <v>-1.5727391874180863E-2</v>
      </c>
      <c r="O67" s="14"/>
      <c r="P67" s="1">
        <f>SUM(OSRRefP22_10x_0)</f>
        <v>15020</v>
      </c>
      <c r="Q67" s="1"/>
      <c r="R67" s="5">
        <f t="shared" si="52"/>
        <v>2.6379339111497497</v>
      </c>
      <c r="S67" s="1"/>
      <c r="T67" s="1">
        <f>SUM(OSRRefT22_10x_0)</f>
        <v>15260</v>
      </c>
      <c r="U67" s="1"/>
      <c r="V67" s="5">
        <f t="shared" si="53"/>
        <v>2.895932795230053E-2</v>
      </c>
      <c r="W67" s="1"/>
      <c r="X67" s="1">
        <f t="shared" si="54"/>
        <v>-240</v>
      </c>
      <c r="Y67" s="1"/>
      <c r="Z67" s="5">
        <f t="shared" si="55"/>
        <v>-1.5727391874180863E-2</v>
      </c>
    </row>
    <row r="68" spans="1:26" s="24" customFormat="1" hidden="1" outlineLevel="2" x14ac:dyDescent="0.25">
      <c r="A68" s="29"/>
      <c r="B68" s="11" t="str">
        <f>CONCATENATE("          ", "6401", " - ", "INTEREST EXPENSE")</f>
        <v xml:space="preserve">          6401 - INTEREST EXPENSE</v>
      </c>
      <c r="C68" s="11"/>
      <c r="D68" s="7">
        <v>7510</v>
      </c>
      <c r="E68" s="2"/>
      <c r="F68" s="6">
        <f t="shared" si="48"/>
        <v>1.5914590988654234</v>
      </c>
      <c r="G68" s="2"/>
      <c r="H68" s="7">
        <v>7630</v>
      </c>
      <c r="I68" s="2"/>
      <c r="J68" s="6">
        <f t="shared" si="49"/>
        <v>2.1958091988577181E-2</v>
      </c>
      <c r="K68" s="2"/>
      <c r="L68" s="7">
        <f t="shared" si="50"/>
        <v>-120</v>
      </c>
      <c r="M68" s="2"/>
      <c r="N68" s="6">
        <f t="shared" si="51"/>
        <v>-1.5727391874180863E-2</v>
      </c>
      <c r="O68" s="11"/>
      <c r="P68" s="7">
        <v>15020</v>
      </c>
      <c r="Q68" s="2"/>
      <c r="R68" s="6">
        <f t="shared" si="52"/>
        <v>2.6379339111497497</v>
      </c>
      <c r="S68" s="2"/>
      <c r="T68" s="7">
        <v>15260</v>
      </c>
      <c r="U68" s="2"/>
      <c r="V68" s="6">
        <f t="shared" si="53"/>
        <v>2.895932795230053E-2</v>
      </c>
      <c r="W68" s="2"/>
      <c r="X68" s="7">
        <f t="shared" si="54"/>
        <v>-240</v>
      </c>
      <c r="Y68" s="2"/>
      <c r="Z68" s="6">
        <f t="shared" si="55"/>
        <v>-1.5727391874180863E-2</v>
      </c>
    </row>
    <row r="69" spans="1:26" s="28" customFormat="1" outlineLevel="1" collapsed="1" x14ac:dyDescent="0.25">
      <c r="A69" s="27"/>
      <c r="B69" s="14" t="str">
        <f>CONCATENATE("     ","Professional Services                             ")</f>
        <v xml:space="preserve">     Professional Services                             </v>
      </c>
      <c r="C69" s="14"/>
      <c r="D69" s="1">
        <f>SUM(OSRRefD22_11x_0)</f>
        <v>0</v>
      </c>
      <c r="E69" s="1"/>
      <c r="F69" s="5">
        <f t="shared" si="48"/>
        <v>0</v>
      </c>
      <c r="G69" s="1"/>
      <c r="H69" s="1">
        <f>SUM(OSRRefH22_11x_0)</f>
        <v>125</v>
      </c>
      <c r="I69" s="1"/>
      <c r="J69" s="5">
        <f t="shared" si="49"/>
        <v>3.5973283074340075E-4</v>
      </c>
      <c r="K69" s="1"/>
      <c r="L69" s="1">
        <f t="shared" si="50"/>
        <v>-125</v>
      </c>
      <c r="M69" s="1"/>
      <c r="N69" s="5">
        <f t="shared" si="51"/>
        <v>-1</v>
      </c>
      <c r="O69" s="14"/>
      <c r="P69" s="1">
        <f>SUM(OSRRefP22_11x_0)</f>
        <v>0</v>
      </c>
      <c r="Q69" s="1"/>
      <c r="R69" s="5">
        <f t="shared" si="52"/>
        <v>0</v>
      </c>
      <c r="S69" s="1"/>
      <c r="T69" s="1">
        <f>SUM(OSRRefT22_11x_0)</f>
        <v>125</v>
      </c>
      <c r="U69" s="1"/>
      <c r="V69" s="5">
        <f t="shared" si="53"/>
        <v>2.3721598912434903E-4</v>
      </c>
      <c r="W69" s="1"/>
      <c r="X69" s="1">
        <f t="shared" si="54"/>
        <v>-125</v>
      </c>
      <c r="Y69" s="1"/>
      <c r="Z69" s="5">
        <f t="shared" si="55"/>
        <v>-1</v>
      </c>
    </row>
    <row r="70" spans="1:26" s="24" customFormat="1" hidden="1" outlineLevel="2" x14ac:dyDescent="0.25">
      <c r="A70" s="29"/>
      <c r="B70" s="11" t="str">
        <f>CONCATENATE("          ", "6336", " - ", "PROFESSIONAL SERVICES")</f>
        <v xml:space="preserve">          6336 - PROFESSIONAL SERVICES</v>
      </c>
      <c r="C70" s="11"/>
      <c r="D70" s="7"/>
      <c r="E70" s="2"/>
      <c r="F70" s="6">
        <f t="shared" si="48"/>
        <v>0</v>
      </c>
      <c r="G70" s="2"/>
      <c r="H70" s="7">
        <v>125</v>
      </c>
      <c r="I70" s="2"/>
      <c r="J70" s="6">
        <f t="shared" si="49"/>
        <v>3.5973283074340075E-4</v>
      </c>
      <c r="K70" s="2"/>
      <c r="L70" s="7">
        <f t="shared" si="50"/>
        <v>-125</v>
      </c>
      <c r="M70" s="2"/>
      <c r="N70" s="6">
        <f t="shared" si="51"/>
        <v>-1</v>
      </c>
      <c r="O70" s="11"/>
      <c r="P70" s="7"/>
      <c r="Q70" s="2"/>
      <c r="R70" s="6">
        <f t="shared" si="52"/>
        <v>0</v>
      </c>
      <c r="S70" s="2"/>
      <c r="T70" s="7">
        <v>125</v>
      </c>
      <c r="U70" s="2"/>
      <c r="V70" s="6">
        <f t="shared" si="53"/>
        <v>2.3721598912434903E-4</v>
      </c>
      <c r="W70" s="2"/>
      <c r="X70" s="7">
        <f t="shared" si="54"/>
        <v>-125</v>
      </c>
      <c r="Y70" s="2"/>
      <c r="Z70" s="6">
        <f t="shared" si="55"/>
        <v>-1</v>
      </c>
    </row>
    <row r="71" spans="1:26" s="28" customFormat="1" outlineLevel="1" collapsed="1" x14ac:dyDescent="0.25">
      <c r="A71" s="27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0</v>
      </c>
      <c r="E71" s="1"/>
      <c r="F71" s="5">
        <f t="shared" si="48"/>
        <v>0</v>
      </c>
      <c r="G71" s="1"/>
      <c r="H71" s="1">
        <f>SUM(OSRRefH22_12x_0)</f>
        <v>1850</v>
      </c>
      <c r="I71" s="1"/>
      <c r="J71" s="5">
        <f t="shared" si="49"/>
        <v>5.3240458950023313E-3</v>
      </c>
      <c r="K71" s="1"/>
      <c r="L71" s="1">
        <f t="shared" si="50"/>
        <v>-1850</v>
      </c>
      <c r="M71" s="1"/>
      <c r="N71" s="5">
        <f t="shared" si="51"/>
        <v>-1</v>
      </c>
      <c r="O71" s="14"/>
      <c r="P71" s="1">
        <f>SUM(OSRRefP22_12x_0)</f>
        <v>0</v>
      </c>
      <c r="Q71" s="1"/>
      <c r="R71" s="5">
        <f t="shared" si="52"/>
        <v>0</v>
      </c>
      <c r="S71" s="1"/>
      <c r="T71" s="1">
        <f>SUM(OSRRefT22_12x_0)</f>
        <v>3700</v>
      </c>
      <c r="U71" s="1"/>
      <c r="V71" s="5">
        <f t="shared" si="53"/>
        <v>7.0215932780807316E-3</v>
      </c>
      <c r="W71" s="1"/>
      <c r="X71" s="1">
        <f t="shared" si="54"/>
        <v>-3700</v>
      </c>
      <c r="Y71" s="1"/>
      <c r="Z71" s="5">
        <f t="shared" si="55"/>
        <v>-1</v>
      </c>
    </row>
    <row r="72" spans="1:26" s="24" customFormat="1" hidden="1" outlineLevel="2" x14ac:dyDescent="0.25">
      <c r="A72" s="29"/>
      <c r="B72" s="11" t="str">
        <f>CONCATENATE("          ", "6273", " - ", "RENT")</f>
        <v xml:space="preserve">          6273 - RENT</v>
      </c>
      <c r="C72" s="11"/>
      <c r="D72" s="7"/>
      <c r="E72" s="2"/>
      <c r="F72" s="6">
        <f t="shared" si="48"/>
        <v>0</v>
      </c>
      <c r="G72" s="2"/>
      <c r="H72" s="7">
        <v>1850</v>
      </c>
      <c r="I72" s="2"/>
      <c r="J72" s="6">
        <f t="shared" si="49"/>
        <v>5.3240458950023313E-3</v>
      </c>
      <c r="K72" s="2"/>
      <c r="L72" s="7">
        <f t="shared" si="50"/>
        <v>-1850</v>
      </c>
      <c r="M72" s="2"/>
      <c r="N72" s="6">
        <f t="shared" si="51"/>
        <v>-1</v>
      </c>
      <c r="O72" s="11"/>
      <c r="P72" s="7"/>
      <c r="Q72" s="2"/>
      <c r="R72" s="6">
        <f t="shared" si="52"/>
        <v>0</v>
      </c>
      <c r="S72" s="2"/>
      <c r="T72" s="7">
        <v>3700</v>
      </c>
      <c r="U72" s="2"/>
      <c r="V72" s="6">
        <f t="shared" si="53"/>
        <v>7.0215932780807316E-3</v>
      </c>
      <c r="W72" s="2"/>
      <c r="X72" s="7">
        <f t="shared" si="54"/>
        <v>-3700</v>
      </c>
      <c r="Y72" s="2"/>
      <c r="Z72" s="6">
        <f t="shared" si="55"/>
        <v>-1</v>
      </c>
    </row>
    <row r="73" spans="1:26" s="28" customFormat="1" outlineLevel="1" collapsed="1" x14ac:dyDescent="0.25">
      <c r="A73" s="27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4288.76</v>
      </c>
      <c r="E73" s="1"/>
      <c r="F73" s="5">
        <f t="shared" si="48"/>
        <v>0.90883969705060896</v>
      </c>
      <c r="G73" s="1"/>
      <c r="H73" s="1">
        <f>SUM(OSRRefH22_13x_0)</f>
        <v>21942.260000000002</v>
      </c>
      <c r="I73" s="1"/>
      <c r="J73" s="5">
        <f t="shared" si="49"/>
        <v>6.3146810421661551E-2</v>
      </c>
      <c r="K73" s="1"/>
      <c r="L73" s="1">
        <f t="shared" si="50"/>
        <v>-17653.5</v>
      </c>
      <c r="M73" s="1"/>
      <c r="N73" s="5">
        <f t="shared" si="51"/>
        <v>-0.8045433788497629</v>
      </c>
      <c r="O73" s="14"/>
      <c r="P73" s="1">
        <f>SUM(OSRRefP22_13x_0)</f>
        <v>8399.17</v>
      </c>
      <c r="Q73" s="1"/>
      <c r="R73" s="5">
        <f t="shared" si="52"/>
        <v>1.4751301843216806</v>
      </c>
      <c r="S73" s="1"/>
      <c r="T73" s="1">
        <f>SUM(OSRRefT22_13x_0)</f>
        <v>47809.81</v>
      </c>
      <c r="U73" s="1"/>
      <c r="V73" s="5">
        <f t="shared" si="53"/>
        <v>9.0730010951977552E-2</v>
      </c>
      <c r="W73" s="1"/>
      <c r="X73" s="1">
        <f t="shared" si="54"/>
        <v>-39410.639999999999</v>
      </c>
      <c r="Y73" s="1"/>
      <c r="Z73" s="5">
        <f t="shared" si="55"/>
        <v>-0.8243212010254799</v>
      </c>
    </row>
    <row r="74" spans="1:26" s="24" customFormat="1" hidden="1" outlineLevel="2" x14ac:dyDescent="0.25">
      <c r="A74" s="29"/>
      <c r="B74" s="11" t="str">
        <f>CONCATENATE("          ", "6373", " - ", "MAINTENANCE CONTRACTS")</f>
        <v xml:space="preserve">          6373 - MAINTENANCE CONTRACTS</v>
      </c>
      <c r="C74" s="11"/>
      <c r="D74" s="7">
        <v>1687.36</v>
      </c>
      <c r="E74" s="2"/>
      <c r="F74" s="6">
        <f t="shared" si="48"/>
        <v>0.35757182757144612</v>
      </c>
      <c r="G74" s="2"/>
      <c r="H74" s="7">
        <v>10062.32</v>
      </c>
      <c r="I74" s="2"/>
      <c r="J74" s="6">
        <f t="shared" si="49"/>
        <v>2.8957974859567488E-2</v>
      </c>
      <c r="K74" s="2"/>
      <c r="L74" s="7">
        <f t="shared" si="50"/>
        <v>-8374.9599999999991</v>
      </c>
      <c r="M74" s="2"/>
      <c r="N74" s="6">
        <f t="shared" si="51"/>
        <v>-0.83230905000039745</v>
      </c>
      <c r="O74" s="11"/>
      <c r="P74" s="7">
        <v>4040.95</v>
      </c>
      <c r="Q74" s="2"/>
      <c r="R74" s="6">
        <f t="shared" si="52"/>
        <v>0.70970433011055789</v>
      </c>
      <c r="S74" s="2"/>
      <c r="T74" s="7">
        <v>16091.2</v>
      </c>
      <c r="U74" s="2"/>
      <c r="V74" s="6">
        <f t="shared" si="53"/>
        <v>3.0536719393581803E-2</v>
      </c>
      <c r="W74" s="2"/>
      <c r="X74" s="7">
        <f t="shared" si="54"/>
        <v>-12050.25</v>
      </c>
      <c r="Y74" s="2"/>
      <c r="Z74" s="6">
        <f t="shared" si="55"/>
        <v>-0.74887205429054382</v>
      </c>
    </row>
    <row r="75" spans="1:26" s="24" customFormat="1" hidden="1" outlineLevel="2" x14ac:dyDescent="0.25">
      <c r="A75" s="29"/>
      <c r="B75" s="11" t="str">
        <f>CONCATENATE("          ", "6375", " - ", "OUTSIDE REPAIRS &amp; MAINTENANCE")</f>
        <v xml:space="preserve">          6375 - OUTSIDE REPAIRS &amp; MAINTENANCE</v>
      </c>
      <c r="C75" s="11"/>
      <c r="D75" s="7">
        <v>2601.4</v>
      </c>
      <c r="E75" s="2"/>
      <c r="F75" s="6">
        <f t="shared" si="48"/>
        <v>0.55126786947916273</v>
      </c>
      <c r="G75" s="2"/>
      <c r="H75" s="7">
        <v>11879.94</v>
      </c>
      <c r="I75" s="2"/>
      <c r="J75" s="6">
        <f t="shared" si="49"/>
        <v>3.4188835562094053E-2</v>
      </c>
      <c r="K75" s="2"/>
      <c r="L75" s="7">
        <f t="shared" si="50"/>
        <v>-9278.5400000000009</v>
      </c>
      <c r="M75" s="2"/>
      <c r="N75" s="6">
        <f t="shared" si="51"/>
        <v>-0.78102583009678506</v>
      </c>
      <c r="O75" s="11"/>
      <c r="P75" s="7">
        <v>4358.22</v>
      </c>
      <c r="Q75" s="2"/>
      <c r="R75" s="6">
        <f t="shared" si="52"/>
        <v>0.76542585421112264</v>
      </c>
      <c r="S75" s="2"/>
      <c r="T75" s="7">
        <v>31718.609999999997</v>
      </c>
      <c r="U75" s="2"/>
      <c r="V75" s="6">
        <f t="shared" si="53"/>
        <v>6.0193291558395742E-2</v>
      </c>
      <c r="W75" s="2"/>
      <c r="X75" s="7">
        <f t="shared" si="54"/>
        <v>-27360.389999999996</v>
      </c>
      <c r="Y75" s="2"/>
      <c r="Z75" s="6">
        <f t="shared" si="55"/>
        <v>-0.86259738368106287</v>
      </c>
    </row>
    <row r="76" spans="1:26" s="28" customFormat="1" outlineLevel="1" collapsed="1" x14ac:dyDescent="0.25">
      <c r="A76" s="27"/>
      <c r="B76" s="14" t="str">
        <f>CONCATENATE("     ","Royalty &amp; Commissions                             ")</f>
        <v xml:space="preserve">     Royalty &amp; Commissions                             </v>
      </c>
      <c r="C76" s="14"/>
      <c r="D76" s="1">
        <f>SUM(OSRRefD22_14x_0)</f>
        <v>0</v>
      </c>
      <c r="E76" s="1"/>
      <c r="F76" s="5">
        <f t="shared" ref="F76:F78" si="56">IF(D$12=0,0,D76/D$12)</f>
        <v>0</v>
      </c>
      <c r="G76" s="1"/>
      <c r="H76" s="1">
        <f>SUM(OSRRefH22_14x_0)</f>
        <v>16843.939999999999</v>
      </c>
      <c r="I76" s="1"/>
      <c r="J76" s="5">
        <f t="shared" ref="J76:J78" si="57">IF(H$12=0,0,H76/H$12)</f>
        <v>4.8474545736575975E-2</v>
      </c>
      <c r="K76" s="1"/>
      <c r="L76" s="1">
        <f t="shared" ref="L76:L78" si="58">+D76-H76</f>
        <v>-16843.939999999999</v>
      </c>
      <c r="M76" s="1"/>
      <c r="N76" s="5">
        <f t="shared" ref="N76:N78" si="59">IF(H76=0,0,L76/H76)</f>
        <v>-1</v>
      </c>
      <c r="O76" s="14"/>
      <c r="P76" s="1">
        <f>SUM(OSRRefP22_14x_0)</f>
        <v>0</v>
      </c>
      <c r="Q76" s="1"/>
      <c r="R76" s="5">
        <f t="shared" ref="R76:R78" si="60">IF(P$12=0,0,P76/P$12)</f>
        <v>0</v>
      </c>
      <c r="S76" s="1"/>
      <c r="T76" s="1">
        <f>SUM(OSRRefT22_14x_0)</f>
        <v>33702.04</v>
      </c>
      <c r="U76" s="1"/>
      <c r="V76" s="5">
        <f t="shared" ref="V76:V78" si="61">IF(T$12=0,0,T76/T$12)</f>
        <v>6.3957302032867008E-2</v>
      </c>
      <c r="W76" s="1"/>
      <c r="X76" s="1">
        <f t="shared" ref="X76:X78" si="62">+P76-T76</f>
        <v>-33702.04</v>
      </c>
      <c r="Y76" s="1"/>
      <c r="Z76" s="5">
        <f t="shared" ref="Z76:Z78" si="63">IF(T76=0,0,X76/T76)</f>
        <v>-1</v>
      </c>
    </row>
    <row r="77" spans="1:26" s="24" customFormat="1" hidden="1" outlineLevel="2" x14ac:dyDescent="0.25">
      <c r="A77" s="29"/>
      <c r="B77" s="11" t="str">
        <f>CONCATENATE("          ", "6254", " - ", "ROYALTY &amp; COMMISSIONS")</f>
        <v xml:space="preserve">          6254 - ROYALTY &amp; COMMISSIONS</v>
      </c>
      <c r="C77" s="11"/>
      <c r="D77" s="7"/>
      <c r="E77" s="2"/>
      <c r="F77" s="6">
        <f t="shared" si="56"/>
        <v>0</v>
      </c>
      <c r="G77" s="2"/>
      <c r="H77" s="7">
        <v>10870.98</v>
      </c>
      <c r="I77" s="2"/>
      <c r="J77" s="6">
        <f t="shared" si="57"/>
        <v>3.1285187266839154E-2</v>
      </c>
      <c r="K77" s="2"/>
      <c r="L77" s="7">
        <f t="shared" si="58"/>
        <v>-10870.98</v>
      </c>
      <c r="M77" s="2"/>
      <c r="N77" s="6">
        <f t="shared" si="59"/>
        <v>-1</v>
      </c>
      <c r="O77" s="11"/>
      <c r="P77" s="7"/>
      <c r="Q77" s="2"/>
      <c r="R77" s="6">
        <f t="shared" si="60"/>
        <v>0</v>
      </c>
      <c r="S77" s="2"/>
      <c r="T77" s="7">
        <v>24843.64</v>
      </c>
      <c r="U77" s="2"/>
      <c r="V77" s="6">
        <f t="shared" si="61"/>
        <v>4.7146469088393941E-2</v>
      </c>
      <c r="W77" s="2"/>
      <c r="X77" s="7">
        <f t="shared" si="62"/>
        <v>-24843.64</v>
      </c>
      <c r="Y77" s="2"/>
      <c r="Z77" s="6">
        <f t="shared" si="63"/>
        <v>-1</v>
      </c>
    </row>
    <row r="78" spans="1:26" s="24" customFormat="1" hidden="1" outlineLevel="2" x14ac:dyDescent="0.25">
      <c r="A78" s="29"/>
      <c r="B78" s="11" t="str">
        <f>CONCATENATE("          ", "6259", " - ", "ROYALTY &amp; COMMISSIONS")</f>
        <v xml:space="preserve">          6259 - ROYALTY &amp; COMMISSIONS</v>
      </c>
      <c r="C78" s="11"/>
      <c r="D78" s="7"/>
      <c r="E78" s="2"/>
      <c r="F78" s="6">
        <f t="shared" si="56"/>
        <v>0</v>
      </c>
      <c r="G78" s="2"/>
      <c r="H78" s="7">
        <v>5972.96</v>
      </c>
      <c r="I78" s="2"/>
      <c r="J78" s="6">
        <f t="shared" si="57"/>
        <v>1.7189358469736824E-2</v>
      </c>
      <c r="K78" s="2"/>
      <c r="L78" s="7">
        <f t="shared" si="58"/>
        <v>-5972.96</v>
      </c>
      <c r="M78" s="2"/>
      <c r="N78" s="6">
        <f t="shared" si="59"/>
        <v>-1</v>
      </c>
      <c r="O78" s="11"/>
      <c r="P78" s="7"/>
      <c r="Q78" s="2"/>
      <c r="R78" s="6">
        <f t="shared" si="60"/>
        <v>0</v>
      </c>
      <c r="S78" s="2"/>
      <c r="T78" s="7">
        <v>8858.4</v>
      </c>
      <c r="U78" s="2"/>
      <c r="V78" s="6">
        <f t="shared" si="61"/>
        <v>1.6810832944473067E-2</v>
      </c>
      <c r="W78" s="2"/>
      <c r="X78" s="7">
        <f t="shared" si="62"/>
        <v>-8858.4</v>
      </c>
      <c r="Y78" s="2"/>
      <c r="Z78" s="6">
        <f t="shared" si="63"/>
        <v>-1</v>
      </c>
    </row>
    <row r="79" spans="1:26" s="28" customFormat="1" outlineLevel="1" collapsed="1" x14ac:dyDescent="0.25">
      <c r="A79" s="27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4789.1799999999994</v>
      </c>
      <c r="E79" s="1"/>
      <c r="F79" s="5">
        <f t="shared" ref="F79:F84" si="64">IF(D$12=0,0,D79/D$12)</f>
        <v>1.0148846986823312</v>
      </c>
      <c r="G79" s="1"/>
      <c r="H79" s="1">
        <f>SUM(OSRRefH22_15x_0)</f>
        <v>17396.48</v>
      </c>
      <c r="I79" s="1"/>
      <c r="J79" s="5">
        <f t="shared" ref="J79:J84" si="65">IF(H$12=0,0,H79/H$12)</f>
        <v>5.0064679962967651E-2</v>
      </c>
      <c r="K79" s="1"/>
      <c r="L79" s="1">
        <f t="shared" ref="L79:L84" si="66">+D79-H79</f>
        <v>-12607.3</v>
      </c>
      <c r="M79" s="1"/>
      <c r="N79" s="5">
        <f t="shared" ref="N79:N84" si="67">IF(H79=0,0,L79/H79)</f>
        <v>-0.72470407806636739</v>
      </c>
      <c r="O79" s="14"/>
      <c r="P79" s="1">
        <f>SUM(OSRRefP22_15x_0)</f>
        <v>6396.38</v>
      </c>
      <c r="Q79" s="1"/>
      <c r="R79" s="5">
        <f t="shared" ref="R79:R84" si="68">IF(P$12=0,0,P79/P$12)</f>
        <v>1.1233840020372861</v>
      </c>
      <c r="S79" s="1"/>
      <c r="T79" s="1">
        <f>SUM(OSRRefT22_15x_0)</f>
        <v>39071.78</v>
      </c>
      <c r="U79" s="1"/>
      <c r="V79" s="5">
        <f t="shared" ref="V79:V84" si="69">IF(T$12=0,0,T79/T$12)</f>
        <v>7.414760751639167E-2</v>
      </c>
      <c r="W79" s="1"/>
      <c r="X79" s="1">
        <f t="shared" ref="X79:X84" si="70">+P79-T79</f>
        <v>-32675.399999999998</v>
      </c>
      <c r="Y79" s="1"/>
      <c r="Z79" s="5">
        <f t="shared" ref="Z79:Z84" si="71">IF(T79=0,0,X79/T79)</f>
        <v>-0.83629156388575077</v>
      </c>
    </row>
    <row r="80" spans="1:26" s="24" customFormat="1" hidden="1" outlineLevel="2" x14ac:dyDescent="0.25">
      <c r="A80" s="29"/>
      <c r="B80" s="11" t="str">
        <f>CONCATENATE("          ", "6282", " - ", "JANITORIAL/EXTERMINATOR EXPENS")</f>
        <v xml:space="preserve">          6282 - JANITORIAL/EXTERMINATOR EXPENS</v>
      </c>
      <c r="C80" s="11"/>
      <c r="D80" s="7">
        <v>485.89</v>
      </c>
      <c r="E80" s="2"/>
      <c r="F80" s="6">
        <f t="shared" si="64"/>
        <v>0.10296592031261258</v>
      </c>
      <c r="G80" s="2"/>
      <c r="H80" s="7">
        <v>1277.57</v>
      </c>
      <c r="I80" s="2"/>
      <c r="J80" s="6">
        <f t="shared" si="65"/>
        <v>3.6766709805827716E-3</v>
      </c>
      <c r="K80" s="2"/>
      <c r="L80" s="7">
        <f t="shared" si="66"/>
        <v>-791.68</v>
      </c>
      <c r="M80" s="2"/>
      <c r="N80" s="6">
        <f t="shared" si="67"/>
        <v>-0.61967641694779929</v>
      </c>
      <c r="O80" s="11"/>
      <c r="P80" s="7">
        <v>772.51</v>
      </c>
      <c r="Q80" s="2"/>
      <c r="R80" s="6">
        <f t="shared" si="68"/>
        <v>0.13567445577245626</v>
      </c>
      <c r="S80" s="2"/>
      <c r="T80" s="7">
        <v>2555.14</v>
      </c>
      <c r="U80" s="2"/>
      <c r="V80" s="6">
        <f t="shared" si="69"/>
        <v>4.8489604996095137E-3</v>
      </c>
      <c r="W80" s="2"/>
      <c r="X80" s="7">
        <f t="shared" si="70"/>
        <v>-1782.6299999999999</v>
      </c>
      <c r="Y80" s="2"/>
      <c r="Z80" s="6">
        <f t="shared" si="71"/>
        <v>-0.69766431584962074</v>
      </c>
    </row>
    <row r="81" spans="1:26" s="24" customFormat="1" hidden="1" outlineLevel="2" x14ac:dyDescent="0.25">
      <c r="A81" s="29"/>
      <c r="B81" s="11" t="str">
        <f>CONCATENATE("          ", "6283", " - ", "PLANT SERVICE")</f>
        <v xml:space="preserve">          6283 - PLANT SERVICE</v>
      </c>
      <c r="C81" s="11"/>
      <c r="D81" s="7"/>
      <c r="E81" s="2"/>
      <c r="F81" s="6">
        <f t="shared" si="64"/>
        <v>0</v>
      </c>
      <c r="G81" s="2"/>
      <c r="H81" s="7">
        <v>199.78</v>
      </c>
      <c r="I81" s="2"/>
      <c r="J81" s="6">
        <f t="shared" si="65"/>
        <v>5.7493939940733284E-4</v>
      </c>
      <c r="K81" s="2"/>
      <c r="L81" s="7">
        <f t="shared" si="66"/>
        <v>-199.78</v>
      </c>
      <c r="M81" s="2"/>
      <c r="N81" s="6">
        <f t="shared" si="67"/>
        <v>-1</v>
      </c>
      <c r="O81" s="11"/>
      <c r="P81" s="7"/>
      <c r="Q81" s="2"/>
      <c r="R81" s="6">
        <f t="shared" si="68"/>
        <v>0</v>
      </c>
      <c r="S81" s="2"/>
      <c r="T81" s="7">
        <v>399.56</v>
      </c>
      <c r="U81" s="2"/>
      <c r="V81" s="6">
        <f t="shared" si="69"/>
        <v>7.582561649161992E-4</v>
      </c>
      <c r="W81" s="2"/>
      <c r="X81" s="7">
        <f t="shared" si="70"/>
        <v>-399.56</v>
      </c>
      <c r="Y81" s="2"/>
      <c r="Z81" s="6">
        <f t="shared" si="71"/>
        <v>-1</v>
      </c>
    </row>
    <row r="82" spans="1:26" s="24" customFormat="1" hidden="1" outlineLevel="2" x14ac:dyDescent="0.25">
      <c r="A82" s="29"/>
      <c r="B82" s="11" t="str">
        <f>CONCATENATE("          ", "6284", " - ", "TRASH REMOVAL EXPENSE")</f>
        <v xml:space="preserve">          6284 - TRASH REMOVAL EXPENSE</v>
      </c>
      <c r="C82" s="11"/>
      <c r="D82" s="7">
        <v>1000</v>
      </c>
      <c r="E82" s="2"/>
      <c r="F82" s="6">
        <f t="shared" si="64"/>
        <v>0.21191199718580869</v>
      </c>
      <c r="G82" s="2"/>
      <c r="H82" s="7"/>
      <c r="I82" s="2"/>
      <c r="J82" s="6">
        <f t="shared" si="65"/>
        <v>0</v>
      </c>
      <c r="K82" s="2"/>
      <c r="L82" s="7">
        <f t="shared" si="66"/>
        <v>1000</v>
      </c>
      <c r="M82" s="2"/>
      <c r="N82" s="6">
        <f t="shared" si="67"/>
        <v>0</v>
      </c>
      <c r="O82" s="11"/>
      <c r="P82" s="7">
        <v>2000</v>
      </c>
      <c r="Q82" s="2"/>
      <c r="R82" s="6">
        <f t="shared" si="68"/>
        <v>0.3512561799134154</v>
      </c>
      <c r="S82" s="2"/>
      <c r="T82" s="7">
        <v>4199</v>
      </c>
      <c r="U82" s="2"/>
      <c r="V82" s="6">
        <f t="shared" si="69"/>
        <v>7.9685595066651335E-3</v>
      </c>
      <c r="W82" s="2"/>
      <c r="X82" s="7">
        <f t="shared" si="70"/>
        <v>-2199</v>
      </c>
      <c r="Y82" s="2"/>
      <c r="Z82" s="6">
        <f t="shared" si="71"/>
        <v>-0.5236961181233627</v>
      </c>
    </row>
    <row r="83" spans="1:26" s="24" customFormat="1" hidden="1" outlineLevel="2" x14ac:dyDescent="0.25">
      <c r="A83" s="29"/>
      <c r="B83" s="11" t="str">
        <f>CONCATENATE("          ", "6285", " - ", "JANITORIAL SERVICES")</f>
        <v xml:space="preserve">          6285 - JANITORIAL SERVICES</v>
      </c>
      <c r="C83" s="11"/>
      <c r="D83" s="7">
        <v>3155.58</v>
      </c>
      <c r="E83" s="2"/>
      <c r="F83" s="6">
        <f t="shared" si="64"/>
        <v>0.66870526007959419</v>
      </c>
      <c r="G83" s="2"/>
      <c r="H83" s="7">
        <v>13244.46</v>
      </c>
      <c r="I83" s="2"/>
      <c r="J83" s="6">
        <f t="shared" si="65"/>
        <v>3.8115736699741928E-2</v>
      </c>
      <c r="K83" s="2"/>
      <c r="L83" s="7">
        <f t="shared" si="66"/>
        <v>-10088.879999999999</v>
      </c>
      <c r="M83" s="2"/>
      <c r="N83" s="6">
        <f t="shared" si="67"/>
        <v>-0.76174340063694557</v>
      </c>
      <c r="O83" s="11"/>
      <c r="P83" s="7">
        <v>3155.58</v>
      </c>
      <c r="Q83" s="2"/>
      <c r="R83" s="6">
        <f t="shared" si="68"/>
        <v>0.55420848810558765</v>
      </c>
      <c r="S83" s="2"/>
      <c r="T83" s="7">
        <v>26138.92</v>
      </c>
      <c r="U83" s="2"/>
      <c r="V83" s="6">
        <f t="shared" si="69"/>
        <v>4.9604558099537829E-2</v>
      </c>
      <c r="W83" s="2"/>
      <c r="X83" s="7">
        <f t="shared" si="70"/>
        <v>-22983.339999999997</v>
      </c>
      <c r="Y83" s="2"/>
      <c r="Z83" s="6">
        <f t="shared" si="71"/>
        <v>-0.87927657301831896</v>
      </c>
    </row>
    <row r="84" spans="1:26" s="24" customFormat="1" hidden="1" outlineLevel="2" x14ac:dyDescent="0.25">
      <c r="A84" s="29"/>
      <c r="B84" s="11" t="str">
        <f>CONCATENATE("          ", "6286", " - ", "LAUNDRY EXPENSE")</f>
        <v xml:space="preserve">          6286 - LAUNDRY EXPENSE</v>
      </c>
      <c r="C84" s="11"/>
      <c r="D84" s="7">
        <v>147.71</v>
      </c>
      <c r="E84" s="2"/>
      <c r="F84" s="6">
        <f t="shared" si="64"/>
        <v>3.1301521104315805E-2</v>
      </c>
      <c r="G84" s="2"/>
      <c r="H84" s="7">
        <v>2674.67</v>
      </c>
      <c r="I84" s="2"/>
      <c r="J84" s="6">
        <f t="shared" si="65"/>
        <v>7.6973328832356134E-3</v>
      </c>
      <c r="K84" s="2"/>
      <c r="L84" s="7">
        <f t="shared" si="66"/>
        <v>-2526.96</v>
      </c>
      <c r="M84" s="2"/>
      <c r="N84" s="6">
        <f t="shared" si="67"/>
        <v>-0.94477449554524484</v>
      </c>
      <c r="O84" s="11"/>
      <c r="P84" s="7">
        <v>468.29</v>
      </c>
      <c r="Q84" s="2"/>
      <c r="R84" s="6">
        <f t="shared" si="68"/>
        <v>8.2244878245826644E-2</v>
      </c>
      <c r="S84" s="2"/>
      <c r="T84" s="7">
        <v>5779.16</v>
      </c>
      <c r="U84" s="2"/>
      <c r="V84" s="6">
        <f t="shared" si="69"/>
        <v>1.0967273245662983E-2</v>
      </c>
      <c r="W84" s="2"/>
      <c r="X84" s="7">
        <f t="shared" si="70"/>
        <v>-5310.87</v>
      </c>
      <c r="Y84" s="2"/>
      <c r="Z84" s="6">
        <f t="shared" si="71"/>
        <v>-0.91896919275465638</v>
      </c>
    </row>
    <row r="85" spans="1:26" s="28" customFormat="1" outlineLevel="1" collapsed="1" x14ac:dyDescent="0.25">
      <c r="A85" s="27"/>
      <c r="B85" s="14" t="str">
        <f>CONCATENATE("     ","Subscriptions &amp; Dues                              ")</f>
        <v xml:space="preserve">     Subscriptions &amp; Dues                              </v>
      </c>
      <c r="C85" s="14"/>
      <c r="D85" s="1">
        <f>SUM(OSRRefD22_16x_0)</f>
        <v>0</v>
      </c>
      <c r="E85" s="1"/>
      <c r="F85" s="5">
        <f t="shared" ref="F85:F96" si="72">IF(D$12=0,0,D85/D$12)</f>
        <v>0</v>
      </c>
      <c r="G85" s="1"/>
      <c r="H85" s="1">
        <f>SUM(OSRRefH22_16x_0)</f>
        <v>454.78</v>
      </c>
      <c r="I85" s="1"/>
      <c r="J85" s="5">
        <f t="shared" ref="J85:J96" si="73">IF(H$12=0,0,H85/H$12)</f>
        <v>1.3087943741238702E-3</v>
      </c>
      <c r="K85" s="1"/>
      <c r="L85" s="1">
        <f t="shared" ref="L85:L96" si="74">+D85-H85</f>
        <v>-454.78</v>
      </c>
      <c r="M85" s="1"/>
      <c r="N85" s="5">
        <f t="shared" ref="N85:N96" si="75">IF(H85=0,0,L85/H85)</f>
        <v>-1</v>
      </c>
      <c r="O85" s="14"/>
      <c r="P85" s="1">
        <f>SUM(OSRRefP22_16x_0)</f>
        <v>9.32</v>
      </c>
      <c r="Q85" s="1"/>
      <c r="R85" s="5">
        <f t="shared" ref="R85:R96" si="76">IF(P$12=0,0,P85/P$12)</f>
        <v>1.6368537983965157E-3</v>
      </c>
      <c r="S85" s="1"/>
      <c r="T85" s="1">
        <f>SUM(OSRRefT22_16x_0)</f>
        <v>848.2</v>
      </c>
      <c r="U85" s="1"/>
      <c r="V85" s="5">
        <f t="shared" ref="V85:V96" si="77">IF(T$12=0,0,T85/T$12)</f>
        <v>1.6096528158021828E-3</v>
      </c>
      <c r="W85" s="1"/>
      <c r="X85" s="1">
        <f t="shared" ref="X85:X96" si="78">+P85-T85</f>
        <v>-838.88</v>
      </c>
      <c r="Y85" s="1"/>
      <c r="Z85" s="5">
        <f t="shared" ref="Z85:Z96" si="79">IF(T85=0,0,X85/T85)</f>
        <v>-0.989012025465692</v>
      </c>
    </row>
    <row r="86" spans="1:26" s="24" customFormat="1" hidden="1" outlineLevel="2" x14ac:dyDescent="0.25">
      <c r="A86" s="29"/>
      <c r="B86" s="11" t="str">
        <f>CONCATENATE("          ", "6275", " - ", "SUBSCRIPTIONS")</f>
        <v xml:space="preserve">          6275 - SUBSCRIPTIONS</v>
      </c>
      <c r="C86" s="11"/>
      <c r="D86" s="7"/>
      <c r="E86" s="2"/>
      <c r="F86" s="6">
        <f t="shared" si="72"/>
        <v>0</v>
      </c>
      <c r="G86" s="2"/>
      <c r="H86" s="7">
        <v>454.78</v>
      </c>
      <c r="I86" s="2"/>
      <c r="J86" s="6">
        <f t="shared" si="73"/>
        <v>1.3087943741238702E-3</v>
      </c>
      <c r="K86" s="2"/>
      <c r="L86" s="7">
        <f t="shared" si="74"/>
        <v>-454.78</v>
      </c>
      <c r="M86" s="2"/>
      <c r="N86" s="6">
        <f t="shared" si="75"/>
        <v>-1</v>
      </c>
      <c r="O86" s="11"/>
      <c r="P86" s="7">
        <v>9.32</v>
      </c>
      <c r="Q86" s="2"/>
      <c r="R86" s="6">
        <f t="shared" si="76"/>
        <v>1.6368537983965157E-3</v>
      </c>
      <c r="S86" s="2"/>
      <c r="T86" s="7">
        <v>848.2</v>
      </c>
      <c r="U86" s="2"/>
      <c r="V86" s="6">
        <f t="shared" si="77"/>
        <v>1.6096528158021828E-3</v>
      </c>
      <c r="W86" s="2"/>
      <c r="X86" s="7">
        <f t="shared" si="78"/>
        <v>-838.88</v>
      </c>
      <c r="Y86" s="2"/>
      <c r="Z86" s="6">
        <f t="shared" si="79"/>
        <v>-0.989012025465692</v>
      </c>
    </row>
    <row r="87" spans="1:26" s="28" customFormat="1" outlineLevel="1" collapsed="1" x14ac:dyDescent="0.25">
      <c r="A87" s="27"/>
      <c r="B87" s="14" t="str">
        <f>CONCATENATE("     ","Supplies                                          ")</f>
        <v xml:space="preserve">     Supplies                                          </v>
      </c>
      <c r="C87" s="14"/>
      <c r="D87" s="1">
        <f>SUM(OSRRefD22_17x_0)</f>
        <v>-28658.839999999997</v>
      </c>
      <c r="E87" s="1"/>
      <c r="F87" s="5">
        <f t="shared" si="72"/>
        <v>-6.073152021428541</v>
      </c>
      <c r="G87" s="1"/>
      <c r="H87" s="1">
        <f>SUM(OSRRefH22_17x_0)</f>
        <v>18396.62</v>
      </c>
      <c r="I87" s="1"/>
      <c r="J87" s="5">
        <f t="shared" si="73"/>
        <v>5.2942945509685285E-2</v>
      </c>
      <c r="K87" s="1"/>
      <c r="L87" s="1">
        <f t="shared" si="74"/>
        <v>-47055.459999999992</v>
      </c>
      <c r="M87" s="1"/>
      <c r="N87" s="5">
        <f t="shared" si="75"/>
        <v>-2.5578318191059006</v>
      </c>
      <c r="O87" s="14"/>
      <c r="P87" s="1">
        <f>SUM(OSRRefP22_17x_0)</f>
        <v>-28172.699999999997</v>
      </c>
      <c r="Q87" s="1"/>
      <c r="R87" s="5">
        <f t="shared" si="76"/>
        <v>-4.9479174899233387</v>
      </c>
      <c r="S87" s="1"/>
      <c r="T87" s="1">
        <f>SUM(OSRRefT22_17x_0)</f>
        <v>35201.42</v>
      </c>
      <c r="U87" s="1"/>
      <c r="V87" s="5">
        <f t="shared" si="77"/>
        <v>6.6802717311053139E-2</v>
      </c>
      <c r="W87" s="1"/>
      <c r="X87" s="1">
        <f t="shared" si="78"/>
        <v>-63374.119999999995</v>
      </c>
      <c r="Y87" s="1"/>
      <c r="Z87" s="5">
        <f t="shared" si="79"/>
        <v>-1.8003285094749018</v>
      </c>
    </row>
    <row r="88" spans="1:26" s="24" customFormat="1" hidden="1" outlineLevel="2" x14ac:dyDescent="0.25">
      <c r="A88" s="29"/>
      <c r="B88" s="11" t="str">
        <f>CONCATENATE("          ", "6234", " - ", "EXPENDABLE SUPPLIES &amp; EQUIPMEN")</f>
        <v xml:space="preserve">          6234 - EXPENDABLE SUPPLIES &amp; EQUIPMEN</v>
      </c>
      <c r="C88" s="11"/>
      <c r="D88" s="7">
        <v>255.78</v>
      </c>
      <c r="E88" s="2"/>
      <c r="F88" s="6">
        <f t="shared" si="72"/>
        <v>5.4202850640186151E-2</v>
      </c>
      <c r="G88" s="2"/>
      <c r="H88" s="7"/>
      <c r="I88" s="2"/>
      <c r="J88" s="6">
        <f t="shared" si="73"/>
        <v>0</v>
      </c>
      <c r="K88" s="2"/>
      <c r="L88" s="7">
        <f t="shared" si="74"/>
        <v>255.78</v>
      </c>
      <c r="M88" s="2"/>
      <c r="N88" s="6">
        <f t="shared" si="75"/>
        <v>0</v>
      </c>
      <c r="O88" s="11"/>
      <c r="P88" s="7">
        <v>255.78</v>
      </c>
      <c r="Q88" s="2"/>
      <c r="R88" s="6">
        <f t="shared" si="76"/>
        <v>4.4922152849126692E-2</v>
      </c>
      <c r="S88" s="2"/>
      <c r="T88" s="7"/>
      <c r="U88" s="2"/>
      <c r="V88" s="6">
        <f t="shared" si="77"/>
        <v>0</v>
      </c>
      <c r="W88" s="2"/>
      <c r="X88" s="7">
        <f t="shared" si="78"/>
        <v>255.78</v>
      </c>
      <c r="Y88" s="2"/>
      <c r="Z88" s="6">
        <f t="shared" si="79"/>
        <v>0</v>
      </c>
    </row>
    <row r="89" spans="1:26" s="24" customFormat="1" hidden="1" outlineLevel="2" x14ac:dyDescent="0.25">
      <c r="A89" s="29"/>
      <c r="B89" s="11" t="str">
        <f>CONCATENATE("          ", "6235", " - ", "COVID-19 EXPENSES")</f>
        <v xml:space="preserve">          6235 - COVID-19 EXPENSES</v>
      </c>
      <c r="C89" s="11"/>
      <c r="D89" s="7">
        <v>286.14999999999998</v>
      </c>
      <c r="E89" s="2"/>
      <c r="F89" s="6">
        <f t="shared" si="72"/>
        <v>6.0638617994719153E-2</v>
      </c>
      <c r="G89" s="2"/>
      <c r="H89" s="7"/>
      <c r="I89" s="2"/>
      <c r="J89" s="6">
        <f t="shared" si="73"/>
        <v>0</v>
      </c>
      <c r="K89" s="2"/>
      <c r="L89" s="7">
        <f t="shared" si="74"/>
        <v>286.14999999999998</v>
      </c>
      <c r="M89" s="2"/>
      <c r="N89" s="6">
        <f t="shared" si="75"/>
        <v>0</v>
      </c>
      <c r="O89" s="11"/>
      <c r="P89" s="7">
        <v>821.97</v>
      </c>
      <c r="Q89" s="2"/>
      <c r="R89" s="6">
        <f t="shared" si="76"/>
        <v>0.14436102110171503</v>
      </c>
      <c r="S89" s="2"/>
      <c r="T89" s="7"/>
      <c r="U89" s="2"/>
      <c r="V89" s="6">
        <f t="shared" si="77"/>
        <v>0</v>
      </c>
      <c r="W89" s="2"/>
      <c r="X89" s="7">
        <f t="shared" si="78"/>
        <v>821.97</v>
      </c>
      <c r="Y89" s="2"/>
      <c r="Z89" s="6">
        <f t="shared" si="79"/>
        <v>0</v>
      </c>
    </row>
    <row r="90" spans="1:26" s="24" customFormat="1" hidden="1" outlineLevel="2" x14ac:dyDescent="0.25">
      <c r="A90" s="29"/>
      <c r="B90" s="11" t="str">
        <f>CONCATENATE("          ", "6237", " - ", "JANITORIAL SUPPLIES")</f>
        <v xml:space="preserve">          6237 - JANITORIAL SUPPLIES</v>
      </c>
      <c r="C90" s="11"/>
      <c r="D90" s="7"/>
      <c r="E90" s="2"/>
      <c r="F90" s="6">
        <f t="shared" si="72"/>
        <v>0</v>
      </c>
      <c r="G90" s="2"/>
      <c r="H90" s="7">
        <v>3466.18</v>
      </c>
      <c r="I90" s="2"/>
      <c r="J90" s="6">
        <f t="shared" si="73"/>
        <v>9.9751899461292867E-3</v>
      </c>
      <c r="K90" s="2"/>
      <c r="L90" s="7">
        <f t="shared" si="74"/>
        <v>-3466.18</v>
      </c>
      <c r="M90" s="2"/>
      <c r="N90" s="6">
        <f t="shared" si="75"/>
        <v>-1</v>
      </c>
      <c r="O90" s="11"/>
      <c r="P90" s="7"/>
      <c r="Q90" s="2"/>
      <c r="R90" s="6">
        <f t="shared" si="76"/>
        <v>0</v>
      </c>
      <c r="S90" s="2"/>
      <c r="T90" s="7">
        <v>7340.5</v>
      </c>
      <c r="U90" s="2"/>
      <c r="V90" s="6">
        <f t="shared" si="77"/>
        <v>1.3930271745338273E-2</v>
      </c>
      <c r="W90" s="2"/>
      <c r="X90" s="7">
        <f t="shared" si="78"/>
        <v>-7340.5</v>
      </c>
      <c r="Y90" s="2"/>
      <c r="Z90" s="6">
        <f t="shared" si="79"/>
        <v>-1</v>
      </c>
    </row>
    <row r="91" spans="1:26" s="24" customFormat="1" hidden="1" outlineLevel="2" x14ac:dyDescent="0.25">
      <c r="A91" s="29"/>
      <c r="B91" s="11" t="str">
        <f>CONCATENATE("          ", "6239", " - ", "KITCHEN SUPPLIES")</f>
        <v xml:space="preserve">          6239 - KITCHEN SUPPLIES</v>
      </c>
      <c r="C91" s="11"/>
      <c r="D91" s="7"/>
      <c r="E91" s="2"/>
      <c r="F91" s="6">
        <f t="shared" si="72"/>
        <v>0</v>
      </c>
      <c r="G91" s="2"/>
      <c r="H91" s="7">
        <v>4005.05</v>
      </c>
      <c r="I91" s="2"/>
      <c r="J91" s="6">
        <f t="shared" si="73"/>
        <v>1.1525983790150858E-2</v>
      </c>
      <c r="K91" s="2"/>
      <c r="L91" s="7">
        <f t="shared" si="74"/>
        <v>-4005.05</v>
      </c>
      <c r="M91" s="2"/>
      <c r="N91" s="6">
        <f t="shared" si="75"/>
        <v>-1</v>
      </c>
      <c r="O91" s="11"/>
      <c r="P91" s="7"/>
      <c r="Q91" s="2"/>
      <c r="R91" s="6">
        <f t="shared" si="76"/>
        <v>0</v>
      </c>
      <c r="S91" s="2"/>
      <c r="T91" s="7">
        <v>10424.58</v>
      </c>
      <c r="U91" s="2"/>
      <c r="V91" s="6">
        <f t="shared" si="77"/>
        <v>1.978301644724725E-2</v>
      </c>
      <c r="W91" s="2"/>
      <c r="X91" s="7">
        <f t="shared" si="78"/>
        <v>-10424.58</v>
      </c>
      <c r="Y91" s="2"/>
      <c r="Z91" s="6">
        <f t="shared" si="79"/>
        <v>-1</v>
      </c>
    </row>
    <row r="92" spans="1:26" s="24" customFormat="1" hidden="1" outlineLevel="2" x14ac:dyDescent="0.25">
      <c r="A92" s="29"/>
      <c r="B92" s="11" t="str">
        <f>CONCATENATE("          ", "6241", " - ", "OFFICE EXPENSE")</f>
        <v xml:space="preserve">          6241 - OFFICE EXPENSE</v>
      </c>
      <c r="C92" s="11"/>
      <c r="D92" s="7">
        <v>-29200.769999999997</v>
      </c>
      <c r="E92" s="2"/>
      <c r="F92" s="6">
        <f t="shared" si="72"/>
        <v>-6.1879934900634463</v>
      </c>
      <c r="G92" s="2"/>
      <c r="H92" s="7">
        <v>4183.38</v>
      </c>
      <c r="I92" s="2"/>
      <c r="J92" s="6">
        <f t="shared" si="73"/>
        <v>1.2039193035802623E-2</v>
      </c>
      <c r="K92" s="2"/>
      <c r="L92" s="7">
        <f t="shared" si="74"/>
        <v>-33384.149999999994</v>
      </c>
      <c r="M92" s="2"/>
      <c r="N92" s="6">
        <f t="shared" si="75"/>
        <v>-7.9801858784045425</v>
      </c>
      <c r="O92" s="11"/>
      <c r="P92" s="7">
        <v>-29250.449999999997</v>
      </c>
      <c r="Q92" s="2"/>
      <c r="R92" s="6">
        <f t="shared" si="76"/>
        <v>-5.1372006638741796</v>
      </c>
      <c r="S92" s="2"/>
      <c r="T92" s="7">
        <v>6928.28</v>
      </c>
      <c r="U92" s="2"/>
      <c r="V92" s="6">
        <f t="shared" si="77"/>
        <v>1.314799034504356E-2</v>
      </c>
      <c r="W92" s="2"/>
      <c r="X92" s="7">
        <f t="shared" si="78"/>
        <v>-36178.729999999996</v>
      </c>
      <c r="Y92" s="2"/>
      <c r="Z92" s="6">
        <f t="shared" si="79"/>
        <v>-5.2218920136022211</v>
      </c>
    </row>
    <row r="93" spans="1:26" s="24" customFormat="1" hidden="1" outlineLevel="2" x14ac:dyDescent="0.25">
      <c r="A93" s="29"/>
      <c r="B93" s="11" t="str">
        <f>CONCATENATE("          ", "6243", " - ", "PAPER SUPPLIES")</f>
        <v xml:space="preserve">          6243 - PAPER SUPPLIES</v>
      </c>
      <c r="C93" s="11"/>
      <c r="D93" s="7"/>
      <c r="E93" s="2"/>
      <c r="F93" s="6">
        <f t="shared" si="72"/>
        <v>0</v>
      </c>
      <c r="G93" s="2"/>
      <c r="H93" s="7">
        <v>3713.48</v>
      </c>
      <c r="I93" s="2"/>
      <c r="J93" s="6">
        <f t="shared" si="73"/>
        <v>1.068688537847203E-2</v>
      </c>
      <c r="K93" s="2"/>
      <c r="L93" s="7">
        <f t="shared" si="74"/>
        <v>-3713.48</v>
      </c>
      <c r="M93" s="2"/>
      <c r="N93" s="6">
        <f t="shared" si="75"/>
        <v>-1</v>
      </c>
      <c r="O93" s="11"/>
      <c r="P93" s="7"/>
      <c r="Q93" s="2"/>
      <c r="R93" s="6">
        <f t="shared" si="76"/>
        <v>0</v>
      </c>
      <c r="S93" s="2"/>
      <c r="T93" s="7">
        <v>6551.79</v>
      </c>
      <c r="U93" s="2"/>
      <c r="V93" s="6">
        <f t="shared" si="77"/>
        <v>1.2433514763080151E-2</v>
      </c>
      <c r="W93" s="2"/>
      <c r="X93" s="7">
        <f t="shared" si="78"/>
        <v>-6551.79</v>
      </c>
      <c r="Y93" s="2"/>
      <c r="Z93" s="6">
        <f t="shared" si="79"/>
        <v>-1</v>
      </c>
    </row>
    <row r="94" spans="1:26" s="24" customFormat="1" hidden="1" outlineLevel="2" x14ac:dyDescent="0.25">
      <c r="A94" s="29"/>
      <c r="B94" s="11" t="str">
        <f>CONCATENATE("          ", "6245", " - ", "PRINTING")</f>
        <v xml:space="preserve">          6245 - PRINTING</v>
      </c>
      <c r="C94" s="11"/>
      <c r="D94" s="7"/>
      <c r="E94" s="2"/>
      <c r="F94" s="6">
        <f t="shared" si="72"/>
        <v>0</v>
      </c>
      <c r="G94" s="2"/>
      <c r="H94" s="7">
        <v>33.159999999999997</v>
      </c>
      <c r="I94" s="2"/>
      <c r="J94" s="6">
        <f t="shared" si="73"/>
        <v>9.5429925339609337E-5</v>
      </c>
      <c r="K94" s="2"/>
      <c r="L94" s="7">
        <f t="shared" si="74"/>
        <v>-33.159999999999997</v>
      </c>
      <c r="M94" s="2"/>
      <c r="N94" s="6">
        <f t="shared" si="75"/>
        <v>-1</v>
      </c>
      <c r="O94" s="11"/>
      <c r="P94" s="7"/>
      <c r="Q94" s="2"/>
      <c r="R94" s="6">
        <f t="shared" si="76"/>
        <v>0</v>
      </c>
      <c r="S94" s="2"/>
      <c r="T94" s="7">
        <v>170.92</v>
      </c>
      <c r="U94" s="2"/>
      <c r="V94" s="6">
        <f t="shared" si="77"/>
        <v>3.2435965488906987E-4</v>
      </c>
      <c r="W94" s="2"/>
      <c r="X94" s="7">
        <f t="shared" si="78"/>
        <v>-170.92</v>
      </c>
      <c r="Y94" s="2"/>
      <c r="Z94" s="6">
        <f t="shared" si="79"/>
        <v>-1</v>
      </c>
    </row>
    <row r="95" spans="1:26" s="24" customFormat="1" hidden="1" outlineLevel="2" x14ac:dyDescent="0.25">
      <c r="A95" s="29"/>
      <c r="B95" s="11" t="str">
        <f>CONCATENATE("          ", "6247", " - ", "STORE SUPPLIES")</f>
        <v xml:space="preserve">          6247 - STORE SUPPLIES</v>
      </c>
      <c r="C95" s="11"/>
      <c r="D95" s="7"/>
      <c r="E95" s="2"/>
      <c r="F95" s="6">
        <f t="shared" si="72"/>
        <v>0</v>
      </c>
      <c r="G95" s="2"/>
      <c r="H95" s="7">
        <v>900.33</v>
      </c>
      <c r="I95" s="2"/>
      <c r="J95" s="6">
        <f t="shared" si="73"/>
        <v>2.5910260760256482E-3</v>
      </c>
      <c r="K95" s="2"/>
      <c r="L95" s="7">
        <f t="shared" si="74"/>
        <v>-900.33</v>
      </c>
      <c r="M95" s="2"/>
      <c r="N95" s="6">
        <f t="shared" si="75"/>
        <v>-1</v>
      </c>
      <c r="O95" s="11"/>
      <c r="P95" s="7"/>
      <c r="Q95" s="2"/>
      <c r="R95" s="6">
        <f t="shared" si="76"/>
        <v>0</v>
      </c>
      <c r="S95" s="2"/>
      <c r="T95" s="7">
        <v>1110.8699999999999</v>
      </c>
      <c r="U95" s="2"/>
      <c r="V95" s="6">
        <f t="shared" si="77"/>
        <v>2.1081290067085246E-3</v>
      </c>
      <c r="W95" s="2"/>
      <c r="X95" s="7">
        <f t="shared" si="78"/>
        <v>-1110.8699999999999</v>
      </c>
      <c r="Y95" s="2"/>
      <c r="Z95" s="6">
        <f t="shared" si="79"/>
        <v>-1</v>
      </c>
    </row>
    <row r="96" spans="1:26" s="24" customFormat="1" hidden="1" outlineLevel="2" x14ac:dyDescent="0.25">
      <c r="A96" s="29"/>
      <c r="B96" s="11" t="str">
        <f>CONCATENATE("          ", "6248", " - ", "UNIFORMS")</f>
        <v xml:space="preserve">          6248 - UNIFORMS</v>
      </c>
      <c r="C96" s="11"/>
      <c r="D96" s="7"/>
      <c r="E96" s="2"/>
      <c r="F96" s="6">
        <f t="shared" si="72"/>
        <v>0</v>
      </c>
      <c r="G96" s="2"/>
      <c r="H96" s="7">
        <v>2095.04</v>
      </c>
      <c r="I96" s="2"/>
      <c r="J96" s="6">
        <f t="shared" si="73"/>
        <v>6.0292373577652348E-3</v>
      </c>
      <c r="K96" s="2"/>
      <c r="L96" s="7">
        <f t="shared" si="74"/>
        <v>-2095.04</v>
      </c>
      <c r="M96" s="2"/>
      <c r="N96" s="6">
        <f t="shared" si="75"/>
        <v>-1</v>
      </c>
      <c r="O96" s="11"/>
      <c r="P96" s="7"/>
      <c r="Q96" s="2"/>
      <c r="R96" s="6">
        <f t="shared" si="76"/>
        <v>0</v>
      </c>
      <c r="S96" s="2"/>
      <c r="T96" s="7">
        <v>2674.48</v>
      </c>
      <c r="U96" s="2"/>
      <c r="V96" s="6">
        <f t="shared" si="77"/>
        <v>5.0754353487463119E-3</v>
      </c>
      <c r="W96" s="2"/>
      <c r="X96" s="7">
        <f t="shared" si="78"/>
        <v>-2674.48</v>
      </c>
      <c r="Y96" s="2"/>
      <c r="Z96" s="6">
        <f t="shared" si="79"/>
        <v>-1</v>
      </c>
    </row>
    <row r="97" spans="1:26" s="28" customFormat="1" outlineLevel="1" collapsed="1" x14ac:dyDescent="0.25">
      <c r="A97" s="27"/>
      <c r="B97" s="14" t="str">
        <f>CONCATENATE("     ","Telephone/Data Lines                              ")</f>
        <v xml:space="preserve">     Telephone/Data Lines                              </v>
      </c>
      <c r="C97" s="14"/>
      <c r="D97" s="1">
        <f>SUM(OSRRefD22_18x_0)</f>
        <v>1228.96</v>
      </c>
      <c r="E97" s="1"/>
      <c r="F97" s="5">
        <f t="shared" ref="F97:F104" si="80">IF(D$12=0,0,D97/D$12)</f>
        <v>0.26043136806147144</v>
      </c>
      <c r="G97" s="1"/>
      <c r="H97" s="1">
        <f>SUM(OSRRefH22_18x_0)</f>
        <v>1349.34</v>
      </c>
      <c r="I97" s="1"/>
      <c r="J97" s="5">
        <f t="shared" ref="J97:J104" si="81">IF(H$12=0,0,H97/H$12)</f>
        <v>3.8832151826824028E-3</v>
      </c>
      <c r="K97" s="1"/>
      <c r="L97" s="1">
        <f t="shared" ref="L97:L104" si="82">+D97-H97</f>
        <v>-120.37999999999988</v>
      </c>
      <c r="M97" s="1"/>
      <c r="N97" s="5">
        <f t="shared" ref="N97:N104" si="83">IF(H97=0,0,L97/H97)</f>
        <v>-8.9213986096906547E-2</v>
      </c>
      <c r="O97" s="14"/>
      <c r="P97" s="1">
        <f>SUM(OSRRefP22_18x_0)</f>
        <v>2432.7800000000002</v>
      </c>
      <c r="Q97" s="1"/>
      <c r="R97" s="5">
        <f t="shared" ref="R97:R104" si="84">IF(P$12=0,0,P97/P$12)</f>
        <v>0.42726450468487936</v>
      </c>
      <c r="S97" s="1"/>
      <c r="T97" s="1">
        <f>SUM(OSRRefT22_18x_0)</f>
        <v>2297.6799999999998</v>
      </c>
      <c r="U97" s="1"/>
      <c r="V97" s="5">
        <f t="shared" ref="V97:V104" si="85">IF(T$12=0,0,T97/T$12)</f>
        <v>4.3603714711298739E-3</v>
      </c>
      <c r="W97" s="1"/>
      <c r="X97" s="1">
        <f t="shared" ref="X97:X104" si="86">+P97-T97</f>
        <v>135.10000000000036</v>
      </c>
      <c r="Y97" s="1"/>
      <c r="Z97" s="5">
        <f t="shared" ref="Z97:Z104" si="87">IF(T97=0,0,X97/T97)</f>
        <v>5.8798440165732553E-2</v>
      </c>
    </row>
    <row r="98" spans="1:26" s="24" customFormat="1" hidden="1" outlineLevel="2" x14ac:dyDescent="0.25">
      <c r="A98" s="29"/>
      <c r="B98" s="11" t="str">
        <f>CONCATENATE("          ", "6309", " - ", "TELEPHONE")</f>
        <v xml:space="preserve">          6309 - TELEPHONE</v>
      </c>
      <c r="C98" s="11"/>
      <c r="D98" s="7">
        <v>1228.96</v>
      </c>
      <c r="E98" s="2"/>
      <c r="F98" s="6">
        <f t="shared" si="80"/>
        <v>0.26043136806147144</v>
      </c>
      <c r="G98" s="2"/>
      <c r="H98" s="7">
        <v>1349.34</v>
      </c>
      <c r="I98" s="2"/>
      <c r="J98" s="6">
        <f t="shared" si="81"/>
        <v>3.8832151826824028E-3</v>
      </c>
      <c r="K98" s="2"/>
      <c r="L98" s="7">
        <f t="shared" si="82"/>
        <v>-120.37999999999988</v>
      </c>
      <c r="M98" s="2"/>
      <c r="N98" s="6">
        <f t="shared" si="83"/>
        <v>-8.9213986096906547E-2</v>
      </c>
      <c r="O98" s="11"/>
      <c r="P98" s="7">
        <v>2432.7800000000002</v>
      </c>
      <c r="Q98" s="2"/>
      <c r="R98" s="6">
        <f t="shared" si="84"/>
        <v>0.42726450468487936</v>
      </c>
      <c r="S98" s="2"/>
      <c r="T98" s="7">
        <v>2297.6799999999998</v>
      </c>
      <c r="U98" s="2"/>
      <c r="V98" s="6">
        <f t="shared" si="85"/>
        <v>4.3603714711298739E-3</v>
      </c>
      <c r="W98" s="2"/>
      <c r="X98" s="7">
        <f t="shared" si="86"/>
        <v>135.10000000000036</v>
      </c>
      <c r="Y98" s="2"/>
      <c r="Z98" s="6">
        <f t="shared" si="87"/>
        <v>5.8798440165732553E-2</v>
      </c>
    </row>
    <row r="99" spans="1:26" s="28" customFormat="1" outlineLevel="1" collapsed="1" x14ac:dyDescent="0.25">
      <c r="A99" s="27"/>
      <c r="B99" s="14" t="str">
        <f>CONCATENATE("     ","Training                                          ")</f>
        <v xml:space="preserve">     Training                                          </v>
      </c>
      <c r="C99" s="14"/>
      <c r="D99" s="1">
        <f>SUM(OSRRefD22_19x_0)</f>
        <v>0</v>
      </c>
      <c r="E99" s="1"/>
      <c r="F99" s="5">
        <f t="shared" si="80"/>
        <v>0</v>
      </c>
      <c r="G99" s="1"/>
      <c r="H99" s="1">
        <f>SUM(OSRRefH22_19x_0)</f>
        <v>175</v>
      </c>
      <c r="I99" s="1"/>
      <c r="J99" s="5">
        <f t="shared" si="81"/>
        <v>5.0362596304076102E-4</v>
      </c>
      <c r="K99" s="1"/>
      <c r="L99" s="1">
        <f t="shared" si="82"/>
        <v>-175</v>
      </c>
      <c r="M99" s="1"/>
      <c r="N99" s="5">
        <f t="shared" si="83"/>
        <v>-1</v>
      </c>
      <c r="O99" s="14"/>
      <c r="P99" s="1">
        <f>SUM(OSRRefP22_19x_0)</f>
        <v>0</v>
      </c>
      <c r="Q99" s="1"/>
      <c r="R99" s="5">
        <f t="shared" si="84"/>
        <v>0</v>
      </c>
      <c r="S99" s="1"/>
      <c r="T99" s="1">
        <f>SUM(OSRRefT22_19x_0)</f>
        <v>1043.8499999999999</v>
      </c>
      <c r="U99" s="1"/>
      <c r="V99" s="5">
        <f t="shared" si="85"/>
        <v>1.9809432819796139E-3</v>
      </c>
      <c r="W99" s="1"/>
      <c r="X99" s="1">
        <f t="shared" si="86"/>
        <v>-1043.8499999999999</v>
      </c>
      <c r="Y99" s="1"/>
      <c r="Z99" s="5">
        <f t="shared" si="87"/>
        <v>-1</v>
      </c>
    </row>
    <row r="100" spans="1:26" s="24" customFormat="1" hidden="1" outlineLevel="2" x14ac:dyDescent="0.25">
      <c r="A100" s="29"/>
      <c r="B100" s="11" t="str">
        <f>CONCATENATE("          ", "6376", " - ", "TRAINING")</f>
        <v xml:space="preserve">          6376 - TRAINING</v>
      </c>
      <c r="C100" s="11"/>
      <c r="D100" s="7"/>
      <c r="E100" s="2"/>
      <c r="F100" s="6">
        <f t="shared" si="80"/>
        <v>0</v>
      </c>
      <c r="G100" s="2"/>
      <c r="H100" s="7">
        <v>175</v>
      </c>
      <c r="I100" s="2"/>
      <c r="J100" s="6">
        <f t="shared" si="81"/>
        <v>5.0362596304076102E-4</v>
      </c>
      <c r="K100" s="2"/>
      <c r="L100" s="7">
        <f t="shared" si="82"/>
        <v>-175</v>
      </c>
      <c r="M100" s="2"/>
      <c r="N100" s="6">
        <f t="shared" si="83"/>
        <v>-1</v>
      </c>
      <c r="O100" s="11"/>
      <c r="P100" s="7"/>
      <c r="Q100" s="2"/>
      <c r="R100" s="6">
        <f t="shared" si="84"/>
        <v>0</v>
      </c>
      <c r="S100" s="2"/>
      <c r="T100" s="7">
        <v>1043.8499999999999</v>
      </c>
      <c r="U100" s="2"/>
      <c r="V100" s="6">
        <f t="shared" si="85"/>
        <v>1.9809432819796139E-3</v>
      </c>
      <c r="W100" s="2"/>
      <c r="X100" s="7">
        <f t="shared" si="86"/>
        <v>-1043.8499999999999</v>
      </c>
      <c r="Y100" s="2"/>
      <c r="Z100" s="6">
        <f t="shared" si="87"/>
        <v>-1</v>
      </c>
    </row>
    <row r="101" spans="1:26" s="28" customFormat="1" outlineLevel="1" collapsed="1" x14ac:dyDescent="0.25">
      <c r="A101" s="27"/>
      <c r="B101" s="14" t="str">
        <f>CONCATENATE("     ","Travel                                            ")</f>
        <v xml:space="preserve">     Travel                                            </v>
      </c>
      <c r="C101" s="14"/>
      <c r="D101" s="1">
        <f>SUM(OSRRefD22_20x_0)</f>
        <v>0</v>
      </c>
      <c r="E101" s="1"/>
      <c r="F101" s="5">
        <f t="shared" si="80"/>
        <v>0</v>
      </c>
      <c r="G101" s="1"/>
      <c r="H101" s="1">
        <f>SUM(OSRRefH22_20x_0)</f>
        <v>87.039999999999992</v>
      </c>
      <c r="I101" s="1"/>
      <c r="J101" s="5">
        <f t="shared" si="81"/>
        <v>2.5048916470324481E-4</v>
      </c>
      <c r="K101" s="1"/>
      <c r="L101" s="1">
        <f t="shared" si="82"/>
        <v>-87.039999999999992</v>
      </c>
      <c r="M101" s="1"/>
      <c r="N101" s="5">
        <f t="shared" si="83"/>
        <v>-1</v>
      </c>
      <c r="O101" s="14"/>
      <c r="P101" s="1">
        <f>SUM(OSRRefP22_20x_0)</f>
        <v>179.69</v>
      </c>
      <c r="Q101" s="1"/>
      <c r="R101" s="5">
        <f t="shared" si="84"/>
        <v>3.1558611484320806E-2</v>
      </c>
      <c r="S101" s="1"/>
      <c r="T101" s="1">
        <f>SUM(OSRRefT22_20x_0)</f>
        <v>851.36000000000013</v>
      </c>
      <c r="U101" s="1"/>
      <c r="V101" s="5">
        <f t="shared" si="85"/>
        <v>1.6156496360072467E-3</v>
      </c>
      <c r="W101" s="1"/>
      <c r="X101" s="1">
        <f t="shared" si="86"/>
        <v>-671.67000000000007</v>
      </c>
      <c r="Y101" s="1"/>
      <c r="Z101" s="5">
        <f t="shared" si="87"/>
        <v>-0.7889376996805112</v>
      </c>
    </row>
    <row r="102" spans="1:26" s="24" customFormat="1" hidden="1" outlineLevel="2" x14ac:dyDescent="0.25">
      <c r="A102" s="29"/>
      <c r="B102" s="11" t="str">
        <f>CONCATENATE("          ", "6292", " - ", "TRAVEL/CONFERENCE")</f>
        <v xml:space="preserve">          6292 - TRAVEL/CONFERENCE</v>
      </c>
      <c r="C102" s="11"/>
      <c r="D102" s="7"/>
      <c r="E102" s="2"/>
      <c r="F102" s="6">
        <f t="shared" si="80"/>
        <v>0</v>
      </c>
      <c r="G102" s="2"/>
      <c r="H102" s="7">
        <v>40.46</v>
      </c>
      <c r="I102" s="2"/>
      <c r="J102" s="6">
        <f t="shared" si="81"/>
        <v>1.1643832265502395E-4</v>
      </c>
      <c r="K102" s="2"/>
      <c r="L102" s="7">
        <f t="shared" si="82"/>
        <v>-40.46</v>
      </c>
      <c r="M102" s="2"/>
      <c r="N102" s="6">
        <f t="shared" si="83"/>
        <v>-1</v>
      </c>
      <c r="O102" s="11"/>
      <c r="P102" s="7"/>
      <c r="Q102" s="2"/>
      <c r="R102" s="6">
        <f t="shared" si="84"/>
        <v>0</v>
      </c>
      <c r="S102" s="2"/>
      <c r="T102" s="7">
        <v>545.69000000000005</v>
      </c>
      <c r="U102" s="2"/>
      <c r="V102" s="6">
        <f t="shared" si="85"/>
        <v>1.0355711448421282E-3</v>
      </c>
      <c r="W102" s="2"/>
      <c r="X102" s="7">
        <f t="shared" si="86"/>
        <v>-545.69000000000005</v>
      </c>
      <c r="Y102" s="2"/>
      <c r="Z102" s="6">
        <f t="shared" si="87"/>
        <v>-1</v>
      </c>
    </row>
    <row r="103" spans="1:26" s="24" customFormat="1" hidden="1" outlineLevel="2" x14ac:dyDescent="0.25">
      <c r="A103" s="29"/>
      <c r="B103" s="11" t="str">
        <f>CONCATENATE("          ", "6294", " - ", "TRAVEL OPERATIONAL")</f>
        <v xml:space="preserve">          6294 - TRAVEL OPERATIONAL</v>
      </c>
      <c r="C103" s="11"/>
      <c r="D103" s="7"/>
      <c r="E103" s="2"/>
      <c r="F103" s="6">
        <f t="shared" si="80"/>
        <v>0</v>
      </c>
      <c r="G103" s="2"/>
      <c r="H103" s="7"/>
      <c r="I103" s="2"/>
      <c r="J103" s="6">
        <f t="shared" si="81"/>
        <v>0</v>
      </c>
      <c r="K103" s="2"/>
      <c r="L103" s="7">
        <f t="shared" si="82"/>
        <v>0</v>
      </c>
      <c r="M103" s="2"/>
      <c r="N103" s="6">
        <f t="shared" si="83"/>
        <v>0</v>
      </c>
      <c r="O103" s="11"/>
      <c r="P103" s="7"/>
      <c r="Q103" s="2"/>
      <c r="R103" s="6">
        <f t="shared" si="84"/>
        <v>0</v>
      </c>
      <c r="S103" s="2"/>
      <c r="T103" s="7">
        <v>45.49</v>
      </c>
      <c r="U103" s="2"/>
      <c r="V103" s="6">
        <f t="shared" si="85"/>
        <v>8.6327642762133098E-5</v>
      </c>
      <c r="W103" s="2"/>
      <c r="X103" s="7">
        <f t="shared" si="86"/>
        <v>-45.49</v>
      </c>
      <c r="Y103" s="2"/>
      <c r="Z103" s="6">
        <f t="shared" si="87"/>
        <v>-1</v>
      </c>
    </row>
    <row r="104" spans="1:26" s="24" customFormat="1" hidden="1" outlineLevel="2" x14ac:dyDescent="0.25">
      <c r="A104" s="29"/>
      <c r="B104" s="11" t="str">
        <f>CONCATENATE("          ", "6298", " - ", "VEHICLE MILEAGE")</f>
        <v xml:space="preserve">          6298 - VEHICLE MILEAGE</v>
      </c>
      <c r="C104" s="11"/>
      <c r="D104" s="7"/>
      <c r="E104" s="2"/>
      <c r="F104" s="6">
        <f t="shared" si="80"/>
        <v>0</v>
      </c>
      <c r="G104" s="2"/>
      <c r="H104" s="7">
        <v>46.58</v>
      </c>
      <c r="I104" s="2"/>
      <c r="J104" s="6">
        <f t="shared" si="81"/>
        <v>1.3405084204822084E-4</v>
      </c>
      <c r="K104" s="2"/>
      <c r="L104" s="7">
        <f t="shared" si="82"/>
        <v>-46.58</v>
      </c>
      <c r="M104" s="2"/>
      <c r="N104" s="6">
        <f t="shared" si="83"/>
        <v>-1</v>
      </c>
      <c r="O104" s="11"/>
      <c r="P104" s="7">
        <v>179.69</v>
      </c>
      <c r="Q104" s="2"/>
      <c r="R104" s="6">
        <f t="shared" si="84"/>
        <v>3.1558611484320806E-2</v>
      </c>
      <c r="S104" s="2"/>
      <c r="T104" s="7">
        <v>260.18</v>
      </c>
      <c r="U104" s="2"/>
      <c r="V104" s="6">
        <f t="shared" si="85"/>
        <v>4.9375084840298507E-4</v>
      </c>
      <c r="W104" s="2"/>
      <c r="X104" s="7">
        <f t="shared" si="86"/>
        <v>-80.490000000000009</v>
      </c>
      <c r="Y104" s="2"/>
      <c r="Z104" s="6">
        <f t="shared" si="87"/>
        <v>-0.3093627488661696</v>
      </c>
    </row>
    <row r="105" spans="1:26" s="28" customFormat="1" outlineLevel="1" collapsed="1" x14ac:dyDescent="0.25">
      <c r="A105" s="27"/>
      <c r="B105" s="14" t="str">
        <f>CONCATENATE("     ","Utilities                                         ")</f>
        <v xml:space="preserve">     Utilities                                         </v>
      </c>
      <c r="C105" s="14"/>
      <c r="D105" s="1">
        <f>SUM(OSRRefD22_21x_0)</f>
        <v>2300</v>
      </c>
      <c r="E105" s="1"/>
      <c r="F105" s="5">
        <f t="shared" ref="F105:F106" si="88">IF(D$12=0,0,D105/D$12)</f>
        <v>0.48739759352736001</v>
      </c>
      <c r="G105" s="1"/>
      <c r="H105" s="1">
        <f>SUM(OSRRefH22_21x_0)</f>
        <v>0</v>
      </c>
      <c r="I105" s="1"/>
      <c r="J105" s="5">
        <f t="shared" ref="J105:J106" si="89">IF(H$12=0,0,H105/H$12)</f>
        <v>0</v>
      </c>
      <c r="K105" s="1"/>
      <c r="L105" s="1">
        <f t="shared" ref="L105:L106" si="90">+D105-H105</f>
        <v>2300</v>
      </c>
      <c r="M105" s="1"/>
      <c r="N105" s="5">
        <f t="shared" ref="N105:N106" si="91">IF(H105=0,0,L105/H105)</f>
        <v>0</v>
      </c>
      <c r="O105" s="14"/>
      <c r="P105" s="1">
        <f>SUM(OSRRefP22_21x_0)</f>
        <v>4600</v>
      </c>
      <c r="Q105" s="1"/>
      <c r="R105" s="5">
        <f t="shared" ref="R105:R106" si="92">IF(P$12=0,0,P105/P$12)</f>
        <v>0.80788921380085543</v>
      </c>
      <c r="S105" s="1"/>
      <c r="T105" s="1">
        <f>SUM(OSRRefT22_21x_0)</f>
        <v>13691</v>
      </c>
      <c r="U105" s="1"/>
      <c r="V105" s="5">
        <f t="shared" ref="V105:V106" si="93">IF(T$12=0,0,T105/T$12)</f>
        <v>2.5981792856811702E-2</v>
      </c>
      <c r="W105" s="1"/>
      <c r="X105" s="1">
        <f t="shared" ref="X105:X106" si="94">+P105-T105</f>
        <v>-9091</v>
      </c>
      <c r="Y105" s="1"/>
      <c r="Z105" s="5">
        <f t="shared" ref="Z105:Z106" si="95">IF(T105=0,0,X105/T105)</f>
        <v>-0.66401285516032427</v>
      </c>
    </row>
    <row r="106" spans="1:26" s="24" customFormat="1" hidden="1" outlineLevel="2" x14ac:dyDescent="0.25">
      <c r="A106" s="29"/>
      <c r="B106" s="11" t="str">
        <f>CONCATENATE("          ", "6274", " - ", "UTILITIES")</f>
        <v xml:space="preserve">          6274 - UTILITIES</v>
      </c>
      <c r="C106" s="11"/>
      <c r="D106" s="7">
        <v>2300</v>
      </c>
      <c r="E106" s="2"/>
      <c r="F106" s="6">
        <f t="shared" si="88"/>
        <v>0.48739759352736001</v>
      </c>
      <c r="G106" s="2"/>
      <c r="H106" s="7"/>
      <c r="I106" s="2"/>
      <c r="J106" s="6">
        <f t="shared" si="89"/>
        <v>0</v>
      </c>
      <c r="K106" s="2"/>
      <c r="L106" s="7">
        <f t="shared" si="90"/>
        <v>2300</v>
      </c>
      <c r="M106" s="2"/>
      <c r="N106" s="6">
        <f t="shared" si="91"/>
        <v>0</v>
      </c>
      <c r="O106" s="11"/>
      <c r="P106" s="7">
        <v>4600</v>
      </c>
      <c r="Q106" s="2"/>
      <c r="R106" s="6">
        <f t="shared" si="92"/>
        <v>0.80788921380085543</v>
      </c>
      <c r="S106" s="2"/>
      <c r="T106" s="7">
        <v>13691</v>
      </c>
      <c r="U106" s="2"/>
      <c r="V106" s="6">
        <f t="shared" si="93"/>
        <v>2.5981792856811702E-2</v>
      </c>
      <c r="W106" s="2"/>
      <c r="X106" s="7">
        <f t="shared" si="94"/>
        <v>-9091</v>
      </c>
      <c r="Y106" s="2"/>
      <c r="Z106" s="6">
        <f t="shared" si="95"/>
        <v>-0.66401285516032427</v>
      </c>
    </row>
    <row r="107" spans="1:26" s="52" customFormat="1" x14ac:dyDescent="0.25">
      <c r="A107" s="37"/>
      <c r="B107" s="37"/>
      <c r="C107" s="37"/>
      <c r="D107" s="1"/>
      <c r="E107" s="1"/>
      <c r="F107" s="5"/>
      <c r="G107" s="1"/>
      <c r="H107" s="1"/>
      <c r="I107" s="1"/>
      <c r="J107" s="5"/>
      <c r="K107" s="1"/>
      <c r="L107" s="1"/>
      <c r="M107" s="1"/>
      <c r="N107" s="5"/>
      <c r="O107" s="37"/>
      <c r="P107" s="1"/>
      <c r="Q107" s="1"/>
      <c r="R107" s="5"/>
      <c r="S107" s="1"/>
      <c r="T107" s="1"/>
      <c r="U107" s="1"/>
      <c r="V107" s="5"/>
      <c r="W107" s="1"/>
      <c r="X107" s="1"/>
      <c r="Y107" s="1"/>
      <c r="Z107" s="5"/>
    </row>
    <row r="108" spans="1:26" s="23" customFormat="1" collapsed="1" x14ac:dyDescent="0.25">
      <c r="A108" s="10"/>
      <c r="B108" s="25" t="s">
        <v>0</v>
      </c>
      <c r="C108" s="10"/>
      <c r="D108" s="4">
        <f>SUM(OSRRefD25x_0)</f>
        <v>737.84999999999991</v>
      </c>
      <c r="E108" s="4"/>
      <c r="F108" s="12">
        <f t="shared" ref="F108:F111" si="96">IF(D$12=0,0,D108/D$12)</f>
        <v>0.15635926712354892</v>
      </c>
      <c r="G108" s="4"/>
      <c r="H108" s="4">
        <f>SUM(OSRRefH25x_0)</f>
        <v>14461.25</v>
      </c>
      <c r="I108" s="4"/>
      <c r="J108" s="12">
        <f t="shared" ref="J108:J111" si="97">IF(H$12=0,0,H108/H$12)</f>
        <v>4.1617491188704031E-2</v>
      </c>
      <c r="K108" s="4"/>
      <c r="L108" s="4">
        <f t="shared" ref="L108:L111" si="98">+D108-H108</f>
        <v>-13723.4</v>
      </c>
      <c r="M108" s="4"/>
      <c r="N108" s="12">
        <f t="shared" ref="N108:N111" si="99">IF(H108=0,0,L108/H108)</f>
        <v>-0.9489774397095686</v>
      </c>
      <c r="O108" s="10"/>
      <c r="P108" s="4">
        <f>SUM(OSRRefP25x_0)</f>
        <v>2814.39</v>
      </c>
      <c r="Q108" s="4"/>
      <c r="R108" s="12">
        <f t="shared" ref="R108:R111" si="100">IF(P$12=0,0,P108/P$12)</f>
        <v>0.49428594009325855</v>
      </c>
      <c r="S108" s="4"/>
      <c r="T108" s="4">
        <f>SUM(OSRRefT25x_0)</f>
        <v>65394.66</v>
      </c>
      <c r="U108" s="4"/>
      <c r="V108" s="12">
        <f t="shared" ref="V108:V111" si="101">IF(T$12=0,0,T108/T$12)</f>
        <v>0.12410127164280403</v>
      </c>
      <c r="W108" s="4"/>
      <c r="X108" s="4">
        <f t="shared" ref="X108:X111" si="102">+P108-T108</f>
        <v>-62580.270000000004</v>
      </c>
      <c r="Y108" s="4"/>
      <c r="Z108" s="12">
        <f t="shared" ref="Z108:Z111" si="103">IF(T108=0,0,X108/T108)</f>
        <v>-0.95696299973117072</v>
      </c>
    </row>
    <row r="109" spans="1:26" s="24" customFormat="1" hidden="1" outlineLevel="1" x14ac:dyDescent="0.25">
      <c r="A109" s="44"/>
      <c r="B109" s="11" t="str">
        <f>CONCATENATE("          ", "9150", " - ", "MISC. INCOME")</f>
        <v xml:space="preserve">          9150 - MISC. INCOME</v>
      </c>
      <c r="C109" s="11"/>
      <c r="D109" s="2">
        <f>--111.42</f>
        <v>111.42</v>
      </c>
      <c r="E109" s="2"/>
      <c r="F109" s="19">
        <f t="shared" si="96"/>
        <v>2.3611234726442804E-2</v>
      </c>
      <c r="G109" s="2"/>
      <c r="H109" s="2">
        <f>--6527.69</f>
        <v>6527.69</v>
      </c>
      <c r="I109" s="2"/>
      <c r="J109" s="19">
        <f t="shared" si="97"/>
        <v>1.8785795215323114E-2</v>
      </c>
      <c r="K109" s="2"/>
      <c r="L109" s="2">
        <f t="shared" si="98"/>
        <v>-6416.2699999999995</v>
      </c>
      <c r="M109" s="2"/>
      <c r="N109" s="19">
        <f t="shared" si="99"/>
        <v>-0.9829311747340943</v>
      </c>
      <c r="O109" s="11"/>
      <c r="P109" s="2">
        <f>--623.83</f>
        <v>623.83000000000004</v>
      </c>
      <c r="Q109" s="2"/>
      <c r="R109" s="19">
        <f t="shared" si="100"/>
        <v>0.10956207135769297</v>
      </c>
      <c r="S109" s="2"/>
      <c r="T109" s="2">
        <f>--47787.95</f>
        <v>47787.95</v>
      </c>
      <c r="U109" s="2"/>
      <c r="V109" s="19">
        <f t="shared" si="101"/>
        <v>9.0688526619799481E-2</v>
      </c>
      <c r="W109" s="2"/>
      <c r="X109" s="2">
        <f t="shared" si="102"/>
        <v>-47164.119999999995</v>
      </c>
      <c r="Y109" s="2"/>
      <c r="Z109" s="19">
        <f t="shared" si="103"/>
        <v>-0.98694587233811026</v>
      </c>
    </row>
    <row r="110" spans="1:26" s="24" customFormat="1" hidden="1" outlineLevel="1" x14ac:dyDescent="0.25">
      <c r="A110" s="44"/>
      <c r="B110" s="11" t="str">
        <f>CONCATENATE("          ", "9160", " - ", "MISC. INCOME")</f>
        <v xml:space="preserve">          9160 - MISC. INCOME</v>
      </c>
      <c r="C110" s="11"/>
      <c r="D110" s="2">
        <f>--626.43</f>
        <v>626.42999999999995</v>
      </c>
      <c r="E110" s="2"/>
      <c r="F110" s="19">
        <f t="shared" si="96"/>
        <v>0.13274803239710614</v>
      </c>
      <c r="G110" s="2"/>
      <c r="H110" s="2">
        <f>--4981.17</f>
        <v>4981.17</v>
      </c>
      <c r="I110" s="2"/>
      <c r="J110" s="19">
        <f t="shared" si="97"/>
        <v>1.4335123076112843E-2</v>
      </c>
      <c r="K110" s="2"/>
      <c r="L110" s="2">
        <f t="shared" si="98"/>
        <v>-4354.74</v>
      </c>
      <c r="M110" s="2"/>
      <c r="N110" s="19">
        <f t="shared" si="99"/>
        <v>-0.8742403893061268</v>
      </c>
      <c r="O110" s="11"/>
      <c r="P110" s="2">
        <f>--1990.06</f>
        <v>1990.06</v>
      </c>
      <c r="Q110" s="2"/>
      <c r="R110" s="19">
        <f t="shared" si="100"/>
        <v>0.3495104366992457</v>
      </c>
      <c r="S110" s="2"/>
      <c r="T110" s="2">
        <f>--10973.27</f>
        <v>10973.27</v>
      </c>
      <c r="U110" s="2"/>
      <c r="V110" s="19">
        <f t="shared" si="101"/>
        <v>2.0824280775828364E-2</v>
      </c>
      <c r="W110" s="2"/>
      <c r="X110" s="2">
        <f t="shared" si="102"/>
        <v>-8983.2100000000009</v>
      </c>
      <c r="Y110" s="2"/>
      <c r="Z110" s="19">
        <f t="shared" si="103"/>
        <v>-0.81864476131545116</v>
      </c>
    </row>
    <row r="111" spans="1:26" s="24" customFormat="1" hidden="1" outlineLevel="1" x14ac:dyDescent="0.25">
      <c r="A111" s="44"/>
      <c r="B111" s="11" t="str">
        <f>CONCATENATE("          ", "9165", " - ", "OTHER INCOME")</f>
        <v xml:space="preserve">          9165 - OTHER INCOME</v>
      </c>
      <c r="C111" s="11"/>
      <c r="D111" s="2">
        <f>0</f>
        <v>0</v>
      </c>
      <c r="E111" s="2"/>
      <c r="F111" s="19">
        <f t="shared" si="96"/>
        <v>0</v>
      </c>
      <c r="G111" s="2"/>
      <c r="H111" s="2">
        <f>--2952.39</f>
        <v>2952.39</v>
      </c>
      <c r="I111" s="2"/>
      <c r="J111" s="19">
        <f t="shared" si="97"/>
        <v>8.4965728972680715E-3</v>
      </c>
      <c r="K111" s="2"/>
      <c r="L111" s="2">
        <f t="shared" si="98"/>
        <v>-2952.39</v>
      </c>
      <c r="M111" s="2"/>
      <c r="N111" s="19">
        <f t="shared" si="99"/>
        <v>-1</v>
      </c>
      <c r="O111" s="11"/>
      <c r="P111" s="2">
        <f>--200.5</f>
        <v>200.5</v>
      </c>
      <c r="Q111" s="2"/>
      <c r="R111" s="19">
        <f t="shared" si="100"/>
        <v>3.5213432036319894E-2</v>
      </c>
      <c r="S111" s="2"/>
      <c r="T111" s="2">
        <f>--6633.44</f>
        <v>6633.44</v>
      </c>
      <c r="U111" s="2"/>
      <c r="V111" s="19">
        <f t="shared" si="101"/>
        <v>1.2588464247176174E-2</v>
      </c>
      <c r="W111" s="2"/>
      <c r="X111" s="2">
        <f t="shared" si="102"/>
        <v>-6432.94</v>
      </c>
      <c r="Y111" s="2"/>
      <c r="Z111" s="19">
        <f t="shared" si="103"/>
        <v>-0.9697743553872501</v>
      </c>
    </row>
    <row r="112" spans="1:26" x14ac:dyDescent="0.25">
      <c r="A112" s="9"/>
      <c r="B112" s="10"/>
      <c r="C112" s="10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O112" s="10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25">
      <c r="A113" s="10"/>
      <c r="B113" s="26" t="s">
        <v>3</v>
      </c>
      <c r="C113" s="26"/>
      <c r="D113" s="22">
        <f>+D27-D29+D108</f>
        <v>-83625.710000000006</v>
      </c>
      <c r="E113" s="13"/>
      <c r="F113" s="21">
        <f>IF(D$12=0,0,D113/D$12)</f>
        <v>-17.721291222181254</v>
      </c>
      <c r="G113" s="13"/>
      <c r="H113" s="22">
        <f>+H27-H29+H108</f>
        <v>-137804.76000000004</v>
      </c>
      <c r="I113" s="13"/>
      <c r="J113" s="21">
        <f>IF(H$12=0,0,H113/H$12)</f>
        <v>-0.3965831712377198</v>
      </c>
      <c r="K113" s="16"/>
      <c r="L113" s="22">
        <f>+D113-H113</f>
        <v>54179.050000000032</v>
      </c>
      <c r="M113" s="16"/>
      <c r="N113" s="21">
        <f>IF(H113=0,0,L113/H113)</f>
        <v>-0.393158044758396</v>
      </c>
      <c r="O113" s="25"/>
      <c r="P113" s="22">
        <f>+P27-P29+P108</f>
        <v>-207699.40999999997</v>
      </c>
      <c r="Q113" s="13"/>
      <c r="R113" s="21">
        <f>IF(P$12=0,0,P113/P$12)</f>
        <v>-36.477850663435106</v>
      </c>
      <c r="S113" s="13"/>
      <c r="T113" s="22">
        <f>+T27-T29+T108</f>
        <v>-380786.71000000008</v>
      </c>
      <c r="U113" s="13"/>
      <c r="V113" s="21">
        <f>IF(T$12=0,0,T113/T$12)</f>
        <v>-0.72262956846445336</v>
      </c>
      <c r="W113" s="16"/>
      <c r="X113" s="22">
        <f>+P113-T113</f>
        <v>173087.3000000001</v>
      </c>
      <c r="Y113" s="16"/>
      <c r="Z113" s="21">
        <f>IF(T113=0,0,X113/T113)</f>
        <v>-0.4545518408454961</v>
      </c>
    </row>
    <row r="114" spans="1:26" x14ac:dyDescent="0.25">
      <c r="A114" s="9"/>
      <c r="B114" s="10"/>
      <c r="C114" s="9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x14ac:dyDescent="0.25">
      <c r="A115" s="51"/>
      <c r="B115" s="10" t="s">
        <v>13</v>
      </c>
      <c r="C115" s="10"/>
      <c r="D115" s="4">
        <v>492.45</v>
      </c>
      <c r="E115" s="4"/>
      <c r="F115" s="12">
        <f>IF(D$12=0,0,D115/D$12)</f>
        <v>0.10435606301415148</v>
      </c>
      <c r="G115" s="4"/>
      <c r="H115" s="4">
        <v>28384.32</v>
      </c>
      <c r="I115" s="4"/>
      <c r="J115" s="12">
        <f>IF(H$12=0,0,H115/H$12)</f>
        <v>8.1686174258612201E-2</v>
      </c>
      <c r="K115" s="4"/>
      <c r="L115" s="4">
        <f>+D115-H115</f>
        <v>-27891.87</v>
      </c>
      <c r="M115" s="4"/>
      <c r="N115" s="12">
        <f>IF(H115=0,0,L115/H115)</f>
        <v>-0.98265063246186624</v>
      </c>
      <c r="O115" s="10"/>
      <c r="P115" s="4">
        <v>961.33</v>
      </c>
      <c r="Q115" s="4"/>
      <c r="R115" s="12">
        <f>IF(P$12=0,0,P115/P$12)</f>
        <v>0.16883655171808182</v>
      </c>
      <c r="S115" s="4"/>
      <c r="T115" s="4">
        <v>65700.55</v>
      </c>
      <c r="U115" s="4"/>
      <c r="V115" s="12">
        <f>IF(T$12=0,0,T115/T$12)</f>
        <v>0.12468176763411</v>
      </c>
      <c r="W115" s="4"/>
      <c r="X115" s="4">
        <f>+P115-T115</f>
        <v>-64739.22</v>
      </c>
      <c r="Y115" s="4"/>
      <c r="Z115" s="12">
        <f>IF(T115=0,0,X115/T115)</f>
        <v>-0.98536800681272829</v>
      </c>
    </row>
    <row r="116" spans="1:26" x14ac:dyDescent="0.25">
      <c r="A116" s="9"/>
      <c r="B116" s="10"/>
      <c r="C116" s="10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O116" s="10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.75" thickBot="1" x14ac:dyDescent="0.3">
      <c r="A117" s="10"/>
      <c r="B117" s="26" t="s">
        <v>4</v>
      </c>
      <c r="C117" s="26"/>
      <c r="D117" s="36">
        <f>+D113-D115</f>
        <v>-84118.16</v>
      </c>
      <c r="E117" s="13"/>
      <c r="F117" s="34">
        <f>IF(D$12=0,0,D117/D$12)</f>
        <v>-17.825647285195405</v>
      </c>
      <c r="G117" s="13"/>
      <c r="H117" s="36">
        <f>+H113-H115</f>
        <v>-166189.08000000005</v>
      </c>
      <c r="I117" s="13"/>
      <c r="J117" s="34">
        <f>IF(H$12=0,0,H117/H$12)</f>
        <v>-0.47826934549633204</v>
      </c>
      <c r="K117" s="16"/>
      <c r="L117" s="36">
        <f>D117-H117</f>
        <v>82070.920000000042</v>
      </c>
      <c r="M117" s="16"/>
      <c r="N117" s="34">
        <f>IF(H117=0,0,L117/H117)</f>
        <v>-0.49384063020265845</v>
      </c>
      <c r="O117" s="25"/>
      <c r="P117" s="36">
        <f>+P113-P115</f>
        <v>-208660.73999999996</v>
      </c>
      <c r="Q117" s="13"/>
      <c r="R117" s="34">
        <f>IF(P$12=0,0,P117/P$12)</f>
        <v>-36.646687215153186</v>
      </c>
      <c r="S117" s="13"/>
      <c r="T117" s="36">
        <f>+T113-T115</f>
        <v>-446487.26000000007</v>
      </c>
      <c r="U117" s="13"/>
      <c r="V117" s="34">
        <f>IF(T$12=0,0,T117/T$12)</f>
        <v>-0.84731133609856335</v>
      </c>
      <c r="W117" s="16"/>
      <c r="X117" s="36">
        <f>P117-T117</f>
        <v>237826.52000000011</v>
      </c>
      <c r="Y117" s="16"/>
      <c r="Z117" s="34">
        <f>IF(T117=0,0,X117/T117)</f>
        <v>-0.53266137985661688</v>
      </c>
    </row>
    <row r="118" spans="1:26" ht="15.75" thickTop="1" x14ac:dyDescent="0.25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x14ac:dyDescent="0.25">
      <c r="A119" s="9"/>
      <c r="B119" s="9"/>
      <c r="C119" s="9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ht="15.75" thickBot="1" x14ac:dyDescent="0.3">
      <c r="A120" s="10"/>
      <c r="B120" s="26" t="s">
        <v>5</v>
      </c>
      <c r="C120" s="26"/>
      <c r="D120" s="30">
        <f>SUM(D117:D119)</f>
        <v>-84118.16</v>
      </c>
      <c r="E120" s="13"/>
      <c r="F120" s="31">
        <f>IF(D$12=0,0,D120/D$12)</f>
        <v>-17.825647285195405</v>
      </c>
      <c r="G120" s="13"/>
      <c r="H120" s="30">
        <f>SUM(H117:H119)</f>
        <v>-166189.08000000005</v>
      </c>
      <c r="I120" s="13"/>
      <c r="J120" s="31">
        <f>IF(H$12=0,0,H120/H$12)</f>
        <v>-0.47826934549633204</v>
      </c>
      <c r="K120" s="16"/>
      <c r="L120" s="30">
        <f>+D120-H120</f>
        <v>82070.920000000042</v>
      </c>
      <c r="M120" s="16"/>
      <c r="N120" s="31">
        <f>IF(H120=0,0,L120/H120)</f>
        <v>-0.49384063020265845</v>
      </c>
      <c r="O120" s="25"/>
      <c r="P120" s="30">
        <f>SUM(P117:P119)</f>
        <v>-208660.73999999996</v>
      </c>
      <c r="Q120" s="13"/>
      <c r="R120" s="31">
        <f>IF(P$12=0,0,P120/P$12)</f>
        <v>-36.646687215153186</v>
      </c>
      <c r="S120" s="13"/>
      <c r="T120" s="30">
        <f>SUM(T117:T119)</f>
        <v>-446487.26000000007</v>
      </c>
      <c r="U120" s="13"/>
      <c r="V120" s="31">
        <f>IF(T$12=0,0,T120/T$12)</f>
        <v>-0.84731133609856335</v>
      </c>
      <c r="W120" s="16"/>
      <c r="X120" s="30">
        <f>+P120-T120</f>
        <v>237826.52000000011</v>
      </c>
      <c r="Y120" s="16"/>
      <c r="Z120" s="31">
        <f>IF(T120=0,0,X120/T120)</f>
        <v>-0.53266137985661688</v>
      </c>
    </row>
    <row r="121" spans="1:26" ht="15.75" thickTop="1" x14ac:dyDescent="0.25">
      <c r="A121" s="9"/>
      <c r="C121" s="9"/>
      <c r="D121" s="18"/>
      <c r="E121" s="18"/>
      <c r="G121" s="18"/>
      <c r="H121" s="18"/>
      <c r="I121" s="18"/>
      <c r="J121" s="43"/>
      <c r="K121" s="18"/>
      <c r="L121" s="18"/>
      <c r="M121" s="18"/>
      <c r="P121" s="18"/>
      <c r="Q121" s="18"/>
      <c r="R121" s="43"/>
      <c r="S121" s="18"/>
      <c r="T121" s="18"/>
      <c r="U121" s="18"/>
      <c r="V121" s="43"/>
      <c r="W121" s="18"/>
      <c r="X121" s="18"/>
    </row>
    <row r="122" spans="1:26" x14ac:dyDescent="0.25">
      <c r="A122" s="9"/>
      <c r="B122" s="61">
        <v>44113.695866631948</v>
      </c>
      <c r="D122" s="18"/>
      <c r="E122" s="18"/>
      <c r="G122" s="18"/>
      <c r="H122" s="18"/>
      <c r="I122" s="18"/>
      <c r="J122" s="43"/>
      <c r="K122" s="18"/>
      <c r="L122" s="18"/>
      <c r="M122" s="18"/>
      <c r="P122" s="18"/>
      <c r="Q122" s="18"/>
      <c r="R122" s="43"/>
      <c r="S122" s="18"/>
      <c r="T122" s="18"/>
      <c r="U122" s="18"/>
      <c r="V122" s="43"/>
      <c r="W122" s="18"/>
      <c r="X122" s="18"/>
    </row>
    <row r="123" spans="1:26" x14ac:dyDescent="0.25">
      <c r="A123" s="9"/>
      <c r="B123" s="56" t="s">
        <v>313</v>
      </c>
      <c r="D123" s="18"/>
      <c r="E123" s="18"/>
      <c r="G123" s="18"/>
      <c r="H123" s="18"/>
      <c r="I123" s="18"/>
      <c r="J123" s="43"/>
      <c r="K123" s="18"/>
      <c r="L123" s="18"/>
      <c r="M123" s="18"/>
      <c r="P123" s="18"/>
      <c r="Q123" s="18"/>
      <c r="R123" s="43"/>
      <c r="S123" s="18"/>
      <c r="T123" s="18"/>
      <c r="U123" s="18"/>
      <c r="V123" s="43"/>
      <c r="W123" s="18"/>
      <c r="X123" s="18"/>
    </row>
    <row r="124" spans="1:26" x14ac:dyDescent="0.25">
      <c r="A124" s="9"/>
      <c r="B124" s="58"/>
      <c r="D124" s="18"/>
      <c r="E124" s="18"/>
      <c r="G124" s="18"/>
      <c r="H124" s="18"/>
      <c r="I124" s="18"/>
      <c r="J124" s="43"/>
      <c r="K124" s="18"/>
      <c r="L124" s="18"/>
      <c r="M124" s="18"/>
      <c r="P124" s="18"/>
      <c r="Q124" s="18"/>
      <c r="R124" s="43"/>
      <c r="S124" s="18"/>
      <c r="T124" s="18"/>
      <c r="U124" s="18"/>
      <c r="V124" s="43"/>
      <c r="W124" s="18"/>
      <c r="X124" s="18"/>
    </row>
    <row r="125" spans="1:26" x14ac:dyDescent="0.25">
      <c r="D125" s="18"/>
      <c r="E125" s="18"/>
      <c r="G125" s="18"/>
      <c r="H125" s="18"/>
      <c r="I125" s="18"/>
      <c r="J125" s="43"/>
      <c r="K125" s="18"/>
      <c r="L125" s="18"/>
      <c r="M125" s="18"/>
      <c r="P125" s="18"/>
      <c r="Q125" s="18"/>
      <c r="R125" s="43"/>
      <c r="S125" s="18"/>
      <c r="T125" s="18"/>
      <c r="U125" s="18"/>
      <c r="V125" s="43"/>
      <c r="W125" s="18"/>
      <c r="X125" s="18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","405", " - ", "Library Starbucks")</f>
        <v>Department 405 - Library Starbucks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34415.229999999996</v>
      </c>
      <c r="I12" s="4"/>
      <c r="J12" s="12"/>
      <c r="K12" s="4"/>
      <c r="L12" s="4">
        <f t="shared" ref="L12:L14" si="0">+D12-H12</f>
        <v>-34415.229999999996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52521.919999999998</v>
      </c>
      <c r="U12" s="4"/>
      <c r="V12" s="12"/>
      <c r="W12" s="4"/>
      <c r="X12" s="4">
        <f t="shared" ref="X12:X14" si="2">+P12-T12</f>
        <v>-52521.919999999998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--8255.89</f>
        <v>8255.89</v>
      </c>
      <c r="I13" s="2"/>
      <c r="J13" s="19"/>
      <c r="K13" s="2"/>
      <c r="L13" s="2">
        <f t="shared" si="0"/>
        <v>-8255.89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--13857.74</f>
        <v>13857.74</v>
      </c>
      <c r="U13" s="2"/>
      <c r="V13" s="19"/>
      <c r="W13" s="2"/>
      <c r="X13" s="2">
        <f t="shared" si="2"/>
        <v>-13857.74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--26159.34</f>
        <v>26159.34</v>
      </c>
      <c r="I14" s="2"/>
      <c r="J14" s="19"/>
      <c r="K14" s="2"/>
      <c r="L14" s="2">
        <f t="shared" si="0"/>
        <v>-26159.34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--38664.18</f>
        <v>38664.18</v>
      </c>
      <c r="U14" s="2"/>
      <c r="V14" s="19"/>
      <c r="W14" s="2"/>
      <c r="X14" s="2">
        <f t="shared" si="2"/>
        <v>-38664.18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11013.169999999998</v>
      </c>
      <c r="I16" s="4"/>
      <c r="J16" s="12">
        <f t="shared" ref="J16:J18" si="7">IF(H$12=0,0,H16/H$12)</f>
        <v>0.32000861246605061</v>
      </c>
      <c r="K16" s="4"/>
      <c r="L16" s="4">
        <f t="shared" ref="L16:L18" si="8">+D16-H16</f>
        <v>-11013.169999999998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21248.52</v>
      </c>
      <c r="U16" s="4"/>
      <c r="V16" s="12">
        <f t="shared" ref="V16:V18" si="11">IF(T$12=0,0,T16/T$12)</f>
        <v>0.40456479884969937</v>
      </c>
      <c r="W16" s="4"/>
      <c r="X16" s="4">
        <f t="shared" ref="X16:X18" si="12">+P16-T16</f>
        <v>-21248.52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14927.169999999998</v>
      </c>
      <c r="I17" s="2"/>
      <c r="J17" s="19">
        <f t="shared" si="7"/>
        <v>0.4337373308270786</v>
      </c>
      <c r="K17" s="2"/>
      <c r="L17" s="2">
        <f t="shared" si="8"/>
        <v>-14927.169999999998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23780.52</v>
      </c>
      <c r="U17" s="2"/>
      <c r="V17" s="19">
        <f t="shared" si="11"/>
        <v>0.45277324210539144</v>
      </c>
      <c r="W17" s="2"/>
      <c r="X17" s="2">
        <f t="shared" si="12"/>
        <v>-23780.52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-3914</v>
      </c>
      <c r="I18" s="2"/>
      <c r="J18" s="19">
        <f t="shared" si="7"/>
        <v>-0.11372871836102796</v>
      </c>
      <c r="K18" s="2"/>
      <c r="L18" s="2">
        <f t="shared" si="8"/>
        <v>3914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-2532</v>
      </c>
      <c r="U18" s="2"/>
      <c r="V18" s="19">
        <f t="shared" si="11"/>
        <v>-4.8208443255692103E-2</v>
      </c>
      <c r="W18" s="2"/>
      <c r="X18" s="2">
        <f t="shared" si="12"/>
        <v>2532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23402.059999999998</v>
      </c>
      <c r="I20" s="13"/>
      <c r="J20" s="21">
        <f>IF(H$12=0,0,H20/H$12)</f>
        <v>0.67999138753394939</v>
      </c>
      <c r="K20" s="16"/>
      <c r="L20" s="22">
        <f>+D20-H20</f>
        <v>-23402.059999999998</v>
      </c>
      <c r="M20" s="16"/>
      <c r="N20" s="21">
        <f>IF(H20=0,0,L20/H20)</f>
        <v>-1</v>
      </c>
      <c r="O20" s="25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31273.399999999998</v>
      </c>
      <c r="U20" s="13"/>
      <c r="V20" s="21">
        <f>IF(T$12=0,0,T20/T$12)</f>
        <v>0.59543520115030069</v>
      </c>
      <c r="W20" s="16"/>
      <c r="X20" s="22">
        <f>+P20-T20</f>
        <v>-31273.399999999998</v>
      </c>
      <c r="Y20" s="16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4682.1000000000004</v>
      </c>
      <c r="E22" s="20"/>
      <c r="F22" s="35">
        <f t="shared" ref="F22:F31" si="14">IF(D$12=0,0,D22/D$12)</f>
        <v>0</v>
      </c>
      <c r="G22" s="20"/>
      <c r="H22" s="20">
        <f>SUM(OSRRefH22x_0)</f>
        <v>44775.119999999995</v>
      </c>
      <c r="I22" s="20"/>
      <c r="J22" s="35">
        <f t="shared" ref="J22:J31" si="15">IF(H$12=0,0,H22/H$12)</f>
        <v>1.3010263188710347</v>
      </c>
      <c r="K22" s="4"/>
      <c r="L22" s="20">
        <f t="shared" ref="L22:L31" si="16">+D22-H22</f>
        <v>-40093.019999999997</v>
      </c>
      <c r="M22" s="4"/>
      <c r="N22" s="35">
        <f t="shared" ref="N22:N31" si="17">IF(H22=0,0,L22/H22)</f>
        <v>-0.89543076601469751</v>
      </c>
      <c r="O22" s="10"/>
      <c r="P22" s="20">
        <f>SUM(OSRRefP22x_0)</f>
        <v>11149.7</v>
      </c>
      <c r="Q22" s="20"/>
      <c r="R22" s="35">
        <f t="shared" ref="R22:R31" si="18">IF(P$12=0,0,P22/P$12)</f>
        <v>0</v>
      </c>
      <c r="S22" s="20"/>
      <c r="T22" s="20">
        <f>SUM(OSRRefT22x_0)</f>
        <v>85623.91</v>
      </c>
      <c r="U22" s="20"/>
      <c r="V22" s="35">
        <f t="shared" ref="V22:V31" si="19">IF(T$12=0,0,T22/T$12)</f>
        <v>1.6302509504603031</v>
      </c>
      <c r="W22" s="4"/>
      <c r="X22" s="20">
        <f t="shared" ref="X22:X31" si="20">+P22-T22</f>
        <v>-74474.210000000006</v>
      </c>
      <c r="Y22" s="4"/>
      <c r="Z22" s="35">
        <f t="shared" ref="Z22:Z31" si="21">IF(T22=0,0,X22/T22)</f>
        <v>-0.86978286789285852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5191.7700000000004</v>
      </c>
      <c r="I23" s="1"/>
      <c r="J23" s="5">
        <f t="shared" si="15"/>
        <v>0.15085675731354989</v>
      </c>
      <c r="K23" s="1"/>
      <c r="L23" s="1">
        <f t="shared" si="16"/>
        <v>-5191.7700000000004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10026.880000000001</v>
      </c>
      <c r="U23" s="1"/>
      <c r="V23" s="5">
        <f t="shared" si="19"/>
        <v>0.19090848163966589</v>
      </c>
      <c r="W23" s="1"/>
      <c r="X23" s="1">
        <f t="shared" si="20"/>
        <v>-10026.880000000001</v>
      </c>
      <c r="Y23" s="1"/>
      <c r="Z23" s="5">
        <f t="shared" si="21"/>
        <v>-1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1311.72</v>
      </c>
      <c r="I24" s="2"/>
      <c r="J24" s="6">
        <f t="shared" si="15"/>
        <v>3.8114520809536943E-2</v>
      </c>
      <c r="K24" s="2"/>
      <c r="L24" s="7">
        <f t="shared" si="16"/>
        <v>-1311.72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2377.16</v>
      </c>
      <c r="U24" s="2"/>
      <c r="V24" s="6">
        <f t="shared" si="19"/>
        <v>4.526034082531636E-2</v>
      </c>
      <c r="W24" s="2"/>
      <c r="X24" s="7">
        <f t="shared" si="20"/>
        <v>-2377.16</v>
      </c>
      <c r="Y24" s="2"/>
      <c r="Z24" s="6">
        <f t="shared" si="21"/>
        <v>-1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651.69000000000005</v>
      </c>
      <c r="I25" s="2"/>
      <c r="J25" s="6">
        <f t="shared" si="15"/>
        <v>1.89360931192382E-2</v>
      </c>
      <c r="K25" s="2"/>
      <c r="L25" s="7">
        <f t="shared" si="16"/>
        <v>-651.69000000000005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1184.3</v>
      </c>
      <c r="U25" s="2"/>
      <c r="V25" s="6">
        <f t="shared" si="19"/>
        <v>2.2548680627060093E-2</v>
      </c>
      <c r="W25" s="2"/>
      <c r="X25" s="7">
        <f t="shared" si="20"/>
        <v>-1184.3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1376.23</v>
      </c>
      <c r="I26" s="2"/>
      <c r="J26" s="6">
        <f t="shared" si="15"/>
        <v>3.9988981622380564E-2</v>
      </c>
      <c r="K26" s="2"/>
      <c r="L26" s="7">
        <f t="shared" si="16"/>
        <v>-1376.23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2752.46</v>
      </c>
      <c r="U26" s="2"/>
      <c r="V26" s="6">
        <f t="shared" si="19"/>
        <v>5.2405928800774992E-2</v>
      </c>
      <c r="W26" s="2"/>
      <c r="X26" s="7">
        <f t="shared" si="20"/>
        <v>-2752.46</v>
      </c>
      <c r="Y26" s="2"/>
      <c r="Z26" s="6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44.74</v>
      </c>
      <c r="I27" s="2"/>
      <c r="J27" s="6">
        <f t="shared" si="15"/>
        <v>1.3000058404375042E-3</v>
      </c>
      <c r="K27" s="2"/>
      <c r="L27" s="7">
        <f t="shared" si="16"/>
        <v>-44.74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81.3</v>
      </c>
      <c r="U27" s="2"/>
      <c r="V27" s="6">
        <f t="shared" si="19"/>
        <v>1.547925132973052E-3</v>
      </c>
      <c r="W27" s="2"/>
      <c r="X27" s="7">
        <f t="shared" si="20"/>
        <v>-81.3</v>
      </c>
      <c r="Y27" s="2"/>
      <c r="Z27" s="6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696.67</v>
      </c>
      <c r="I28" s="2"/>
      <c r="J28" s="6">
        <f t="shared" si="15"/>
        <v>2.0243072616396868E-2</v>
      </c>
      <c r="K28" s="2"/>
      <c r="L28" s="7">
        <f t="shared" si="16"/>
        <v>-696.67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1393.34</v>
      </c>
      <c r="U28" s="2"/>
      <c r="V28" s="6">
        <f t="shared" si="19"/>
        <v>2.6528733146084529E-2</v>
      </c>
      <c r="W28" s="2"/>
      <c r="X28" s="7">
        <f t="shared" si="20"/>
        <v>-1393.34</v>
      </c>
      <c r="Y28" s="2"/>
      <c r="Z28" s="6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384</v>
      </c>
      <c r="I29" s="2"/>
      <c r="J29" s="6">
        <f t="shared" si="15"/>
        <v>1.1157850753866822E-2</v>
      </c>
      <c r="K29" s="2"/>
      <c r="L29" s="7">
        <f t="shared" si="16"/>
        <v>-384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768</v>
      </c>
      <c r="U29" s="2"/>
      <c r="V29" s="6">
        <f t="shared" si="19"/>
        <v>1.4622466200778646E-2</v>
      </c>
      <c r="W29" s="2"/>
      <c r="X29" s="7">
        <f t="shared" si="20"/>
        <v>-768</v>
      </c>
      <c r="Y29" s="2"/>
      <c r="Z29" s="6">
        <f t="shared" si="21"/>
        <v>-1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460.04</v>
      </c>
      <c r="I30" s="2"/>
      <c r="J30" s="6">
        <f t="shared" si="15"/>
        <v>1.3367337658356491E-2</v>
      </c>
      <c r="K30" s="2"/>
      <c r="L30" s="7">
        <f t="shared" si="16"/>
        <v>-460.04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920.08</v>
      </c>
      <c r="U30" s="2"/>
      <c r="V30" s="6">
        <f t="shared" si="19"/>
        <v>1.7518019143245335E-2</v>
      </c>
      <c r="W30" s="2"/>
      <c r="X30" s="7">
        <f t="shared" si="20"/>
        <v>-920.08</v>
      </c>
      <c r="Y30" s="2"/>
      <c r="Z30" s="6">
        <f t="shared" si="21"/>
        <v>-1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266.68</v>
      </c>
      <c r="I31" s="2"/>
      <c r="J31" s="6">
        <f t="shared" si="15"/>
        <v>7.7488948933364691E-3</v>
      </c>
      <c r="K31" s="2"/>
      <c r="L31" s="7">
        <f t="shared" si="16"/>
        <v>-266.68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550.24</v>
      </c>
      <c r="U31" s="2"/>
      <c r="V31" s="6">
        <f t="shared" si="19"/>
        <v>1.0476387763432867E-2</v>
      </c>
      <c r="W31" s="2"/>
      <c r="X31" s="7">
        <f t="shared" si="20"/>
        <v>-550.24</v>
      </c>
      <c r="Y31" s="2"/>
      <c r="Z31" s="6">
        <f t="shared" si="21"/>
        <v>-1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5" si="22">IF(D$12=0,0,D32/D$12)</f>
        <v>0</v>
      </c>
      <c r="G32" s="1"/>
      <c r="H32" s="1">
        <f>SUM(OSRRefH22_1x_0)</f>
        <v>20083.28</v>
      </c>
      <c r="I32" s="1"/>
      <c r="J32" s="5">
        <f t="shared" ref="J32:J35" si="23">IF(H$12=0,0,H32/H$12)</f>
        <v>0.58355791897947507</v>
      </c>
      <c r="K32" s="1"/>
      <c r="L32" s="1">
        <f t="shared" ref="L32:L35" si="24">+D32-H32</f>
        <v>-20083.28</v>
      </c>
      <c r="M32" s="1"/>
      <c r="N32" s="5">
        <f t="shared" ref="N32:N35" si="25">IF(H32=0,0,L32/H32)</f>
        <v>-1</v>
      </c>
      <c r="O32" s="14"/>
      <c r="P32" s="1">
        <f>SUM(OSRRefP22_1x_0)</f>
        <v>0</v>
      </c>
      <c r="Q32" s="1"/>
      <c r="R32" s="5">
        <f t="shared" ref="R32:R35" si="26">IF(P$12=0,0,P32/P$12)</f>
        <v>0</v>
      </c>
      <c r="S32" s="1"/>
      <c r="T32" s="1">
        <f>SUM(OSRRefT22_1x_0)</f>
        <v>37153.620000000003</v>
      </c>
      <c r="U32" s="1"/>
      <c r="V32" s="5">
        <f t="shared" ref="V32:V35" si="27">IF(T$12=0,0,T32/T$12)</f>
        <v>0.70739264672730939</v>
      </c>
      <c r="W32" s="1"/>
      <c r="X32" s="1">
        <f t="shared" ref="X32:X35" si="28">+P32-T32</f>
        <v>-37153.620000000003</v>
      </c>
      <c r="Y32" s="1"/>
      <c r="Z32" s="5">
        <f t="shared" ref="Z32:Z35" si="29">IF(T32=0,0,X32/T32)</f>
        <v>-1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9766.34</v>
      </c>
      <c r="I33" s="2"/>
      <c r="J33" s="6">
        <f t="shared" si="23"/>
        <v>0.2837795940924992</v>
      </c>
      <c r="K33" s="2"/>
      <c r="L33" s="7">
        <f t="shared" si="24"/>
        <v>-9766.34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22025.68</v>
      </c>
      <c r="U33" s="2"/>
      <c r="V33" s="6">
        <f t="shared" si="27"/>
        <v>0.41936166842339351</v>
      </c>
      <c r="W33" s="2"/>
      <c r="X33" s="7">
        <f t="shared" si="28"/>
        <v>-22025.68</v>
      </c>
      <c r="Y33" s="2"/>
      <c r="Z33" s="6">
        <f t="shared" si="29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45.5</v>
      </c>
      <c r="I34" s="2"/>
      <c r="J34" s="6">
        <f t="shared" si="23"/>
        <v>1.3220890867211988E-3</v>
      </c>
      <c r="K34" s="2"/>
      <c r="L34" s="7">
        <f t="shared" si="24"/>
        <v>-45.5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45.5</v>
      </c>
      <c r="U34" s="2"/>
      <c r="V34" s="6">
        <f t="shared" si="27"/>
        <v>8.6630496371800582E-4</v>
      </c>
      <c r="W34" s="2"/>
      <c r="X34" s="7">
        <f t="shared" si="28"/>
        <v>-45.5</v>
      </c>
      <c r="Y34" s="2"/>
      <c r="Z34" s="6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2"/>
        <v>0</v>
      </c>
      <c r="G35" s="2"/>
      <c r="H35" s="7">
        <v>10271.44</v>
      </c>
      <c r="I35" s="2"/>
      <c r="J35" s="6">
        <f t="shared" si="23"/>
        <v>0.29845623580025477</v>
      </c>
      <c r="K35" s="2"/>
      <c r="L35" s="7">
        <f t="shared" si="24"/>
        <v>-10271.44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15082.44</v>
      </c>
      <c r="U35" s="2"/>
      <c r="V35" s="6">
        <f t="shared" si="27"/>
        <v>0.2871646733401978</v>
      </c>
      <c r="W35" s="2"/>
      <c r="X35" s="7">
        <f t="shared" si="28"/>
        <v>-15082.44</v>
      </c>
      <c r="Y35" s="2"/>
      <c r="Z35" s="6">
        <f t="shared" si="29"/>
        <v>-1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4" si="30">IF(D$12=0,0,D36/D$12)</f>
        <v>0</v>
      </c>
      <c r="G36" s="1"/>
      <c r="H36" s="1">
        <f>SUM(OSRRefH22_2x_0)</f>
        <v>1.87</v>
      </c>
      <c r="I36" s="1"/>
      <c r="J36" s="5">
        <f t="shared" ref="J36:J44" si="31">IF(H$12=0,0,H36/H$12)</f>
        <v>5.4336408619091034E-5</v>
      </c>
      <c r="K36" s="1"/>
      <c r="L36" s="1">
        <f t="shared" ref="L36:L44" si="32">+D36-H36</f>
        <v>-1.87</v>
      </c>
      <c r="M36" s="1"/>
      <c r="N36" s="5">
        <f t="shared" ref="N36:N44" si="33">IF(H36=0,0,L36/H36)</f>
        <v>-1</v>
      </c>
      <c r="O36" s="14"/>
      <c r="P36" s="1">
        <f>SUM(OSRRefP22_2x_0)</f>
        <v>0</v>
      </c>
      <c r="Q36" s="1"/>
      <c r="R36" s="5">
        <f t="shared" ref="R36:R44" si="34">IF(P$12=0,0,P36/P$12)</f>
        <v>0</v>
      </c>
      <c r="S36" s="1"/>
      <c r="T36" s="1">
        <f>SUM(OSRRefT22_2x_0)</f>
        <v>65.39</v>
      </c>
      <c r="U36" s="1"/>
      <c r="V36" s="5">
        <f t="shared" ref="V36:V44" si="35">IF(T$12=0,0,T36/T$12)</f>
        <v>1.2450039907147339E-3</v>
      </c>
      <c r="W36" s="1"/>
      <c r="X36" s="1">
        <f t="shared" ref="X36:X44" si="36">+P36-T36</f>
        <v>-65.39</v>
      </c>
      <c r="Y36" s="1"/>
      <c r="Z36" s="5">
        <f t="shared" ref="Z36:Z44" si="37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30"/>
        <v>0</v>
      </c>
      <c r="G37" s="2"/>
      <c r="H37" s="7">
        <v>1.87</v>
      </c>
      <c r="I37" s="2"/>
      <c r="J37" s="6">
        <f t="shared" si="31"/>
        <v>5.4336408619091034E-5</v>
      </c>
      <c r="K37" s="2"/>
      <c r="L37" s="7">
        <f t="shared" si="32"/>
        <v>-1.87</v>
      </c>
      <c r="M37" s="2"/>
      <c r="N37" s="6">
        <f t="shared" si="33"/>
        <v>-1</v>
      </c>
      <c r="O37" s="11"/>
      <c r="P37" s="7"/>
      <c r="Q37" s="2"/>
      <c r="R37" s="6">
        <f t="shared" si="34"/>
        <v>0</v>
      </c>
      <c r="S37" s="2"/>
      <c r="T37" s="7">
        <v>65.39</v>
      </c>
      <c r="U37" s="2"/>
      <c r="V37" s="6">
        <f t="shared" si="35"/>
        <v>1.2450039907147339E-3</v>
      </c>
      <c r="W37" s="2"/>
      <c r="X37" s="7">
        <f t="shared" si="36"/>
        <v>-65.39</v>
      </c>
      <c r="Y37" s="2"/>
      <c r="Z37" s="6">
        <f t="shared" si="37"/>
        <v>-1</v>
      </c>
    </row>
    <row r="38" spans="1:26" s="28" customFormat="1" outlineLevel="1" collapsed="1" x14ac:dyDescent="0.25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0</v>
      </c>
      <c r="E38" s="1"/>
      <c r="F38" s="5">
        <f t="shared" si="30"/>
        <v>0</v>
      </c>
      <c r="G38" s="1"/>
      <c r="H38" s="1">
        <f>SUM(OSRRefH22_3x_0)</f>
        <v>13.71</v>
      </c>
      <c r="I38" s="1"/>
      <c r="J38" s="5">
        <f t="shared" si="31"/>
        <v>3.9837014019665138E-4</v>
      </c>
      <c r="K38" s="1"/>
      <c r="L38" s="1">
        <f t="shared" si="32"/>
        <v>-13.71</v>
      </c>
      <c r="M38" s="1"/>
      <c r="N38" s="5">
        <f t="shared" si="33"/>
        <v>-1</v>
      </c>
      <c r="O38" s="14"/>
      <c r="P38" s="1">
        <f>SUM(OSRRefP22_3x_0)</f>
        <v>0</v>
      </c>
      <c r="Q38" s="1"/>
      <c r="R38" s="5">
        <f t="shared" si="34"/>
        <v>0</v>
      </c>
      <c r="S38" s="1"/>
      <c r="T38" s="1">
        <f>SUM(OSRRefT22_3x_0)</f>
        <v>6.16</v>
      </c>
      <c r="U38" s="1"/>
      <c r="V38" s="5">
        <f t="shared" si="35"/>
        <v>1.172843643187454E-4</v>
      </c>
      <c r="W38" s="1"/>
      <c r="X38" s="1">
        <f t="shared" si="36"/>
        <v>-6.16</v>
      </c>
      <c r="Y38" s="1"/>
      <c r="Z38" s="5">
        <f t="shared" si="37"/>
        <v>-1</v>
      </c>
    </row>
    <row r="39" spans="1:26" s="24" customFormat="1" hidden="1" outlineLevel="2" x14ac:dyDescent="0.25">
      <c r="A39" s="29"/>
      <c r="B39" s="11" t="str">
        <f>CONCATENATE("          ", "6272", " - ", "CASH (OVER/SHORT)")</f>
        <v xml:space="preserve">          6272 - CASH (OVER/SHORT)</v>
      </c>
      <c r="C39" s="11"/>
      <c r="D39" s="7"/>
      <c r="E39" s="2"/>
      <c r="F39" s="6">
        <f t="shared" si="30"/>
        <v>0</v>
      </c>
      <c r="G39" s="2"/>
      <c r="H39" s="7">
        <v>13.71</v>
      </c>
      <c r="I39" s="2"/>
      <c r="J39" s="6">
        <f t="shared" si="31"/>
        <v>3.9837014019665138E-4</v>
      </c>
      <c r="K39" s="2"/>
      <c r="L39" s="7">
        <f t="shared" si="32"/>
        <v>-13.71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6.16</v>
      </c>
      <c r="U39" s="2"/>
      <c r="V39" s="6">
        <f t="shared" si="35"/>
        <v>1.172843643187454E-4</v>
      </c>
      <c r="W39" s="2"/>
      <c r="X39" s="7">
        <f t="shared" si="36"/>
        <v>-6.16</v>
      </c>
      <c r="Y39" s="2"/>
      <c r="Z39" s="6">
        <f t="shared" si="37"/>
        <v>-1</v>
      </c>
    </row>
    <row r="40" spans="1:26" s="28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0</v>
      </c>
      <c r="E40" s="1"/>
      <c r="F40" s="5">
        <f t="shared" si="30"/>
        <v>0</v>
      </c>
      <c r="G40" s="1"/>
      <c r="H40" s="1">
        <f>SUM(OSRRefH22_4x_0)</f>
        <v>900.71</v>
      </c>
      <c r="I40" s="1"/>
      <c r="J40" s="5">
        <f t="shared" si="31"/>
        <v>2.6171843105508814E-2</v>
      </c>
      <c r="K40" s="1"/>
      <c r="L40" s="1">
        <f t="shared" si="32"/>
        <v>-900.71</v>
      </c>
      <c r="M40" s="1"/>
      <c r="N40" s="5">
        <f t="shared" si="33"/>
        <v>-1</v>
      </c>
      <c r="O40" s="14"/>
      <c r="P40" s="1">
        <f>SUM(OSRRefP22_4x_0)</f>
        <v>0</v>
      </c>
      <c r="Q40" s="1"/>
      <c r="R40" s="5">
        <f t="shared" si="34"/>
        <v>0</v>
      </c>
      <c r="S40" s="1"/>
      <c r="T40" s="1">
        <f>SUM(OSRRefT22_4x_0)</f>
        <v>1394.36</v>
      </c>
      <c r="U40" s="1"/>
      <c r="V40" s="5">
        <f t="shared" si="35"/>
        <v>2.654815360900744E-2</v>
      </c>
      <c r="W40" s="1"/>
      <c r="X40" s="1">
        <f t="shared" si="36"/>
        <v>-1394.36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7"/>
      <c r="E41" s="2"/>
      <c r="F41" s="6">
        <f t="shared" si="30"/>
        <v>0</v>
      </c>
      <c r="G41" s="2"/>
      <c r="H41" s="7">
        <v>900.71</v>
      </c>
      <c r="I41" s="2"/>
      <c r="J41" s="6">
        <f t="shared" si="31"/>
        <v>2.6171843105508814E-2</v>
      </c>
      <c r="K41" s="2"/>
      <c r="L41" s="7">
        <f t="shared" si="32"/>
        <v>-900.71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1394.36</v>
      </c>
      <c r="U41" s="2"/>
      <c r="V41" s="6">
        <f t="shared" si="35"/>
        <v>2.654815360900744E-2</v>
      </c>
      <c r="W41" s="2"/>
      <c r="X41" s="7">
        <f t="shared" si="36"/>
        <v>-1394.36</v>
      </c>
      <c r="Y41" s="2"/>
      <c r="Z41" s="6">
        <f t="shared" si="37"/>
        <v>-1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5330.05</v>
      </c>
      <c r="E42" s="1"/>
      <c r="F42" s="5">
        <f t="shared" si="30"/>
        <v>0</v>
      </c>
      <c r="G42" s="1"/>
      <c r="H42" s="1">
        <f>SUM(OSRRefH22_5x_0)</f>
        <v>5612.57</v>
      </c>
      <c r="I42" s="1"/>
      <c r="J42" s="5">
        <f t="shared" si="31"/>
        <v>0.16308390209799559</v>
      </c>
      <c r="K42" s="1"/>
      <c r="L42" s="1">
        <f t="shared" si="32"/>
        <v>-282.51999999999953</v>
      </c>
      <c r="M42" s="1"/>
      <c r="N42" s="5">
        <f t="shared" si="33"/>
        <v>-5.0337011386940307E-2</v>
      </c>
      <c r="O42" s="14"/>
      <c r="P42" s="1">
        <f>SUM(OSRRefP22_5x_0)</f>
        <v>10660.1</v>
      </c>
      <c r="Q42" s="1"/>
      <c r="R42" s="5">
        <f t="shared" si="34"/>
        <v>0</v>
      </c>
      <c r="S42" s="1"/>
      <c r="T42" s="1">
        <f>SUM(OSRRefT22_5x_0)</f>
        <v>11225.14</v>
      </c>
      <c r="U42" s="1"/>
      <c r="V42" s="5">
        <f t="shared" si="35"/>
        <v>0.21372295605339636</v>
      </c>
      <c r="W42" s="1"/>
      <c r="X42" s="1">
        <f t="shared" si="36"/>
        <v>-565.03999999999905</v>
      </c>
      <c r="Y42" s="1"/>
      <c r="Z42" s="5">
        <f t="shared" si="37"/>
        <v>-5.0337011386940307E-2</v>
      </c>
    </row>
    <row r="43" spans="1:26" s="24" customFormat="1" hidden="1" outlineLevel="2" x14ac:dyDescent="0.25">
      <c r="A43" s="29"/>
      <c r="B43" s="11" t="str">
        <f>CONCATENATE("          ", "6321", " - ", "BUILDING DEPRECIATION")</f>
        <v xml:space="preserve">          6321 - BUILDING DEPRECIATION</v>
      </c>
      <c r="C43" s="11"/>
      <c r="D43" s="7">
        <v>4626.5</v>
      </c>
      <c r="E43" s="2"/>
      <c r="F43" s="6">
        <f t="shared" si="30"/>
        <v>0</v>
      </c>
      <c r="G43" s="2"/>
      <c r="H43" s="7">
        <v>4626.5</v>
      </c>
      <c r="I43" s="2"/>
      <c r="J43" s="6">
        <f t="shared" si="31"/>
        <v>0.13443176175199179</v>
      </c>
      <c r="K43" s="2"/>
      <c r="L43" s="7">
        <f t="shared" si="32"/>
        <v>0</v>
      </c>
      <c r="M43" s="2"/>
      <c r="N43" s="6">
        <f t="shared" si="33"/>
        <v>0</v>
      </c>
      <c r="O43" s="11"/>
      <c r="P43" s="7">
        <v>9253</v>
      </c>
      <c r="Q43" s="2"/>
      <c r="R43" s="6">
        <f t="shared" si="34"/>
        <v>0</v>
      </c>
      <c r="S43" s="2"/>
      <c r="T43" s="7">
        <v>9253</v>
      </c>
      <c r="U43" s="2"/>
      <c r="V43" s="6">
        <f t="shared" si="35"/>
        <v>0.17617406218203752</v>
      </c>
      <c r="W43" s="2"/>
      <c r="X43" s="7">
        <f t="shared" si="36"/>
        <v>0</v>
      </c>
      <c r="Y43" s="2"/>
      <c r="Z43" s="6">
        <f t="shared" si="37"/>
        <v>0</v>
      </c>
    </row>
    <row r="44" spans="1:26" s="24" customFormat="1" hidden="1" outlineLevel="2" x14ac:dyDescent="0.25">
      <c r="A44" s="29"/>
      <c r="B44" s="11" t="str">
        <f>CONCATENATE("          ", "6322", " - ", "EQUIPMENT DEPRECIATION EXPENSE")</f>
        <v xml:space="preserve">          6322 - EQUIPMENT DEPRECIATION EXPENSE</v>
      </c>
      <c r="C44" s="11"/>
      <c r="D44" s="7">
        <v>703.55</v>
      </c>
      <c r="E44" s="2"/>
      <c r="F44" s="6">
        <f t="shared" si="30"/>
        <v>0</v>
      </c>
      <c r="G44" s="2"/>
      <c r="H44" s="7">
        <v>986.07</v>
      </c>
      <c r="I44" s="2"/>
      <c r="J44" s="6">
        <f t="shared" si="31"/>
        <v>2.8652140346003795E-2</v>
      </c>
      <c r="K44" s="2"/>
      <c r="L44" s="7">
        <f t="shared" si="32"/>
        <v>-282.5200000000001</v>
      </c>
      <c r="M44" s="2"/>
      <c r="N44" s="6">
        <f t="shared" si="33"/>
        <v>-0.28651109961767429</v>
      </c>
      <c r="O44" s="11"/>
      <c r="P44" s="7">
        <v>1407.1</v>
      </c>
      <c r="Q44" s="2"/>
      <c r="R44" s="6">
        <f t="shared" si="34"/>
        <v>0</v>
      </c>
      <c r="S44" s="2"/>
      <c r="T44" s="7">
        <v>1972.14</v>
      </c>
      <c r="U44" s="2"/>
      <c r="V44" s="6">
        <f t="shared" si="35"/>
        <v>3.754889387135886E-2</v>
      </c>
      <c r="W44" s="2"/>
      <c r="X44" s="7">
        <f t="shared" si="36"/>
        <v>-565.04000000000019</v>
      </c>
      <c r="Y44" s="2"/>
      <c r="Z44" s="6">
        <f t="shared" si="37"/>
        <v>-0.28651109961767429</v>
      </c>
    </row>
    <row r="45" spans="1:26" s="28" customFormat="1" outlineLevel="1" collapsed="1" x14ac:dyDescent="0.25">
      <c r="A45" s="27"/>
      <c r="B45" s="14" t="str">
        <f>CONCATENATE("     ","Equipment Rental                                  ")</f>
        <v xml:space="preserve">     Equipment Rental                                  </v>
      </c>
      <c r="C45" s="14"/>
      <c r="D45" s="1">
        <f>SUM(OSRRefD22_6x_0)</f>
        <v>0</v>
      </c>
      <c r="E45" s="1"/>
      <c r="F45" s="5">
        <f t="shared" ref="F45:F53" si="38">IF(D$12=0,0,D45/D$12)</f>
        <v>0</v>
      </c>
      <c r="G45" s="1"/>
      <c r="H45" s="1">
        <f>SUM(OSRRefH22_6x_0)</f>
        <v>424.06</v>
      </c>
      <c r="I45" s="1"/>
      <c r="J45" s="5">
        <f t="shared" ref="J45:J53" si="39">IF(H$12=0,0,H45/H$12)</f>
        <v>1.2321870288241573E-2</v>
      </c>
      <c r="K45" s="1"/>
      <c r="L45" s="1">
        <f t="shared" ref="L45:L53" si="40">+D45-H45</f>
        <v>-424.06</v>
      </c>
      <c r="M45" s="1"/>
      <c r="N45" s="5">
        <f t="shared" ref="N45:N53" si="41">IF(H45=0,0,L45/H45)</f>
        <v>-1</v>
      </c>
      <c r="O45" s="14"/>
      <c r="P45" s="1">
        <f>SUM(OSRRefP22_6x_0)</f>
        <v>0</v>
      </c>
      <c r="Q45" s="1"/>
      <c r="R45" s="5">
        <f t="shared" ref="R45:R53" si="42">IF(P$12=0,0,P45/P$12)</f>
        <v>0</v>
      </c>
      <c r="S45" s="1"/>
      <c r="T45" s="1">
        <f>SUM(OSRRefT22_6x_0)</f>
        <v>832.71</v>
      </c>
      <c r="U45" s="1"/>
      <c r="V45" s="5">
        <f t="shared" ref="V45:V53" si="43">IF(T$12=0,0,T45/T$12)</f>
        <v>1.5854523216211443E-2</v>
      </c>
      <c r="W45" s="1"/>
      <c r="X45" s="1">
        <f t="shared" ref="X45:X53" si="44">+P45-T45</f>
        <v>-832.71</v>
      </c>
      <c r="Y45" s="1"/>
      <c r="Z45" s="5">
        <f t="shared" ref="Z45:Z53" si="45">IF(T45=0,0,X45/T45)</f>
        <v>-1</v>
      </c>
    </row>
    <row r="46" spans="1:26" s="24" customFormat="1" hidden="1" outlineLevel="2" x14ac:dyDescent="0.25">
      <c r="A46" s="29"/>
      <c r="B46" s="11" t="str">
        <f>CONCATENATE("          ", "6351", " - ", "EQUIPMENT RENTAL")</f>
        <v xml:space="preserve">          6351 - EQUIPMENT RENTAL</v>
      </c>
      <c r="C46" s="11"/>
      <c r="D46" s="7"/>
      <c r="E46" s="2"/>
      <c r="F46" s="6">
        <f t="shared" si="38"/>
        <v>0</v>
      </c>
      <c r="G46" s="2"/>
      <c r="H46" s="7">
        <v>424.06</v>
      </c>
      <c r="I46" s="2"/>
      <c r="J46" s="6">
        <f t="shared" si="39"/>
        <v>1.2321870288241573E-2</v>
      </c>
      <c r="K46" s="2"/>
      <c r="L46" s="7">
        <f t="shared" si="40"/>
        <v>-424.06</v>
      </c>
      <c r="M46" s="2"/>
      <c r="N46" s="6">
        <f t="shared" si="41"/>
        <v>-1</v>
      </c>
      <c r="O46" s="11"/>
      <c r="P46" s="7"/>
      <c r="Q46" s="2"/>
      <c r="R46" s="6">
        <f t="shared" si="42"/>
        <v>0</v>
      </c>
      <c r="S46" s="2"/>
      <c r="T46" s="7">
        <v>832.71</v>
      </c>
      <c r="U46" s="2"/>
      <c r="V46" s="6">
        <f t="shared" si="43"/>
        <v>1.5854523216211443E-2</v>
      </c>
      <c r="W46" s="2"/>
      <c r="X46" s="7">
        <f t="shared" si="44"/>
        <v>-832.71</v>
      </c>
      <c r="Y46" s="2"/>
      <c r="Z46" s="6">
        <f t="shared" si="45"/>
        <v>-1</v>
      </c>
    </row>
    <row r="47" spans="1:26" s="28" customFormat="1" outlineLevel="1" collapsed="1" x14ac:dyDescent="0.25">
      <c r="A47" s="27"/>
      <c r="B47" s="14" t="str">
        <f>CONCATENATE("     ","General                                           ")</f>
        <v xml:space="preserve">     General                                           </v>
      </c>
      <c r="C47" s="14"/>
      <c r="D47" s="1">
        <f>SUM(OSRRefD22_7x_0)</f>
        <v>-1114.55</v>
      </c>
      <c r="E47" s="1"/>
      <c r="F47" s="5">
        <f t="shared" si="38"/>
        <v>0</v>
      </c>
      <c r="G47" s="1"/>
      <c r="H47" s="1">
        <f>SUM(OSRRefH22_7x_0)</f>
        <v>615.51</v>
      </c>
      <c r="I47" s="1"/>
      <c r="J47" s="5">
        <f t="shared" si="39"/>
        <v>1.7884814368522309E-2</v>
      </c>
      <c r="K47" s="1"/>
      <c r="L47" s="1">
        <f t="shared" si="40"/>
        <v>-1730.06</v>
      </c>
      <c r="M47" s="1"/>
      <c r="N47" s="5">
        <f t="shared" si="41"/>
        <v>-2.8107748046335557</v>
      </c>
      <c r="O47" s="14"/>
      <c r="P47" s="1">
        <f>SUM(OSRRefP22_7x_0)</f>
        <v>0</v>
      </c>
      <c r="Q47" s="1"/>
      <c r="R47" s="5">
        <f t="shared" si="42"/>
        <v>0</v>
      </c>
      <c r="S47" s="1"/>
      <c r="T47" s="1">
        <f>SUM(OSRRefT22_7x_0)</f>
        <v>2393.5</v>
      </c>
      <c r="U47" s="1"/>
      <c r="V47" s="5">
        <f t="shared" si="43"/>
        <v>4.5571449025473554E-2</v>
      </c>
      <c r="W47" s="1"/>
      <c r="X47" s="1">
        <f t="shared" si="44"/>
        <v>-2393.5</v>
      </c>
      <c r="Y47" s="1"/>
      <c r="Z47" s="5">
        <f t="shared" si="45"/>
        <v>-1</v>
      </c>
    </row>
    <row r="48" spans="1:26" s="24" customFormat="1" hidden="1" outlineLevel="2" x14ac:dyDescent="0.25">
      <c r="A48" s="29"/>
      <c r="B48" s="11" t="str">
        <f>CONCATENATE("          ", "6279", " - ", "GENERAL EXPENSE")</f>
        <v xml:space="preserve">          6279 - GENERAL EXPENSE</v>
      </c>
      <c r="C48" s="11"/>
      <c r="D48" s="7">
        <v>-1114.55</v>
      </c>
      <c r="E48" s="2"/>
      <c r="F48" s="6">
        <f t="shared" si="38"/>
        <v>0</v>
      </c>
      <c r="G48" s="2"/>
      <c r="H48" s="7">
        <v>615.51</v>
      </c>
      <c r="I48" s="2"/>
      <c r="J48" s="6">
        <f t="shared" si="39"/>
        <v>1.7884814368522309E-2</v>
      </c>
      <c r="K48" s="2"/>
      <c r="L48" s="7">
        <f t="shared" si="40"/>
        <v>-1730.06</v>
      </c>
      <c r="M48" s="2"/>
      <c r="N48" s="6">
        <f t="shared" si="41"/>
        <v>-2.8107748046335557</v>
      </c>
      <c r="O48" s="11"/>
      <c r="P48" s="7">
        <v>0</v>
      </c>
      <c r="Q48" s="2"/>
      <c r="R48" s="6">
        <f t="shared" si="42"/>
        <v>0</v>
      </c>
      <c r="S48" s="2"/>
      <c r="T48" s="7">
        <v>2393.5</v>
      </c>
      <c r="U48" s="2"/>
      <c r="V48" s="6">
        <f t="shared" si="43"/>
        <v>4.5571449025473554E-2</v>
      </c>
      <c r="W48" s="2"/>
      <c r="X48" s="7">
        <f t="shared" si="44"/>
        <v>-2393.5</v>
      </c>
      <c r="Y48" s="2"/>
      <c r="Z48" s="6">
        <f t="shared" si="45"/>
        <v>-1</v>
      </c>
    </row>
    <row r="49" spans="1:26" s="28" customFormat="1" outlineLevel="1" collapsed="1" x14ac:dyDescent="0.25">
      <c r="A49" s="27"/>
      <c r="B49" s="14" t="str">
        <f>CONCATENATE("     ","Rent                                              ")</f>
        <v xml:space="preserve">     Rent                                              </v>
      </c>
      <c r="C49" s="14"/>
      <c r="D49" s="1">
        <f>SUM(OSRRefD22_8x_0)</f>
        <v>0</v>
      </c>
      <c r="E49" s="1"/>
      <c r="F49" s="5">
        <f t="shared" si="38"/>
        <v>0</v>
      </c>
      <c r="G49" s="1"/>
      <c r="H49" s="1">
        <f>SUM(OSRRefH22_8x_0)</f>
        <v>1850</v>
      </c>
      <c r="I49" s="1"/>
      <c r="J49" s="5">
        <f t="shared" si="39"/>
        <v>5.3755270558993803E-2</v>
      </c>
      <c r="K49" s="1"/>
      <c r="L49" s="1">
        <f t="shared" si="40"/>
        <v>-1850</v>
      </c>
      <c r="M49" s="1"/>
      <c r="N49" s="5">
        <f t="shared" si="41"/>
        <v>-1</v>
      </c>
      <c r="O49" s="14"/>
      <c r="P49" s="1">
        <f>SUM(OSRRefP22_8x_0)</f>
        <v>0</v>
      </c>
      <c r="Q49" s="1"/>
      <c r="R49" s="5">
        <f t="shared" si="42"/>
        <v>0</v>
      </c>
      <c r="S49" s="1"/>
      <c r="T49" s="1">
        <f>SUM(OSRRefT22_8x_0)</f>
        <v>3700</v>
      </c>
      <c r="U49" s="1"/>
      <c r="V49" s="5">
        <f t="shared" si="43"/>
        <v>7.0446777269376287E-2</v>
      </c>
      <c r="W49" s="1"/>
      <c r="X49" s="1">
        <f t="shared" si="44"/>
        <v>-3700</v>
      </c>
      <c r="Y49" s="1"/>
      <c r="Z49" s="5">
        <f t="shared" si="45"/>
        <v>-1</v>
      </c>
    </row>
    <row r="50" spans="1:26" s="24" customFormat="1" hidden="1" outlineLevel="2" x14ac:dyDescent="0.25">
      <c r="A50" s="29"/>
      <c r="B50" s="11" t="str">
        <f>CONCATENATE("          ", "6273", " - ", "RENT")</f>
        <v xml:space="preserve">          6273 - RENT</v>
      </c>
      <c r="C50" s="11"/>
      <c r="D50" s="7"/>
      <c r="E50" s="2"/>
      <c r="F50" s="6">
        <f t="shared" si="38"/>
        <v>0</v>
      </c>
      <c r="G50" s="2"/>
      <c r="H50" s="7">
        <v>1850</v>
      </c>
      <c r="I50" s="2"/>
      <c r="J50" s="6">
        <f t="shared" si="39"/>
        <v>5.3755270558993803E-2</v>
      </c>
      <c r="K50" s="2"/>
      <c r="L50" s="7">
        <f t="shared" si="40"/>
        <v>-1850</v>
      </c>
      <c r="M50" s="2"/>
      <c r="N50" s="6">
        <f t="shared" si="41"/>
        <v>-1</v>
      </c>
      <c r="O50" s="11"/>
      <c r="P50" s="7"/>
      <c r="Q50" s="2"/>
      <c r="R50" s="6">
        <f t="shared" si="42"/>
        <v>0</v>
      </c>
      <c r="S50" s="2"/>
      <c r="T50" s="7">
        <v>3700</v>
      </c>
      <c r="U50" s="2"/>
      <c r="V50" s="6">
        <f t="shared" si="43"/>
        <v>7.0446777269376287E-2</v>
      </c>
      <c r="W50" s="2"/>
      <c r="X50" s="7">
        <f t="shared" si="44"/>
        <v>-3700</v>
      </c>
      <c r="Y50" s="2"/>
      <c r="Z50" s="6">
        <f t="shared" si="45"/>
        <v>-1</v>
      </c>
    </row>
    <row r="51" spans="1:26" s="28" customFormat="1" outlineLevel="1" collapsed="1" x14ac:dyDescent="0.25">
      <c r="A51" s="27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SUM(OSRRefD22_9x_0)</f>
        <v>420.6</v>
      </c>
      <c r="E51" s="1"/>
      <c r="F51" s="5">
        <f t="shared" si="38"/>
        <v>0</v>
      </c>
      <c r="G51" s="1"/>
      <c r="H51" s="1">
        <f>SUM(OSRRefH22_9x_0)</f>
        <v>3395.75</v>
      </c>
      <c r="I51" s="1"/>
      <c r="J51" s="5">
        <f t="shared" si="39"/>
        <v>9.8669978378758488E-2</v>
      </c>
      <c r="K51" s="1"/>
      <c r="L51" s="1">
        <f t="shared" si="40"/>
        <v>-2975.15</v>
      </c>
      <c r="M51" s="1"/>
      <c r="N51" s="5">
        <f t="shared" si="41"/>
        <v>-0.87613929176176109</v>
      </c>
      <c r="O51" s="14"/>
      <c r="P51" s="1">
        <f>SUM(OSRRefP22_9x_0)</f>
        <v>420.6</v>
      </c>
      <c r="Q51" s="1"/>
      <c r="R51" s="5">
        <f t="shared" si="42"/>
        <v>0</v>
      </c>
      <c r="S51" s="1"/>
      <c r="T51" s="1">
        <f>SUM(OSRRefT22_9x_0)</f>
        <v>6159</v>
      </c>
      <c r="U51" s="1"/>
      <c r="V51" s="5">
        <f t="shared" si="43"/>
        <v>0.11726532464921313</v>
      </c>
      <c r="W51" s="1"/>
      <c r="X51" s="1">
        <f t="shared" si="44"/>
        <v>-5738.4</v>
      </c>
      <c r="Y51" s="1"/>
      <c r="Z51" s="5">
        <f t="shared" si="45"/>
        <v>-0.93170969313200191</v>
      </c>
    </row>
    <row r="52" spans="1:26" s="24" customFormat="1" hidden="1" outlineLevel="2" x14ac:dyDescent="0.25">
      <c r="A52" s="29"/>
      <c r="B52" s="11" t="str">
        <f>CONCATENATE("          ", "6373", " - ", "MAINTENANCE CONTRACTS")</f>
        <v xml:space="preserve">          6373 - MAINTENANCE CONTRACTS</v>
      </c>
      <c r="C52" s="11"/>
      <c r="D52" s="7">
        <v>78.599999999999994</v>
      </c>
      <c r="E52" s="2"/>
      <c r="F52" s="6">
        <f t="shared" si="38"/>
        <v>0</v>
      </c>
      <c r="G52" s="2"/>
      <c r="H52" s="7">
        <v>1000</v>
      </c>
      <c r="I52" s="2"/>
      <c r="J52" s="6">
        <f t="shared" si="39"/>
        <v>2.9056903004861512E-2</v>
      </c>
      <c r="K52" s="2"/>
      <c r="L52" s="7">
        <f t="shared" si="40"/>
        <v>-921.4</v>
      </c>
      <c r="M52" s="2"/>
      <c r="N52" s="6">
        <f t="shared" si="41"/>
        <v>-0.9214</v>
      </c>
      <c r="O52" s="11"/>
      <c r="P52" s="7">
        <v>78.599999999999994</v>
      </c>
      <c r="Q52" s="2"/>
      <c r="R52" s="6">
        <f t="shared" si="42"/>
        <v>0</v>
      </c>
      <c r="S52" s="2"/>
      <c r="T52" s="7">
        <v>2000</v>
      </c>
      <c r="U52" s="2"/>
      <c r="V52" s="6">
        <f t="shared" si="43"/>
        <v>3.8079339064527727E-2</v>
      </c>
      <c r="W52" s="2"/>
      <c r="X52" s="7">
        <f t="shared" si="44"/>
        <v>-1921.4</v>
      </c>
      <c r="Y52" s="2"/>
      <c r="Z52" s="6">
        <f t="shared" si="45"/>
        <v>-0.9607</v>
      </c>
    </row>
    <row r="53" spans="1:26" s="24" customFormat="1" hidden="1" outlineLevel="2" x14ac:dyDescent="0.25">
      <c r="A53" s="29"/>
      <c r="B53" s="11" t="str">
        <f>CONCATENATE("          ", "6375", " - ", "OUTSIDE REPAIRS &amp; MAINTENANCE")</f>
        <v xml:space="preserve">          6375 - OUTSIDE REPAIRS &amp; MAINTENANCE</v>
      </c>
      <c r="C53" s="11"/>
      <c r="D53" s="7">
        <v>342</v>
      </c>
      <c r="E53" s="2"/>
      <c r="F53" s="6">
        <f t="shared" si="38"/>
        <v>0</v>
      </c>
      <c r="G53" s="2"/>
      <c r="H53" s="7">
        <v>2395.75</v>
      </c>
      <c r="I53" s="2"/>
      <c r="J53" s="6">
        <f t="shared" si="39"/>
        <v>6.9613075373896965E-2</v>
      </c>
      <c r="K53" s="2"/>
      <c r="L53" s="7">
        <f t="shared" si="40"/>
        <v>-2053.75</v>
      </c>
      <c r="M53" s="2"/>
      <c r="N53" s="6">
        <f t="shared" si="41"/>
        <v>-0.85724720859855996</v>
      </c>
      <c r="O53" s="11"/>
      <c r="P53" s="7">
        <v>342</v>
      </c>
      <c r="Q53" s="2"/>
      <c r="R53" s="6">
        <f t="shared" si="42"/>
        <v>0</v>
      </c>
      <c r="S53" s="2"/>
      <c r="T53" s="7">
        <v>4159</v>
      </c>
      <c r="U53" s="2"/>
      <c r="V53" s="6">
        <f t="shared" si="43"/>
        <v>7.9185985584685412E-2</v>
      </c>
      <c r="W53" s="2"/>
      <c r="X53" s="7">
        <f t="shared" si="44"/>
        <v>-3817</v>
      </c>
      <c r="Y53" s="2"/>
      <c r="Z53" s="6">
        <f t="shared" si="45"/>
        <v>-0.91776869439769171</v>
      </c>
    </row>
    <row r="54" spans="1:26" s="28" customFormat="1" outlineLevel="1" collapsed="1" x14ac:dyDescent="0.25">
      <c r="A54" s="27"/>
      <c r="B54" s="14" t="str">
        <f>CONCATENATE("     ","Royalty &amp; Commissions                             ")</f>
        <v xml:space="preserve">     Royalty &amp; Commissions                             </v>
      </c>
      <c r="C54" s="14"/>
      <c r="D54" s="1">
        <f>SUM(OSRRefD22_10x_0)</f>
        <v>0</v>
      </c>
      <c r="E54" s="1"/>
      <c r="F54" s="5">
        <f t="shared" ref="F54:F59" si="46">IF(D$12=0,0,D54/D$12)</f>
        <v>0</v>
      </c>
      <c r="G54" s="1"/>
      <c r="H54" s="1">
        <f>SUM(OSRRefH22_10x_0)</f>
        <v>5972.96</v>
      </c>
      <c r="I54" s="1"/>
      <c r="J54" s="5">
        <f t="shared" ref="J54:J59" si="47">IF(H$12=0,0,H54/H$12)</f>
        <v>0.17355571937191763</v>
      </c>
      <c r="K54" s="1"/>
      <c r="L54" s="1">
        <f t="shared" ref="L54:L59" si="48">+D54-H54</f>
        <v>-5972.96</v>
      </c>
      <c r="M54" s="1"/>
      <c r="N54" s="5">
        <f t="shared" ref="N54:N59" si="49">IF(H54=0,0,L54/H54)</f>
        <v>-1</v>
      </c>
      <c r="O54" s="14"/>
      <c r="P54" s="1">
        <f>SUM(OSRRefP22_10x_0)</f>
        <v>0</v>
      </c>
      <c r="Q54" s="1"/>
      <c r="R54" s="5">
        <f t="shared" ref="R54:R59" si="50">IF(P$12=0,0,P54/P$12)</f>
        <v>0</v>
      </c>
      <c r="S54" s="1"/>
      <c r="T54" s="1">
        <f>SUM(OSRRefT22_10x_0)</f>
        <v>7421.52</v>
      </c>
      <c r="U54" s="1"/>
      <c r="V54" s="5">
        <f t="shared" ref="V54:V59" si="51">IF(T$12=0,0,T54/T$12)</f>
        <v>0.1413032882270869</v>
      </c>
      <c r="W54" s="1"/>
      <c r="X54" s="1">
        <f t="shared" ref="X54:X59" si="52">+P54-T54</f>
        <v>-7421.52</v>
      </c>
      <c r="Y54" s="1"/>
      <c r="Z54" s="5">
        <f t="shared" ref="Z54:Z59" si="53">IF(T54=0,0,X54/T54)</f>
        <v>-1</v>
      </c>
    </row>
    <row r="55" spans="1:26" s="24" customFormat="1" hidden="1" outlineLevel="2" x14ac:dyDescent="0.25">
      <c r="A55" s="29"/>
      <c r="B55" s="11" t="str">
        <f>CONCATENATE("          ", "6259", " - ", "ROYALTY &amp; COMMISSIONS")</f>
        <v xml:space="preserve">          6259 - ROYALTY &amp; COMMISSIONS</v>
      </c>
      <c r="C55" s="11"/>
      <c r="D55" s="7"/>
      <c r="E55" s="2"/>
      <c r="F55" s="6">
        <f t="shared" si="46"/>
        <v>0</v>
      </c>
      <c r="G55" s="2"/>
      <c r="H55" s="7">
        <v>5972.96</v>
      </c>
      <c r="I55" s="2"/>
      <c r="J55" s="6">
        <f t="shared" si="47"/>
        <v>0.17355571937191763</v>
      </c>
      <c r="K55" s="2"/>
      <c r="L55" s="7">
        <f t="shared" si="48"/>
        <v>-5972.96</v>
      </c>
      <c r="M55" s="2"/>
      <c r="N55" s="6">
        <f t="shared" si="49"/>
        <v>-1</v>
      </c>
      <c r="O55" s="11"/>
      <c r="P55" s="7"/>
      <c r="Q55" s="2"/>
      <c r="R55" s="6">
        <f t="shared" si="50"/>
        <v>0</v>
      </c>
      <c r="S55" s="2"/>
      <c r="T55" s="7">
        <v>7421.52</v>
      </c>
      <c r="U55" s="2"/>
      <c r="V55" s="6">
        <f t="shared" si="51"/>
        <v>0.1413032882270869</v>
      </c>
      <c r="W55" s="2"/>
      <c r="X55" s="7">
        <f t="shared" si="52"/>
        <v>-7421.52</v>
      </c>
      <c r="Y55" s="2"/>
      <c r="Z55" s="6">
        <f t="shared" si="53"/>
        <v>-1</v>
      </c>
    </row>
    <row r="56" spans="1:26" s="28" customFormat="1" outlineLevel="1" collapsed="1" x14ac:dyDescent="0.25">
      <c r="A56" s="27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SUM(OSRRefD22_11x_0)</f>
        <v>0</v>
      </c>
      <c r="E56" s="1"/>
      <c r="F56" s="5">
        <f t="shared" si="46"/>
        <v>0</v>
      </c>
      <c r="G56" s="1"/>
      <c r="H56" s="1">
        <f>SUM(OSRRefH22_11x_0)</f>
        <v>308.96999999999997</v>
      </c>
      <c r="I56" s="1"/>
      <c r="J56" s="5">
        <f t="shared" si="47"/>
        <v>8.9777113214120612E-3</v>
      </c>
      <c r="K56" s="1"/>
      <c r="L56" s="1">
        <f t="shared" si="48"/>
        <v>-308.96999999999997</v>
      </c>
      <c r="M56" s="1"/>
      <c r="N56" s="5">
        <f t="shared" si="49"/>
        <v>-1</v>
      </c>
      <c r="O56" s="14"/>
      <c r="P56" s="1">
        <f>SUM(OSRRefP22_11x_0)</f>
        <v>0</v>
      </c>
      <c r="Q56" s="1"/>
      <c r="R56" s="5">
        <f t="shared" si="50"/>
        <v>0</v>
      </c>
      <c r="S56" s="1"/>
      <c r="T56" s="1">
        <f>SUM(OSRRefT22_11x_0)</f>
        <v>711.93999999999994</v>
      </c>
      <c r="U56" s="1"/>
      <c r="V56" s="5">
        <f t="shared" si="51"/>
        <v>1.3555102326799934E-2</v>
      </c>
      <c r="W56" s="1"/>
      <c r="X56" s="1">
        <f t="shared" si="52"/>
        <v>-711.93999999999994</v>
      </c>
      <c r="Y56" s="1"/>
      <c r="Z56" s="5">
        <f t="shared" si="53"/>
        <v>-1</v>
      </c>
    </row>
    <row r="57" spans="1:26" s="24" customFormat="1" hidden="1" outlineLevel="2" x14ac:dyDescent="0.25">
      <c r="A57" s="29"/>
      <c r="B57" s="11" t="str">
        <f>CONCATENATE("          ", "6282", " - ", "JANITORIAL/EXTERMINATOR EXPENS")</f>
        <v xml:space="preserve">          6282 - JANITORIAL/EXTERMINATOR EXPENS</v>
      </c>
      <c r="C57" s="11"/>
      <c r="D57" s="7"/>
      <c r="E57" s="2"/>
      <c r="F57" s="6">
        <f t="shared" si="46"/>
        <v>0</v>
      </c>
      <c r="G57" s="2"/>
      <c r="H57" s="7">
        <v>96.96</v>
      </c>
      <c r="I57" s="2"/>
      <c r="J57" s="6">
        <f t="shared" si="47"/>
        <v>2.8173573153513721E-3</v>
      </c>
      <c r="K57" s="2"/>
      <c r="L57" s="7">
        <f t="shared" si="48"/>
        <v>-96.96</v>
      </c>
      <c r="M57" s="2"/>
      <c r="N57" s="6">
        <f t="shared" si="49"/>
        <v>-1</v>
      </c>
      <c r="O57" s="11"/>
      <c r="P57" s="7"/>
      <c r="Q57" s="2"/>
      <c r="R57" s="6">
        <f t="shared" si="50"/>
        <v>0</v>
      </c>
      <c r="S57" s="2"/>
      <c r="T57" s="7">
        <v>193.92</v>
      </c>
      <c r="U57" s="2"/>
      <c r="V57" s="6">
        <f t="shared" si="51"/>
        <v>3.692172715696608E-3</v>
      </c>
      <c r="W57" s="2"/>
      <c r="X57" s="7">
        <f t="shared" si="52"/>
        <v>-193.92</v>
      </c>
      <c r="Y57" s="2"/>
      <c r="Z57" s="6">
        <f t="shared" si="53"/>
        <v>-1</v>
      </c>
    </row>
    <row r="58" spans="1:26" s="24" customFormat="1" hidden="1" outlineLevel="2" x14ac:dyDescent="0.25">
      <c r="A58" s="29"/>
      <c r="B58" s="11" t="str">
        <f>CONCATENATE("          ", "6284", " - ", "TRASH REMOVAL EXPENSE")</f>
        <v xml:space="preserve">          6284 - TRASH REMOVAL EXPENSE</v>
      </c>
      <c r="C58" s="11"/>
      <c r="D58" s="7"/>
      <c r="E58" s="2"/>
      <c r="F58" s="6">
        <f t="shared" si="46"/>
        <v>0</v>
      </c>
      <c r="G58" s="2"/>
      <c r="H58" s="7"/>
      <c r="I58" s="2"/>
      <c r="J58" s="6">
        <f t="shared" si="47"/>
        <v>0</v>
      </c>
      <c r="K58" s="2"/>
      <c r="L58" s="7">
        <f t="shared" si="48"/>
        <v>0</v>
      </c>
      <c r="M58" s="2"/>
      <c r="N58" s="6">
        <f t="shared" si="49"/>
        <v>0</v>
      </c>
      <c r="O58" s="11"/>
      <c r="P58" s="7"/>
      <c r="Q58" s="2"/>
      <c r="R58" s="6">
        <f t="shared" si="50"/>
        <v>0</v>
      </c>
      <c r="S58" s="2"/>
      <c r="T58" s="7">
        <v>94</v>
      </c>
      <c r="U58" s="2"/>
      <c r="V58" s="6">
        <f t="shared" si="51"/>
        <v>1.7897289360328031E-3</v>
      </c>
      <c r="W58" s="2"/>
      <c r="X58" s="7">
        <f t="shared" si="52"/>
        <v>-94</v>
      </c>
      <c r="Y58" s="2"/>
      <c r="Z58" s="6">
        <f t="shared" si="53"/>
        <v>-1</v>
      </c>
    </row>
    <row r="59" spans="1:26" s="24" customFormat="1" hidden="1" outlineLevel="2" x14ac:dyDescent="0.25">
      <c r="A59" s="29"/>
      <c r="B59" s="11" t="str">
        <f>CONCATENATE("          ", "6286", " - ", "LAUNDRY EXPENSE")</f>
        <v xml:space="preserve">          6286 - LAUNDRY EXPENSE</v>
      </c>
      <c r="C59" s="11"/>
      <c r="D59" s="7"/>
      <c r="E59" s="2"/>
      <c r="F59" s="6">
        <f t="shared" si="46"/>
        <v>0</v>
      </c>
      <c r="G59" s="2"/>
      <c r="H59" s="7">
        <v>212.01</v>
      </c>
      <c r="I59" s="2"/>
      <c r="J59" s="6">
        <f t="shared" si="47"/>
        <v>6.1603540060606891E-3</v>
      </c>
      <c r="K59" s="2"/>
      <c r="L59" s="7">
        <f t="shared" si="48"/>
        <v>-212.01</v>
      </c>
      <c r="M59" s="2"/>
      <c r="N59" s="6">
        <f t="shared" si="49"/>
        <v>-1</v>
      </c>
      <c r="O59" s="11"/>
      <c r="P59" s="7"/>
      <c r="Q59" s="2"/>
      <c r="R59" s="6">
        <f t="shared" si="50"/>
        <v>0</v>
      </c>
      <c r="S59" s="2"/>
      <c r="T59" s="7">
        <v>424.02</v>
      </c>
      <c r="U59" s="2"/>
      <c r="V59" s="6">
        <f t="shared" si="51"/>
        <v>8.0732006750705229E-3</v>
      </c>
      <c r="W59" s="2"/>
      <c r="X59" s="7">
        <f t="shared" si="52"/>
        <v>-424.02</v>
      </c>
      <c r="Y59" s="2"/>
      <c r="Z59" s="6">
        <f t="shared" si="53"/>
        <v>-1</v>
      </c>
    </row>
    <row r="60" spans="1:26" s="28" customFormat="1" outlineLevel="1" collapsed="1" x14ac:dyDescent="0.25">
      <c r="A60" s="27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1">
        <f>SUM(OSRRefD22_12x_0)</f>
        <v>0</v>
      </c>
      <c r="E60" s="1"/>
      <c r="F60" s="5">
        <f t="shared" ref="F60:F69" si="54">IF(D$12=0,0,D60/D$12)</f>
        <v>0</v>
      </c>
      <c r="G60" s="1"/>
      <c r="H60" s="1">
        <f>SUM(OSRRefH22_12x_0)</f>
        <v>30.68</v>
      </c>
      <c r="I60" s="1"/>
      <c r="J60" s="5">
        <f t="shared" ref="J60:J69" si="55">IF(H$12=0,0,H60/H$12)</f>
        <v>8.9146578418915125E-4</v>
      </c>
      <c r="K60" s="1"/>
      <c r="L60" s="1">
        <f t="shared" ref="L60:L69" si="56">+D60-H60</f>
        <v>-30.68</v>
      </c>
      <c r="M60" s="1"/>
      <c r="N60" s="5">
        <f t="shared" ref="N60:N69" si="57">IF(H60=0,0,L60/H60)</f>
        <v>-1</v>
      </c>
      <c r="O60" s="14"/>
      <c r="P60" s="1">
        <f>SUM(OSRRefP22_12x_0)</f>
        <v>0</v>
      </c>
      <c r="Q60" s="1"/>
      <c r="R60" s="5">
        <f t="shared" ref="R60:R69" si="58">IF(P$12=0,0,P60/P$12)</f>
        <v>0</v>
      </c>
      <c r="S60" s="1"/>
      <c r="T60" s="1">
        <f>SUM(OSRRefT22_12x_0)</f>
        <v>30.68</v>
      </c>
      <c r="U60" s="1"/>
      <c r="V60" s="5">
        <f t="shared" ref="V60:V69" si="59">IF(T$12=0,0,T60/T$12)</f>
        <v>5.8413706124985532E-4</v>
      </c>
      <c r="W60" s="1"/>
      <c r="X60" s="1">
        <f t="shared" ref="X60:X69" si="60">+P60-T60</f>
        <v>-30.68</v>
      </c>
      <c r="Y60" s="1"/>
      <c r="Z60" s="5">
        <f t="shared" ref="Z60:Z69" si="61">IF(T60=0,0,X60/T60)</f>
        <v>-1</v>
      </c>
    </row>
    <row r="61" spans="1:26" s="24" customFormat="1" hidden="1" outlineLevel="2" x14ac:dyDescent="0.25">
      <c r="A61" s="29"/>
      <c r="B61" s="11" t="str">
        <f>CONCATENATE("          ", "6275", " - ", "SUBSCRIPTIONS")</f>
        <v xml:space="preserve">          6275 - SUBSCRIPTIONS</v>
      </c>
      <c r="C61" s="11"/>
      <c r="D61" s="7"/>
      <c r="E61" s="2"/>
      <c r="F61" s="6">
        <f t="shared" si="54"/>
        <v>0</v>
      </c>
      <c r="G61" s="2"/>
      <c r="H61" s="7">
        <v>30.68</v>
      </c>
      <c r="I61" s="2"/>
      <c r="J61" s="6">
        <f t="shared" si="55"/>
        <v>8.9146578418915125E-4</v>
      </c>
      <c r="K61" s="2"/>
      <c r="L61" s="7">
        <f t="shared" si="56"/>
        <v>-30.68</v>
      </c>
      <c r="M61" s="2"/>
      <c r="N61" s="6">
        <f t="shared" si="57"/>
        <v>-1</v>
      </c>
      <c r="O61" s="11"/>
      <c r="P61" s="7"/>
      <c r="Q61" s="2"/>
      <c r="R61" s="6">
        <f t="shared" si="58"/>
        <v>0</v>
      </c>
      <c r="S61" s="2"/>
      <c r="T61" s="7">
        <v>30.68</v>
      </c>
      <c r="U61" s="2"/>
      <c r="V61" s="6">
        <f t="shared" si="59"/>
        <v>5.8413706124985532E-4</v>
      </c>
      <c r="W61" s="2"/>
      <c r="X61" s="7">
        <f t="shared" si="60"/>
        <v>-30.68</v>
      </c>
      <c r="Y61" s="2"/>
      <c r="Z61" s="6">
        <f t="shared" si="61"/>
        <v>-1</v>
      </c>
    </row>
    <row r="62" spans="1:26" s="28" customFormat="1" outlineLevel="1" collapsed="1" x14ac:dyDescent="0.25">
      <c r="A62" s="27"/>
      <c r="B62" s="14" t="str">
        <f>CONCATENATE("     ","Supplies                                          ")</f>
        <v xml:space="preserve">     Supplies                                          </v>
      </c>
      <c r="C62" s="14"/>
      <c r="D62" s="1">
        <f>SUM(OSRRefD22_13x_0)</f>
        <v>0</v>
      </c>
      <c r="E62" s="1"/>
      <c r="F62" s="5">
        <f t="shared" si="54"/>
        <v>0</v>
      </c>
      <c r="G62" s="1"/>
      <c r="H62" s="1">
        <f>SUM(OSRRefH22_13x_0)</f>
        <v>283.38</v>
      </c>
      <c r="I62" s="1"/>
      <c r="J62" s="5">
        <f t="shared" si="55"/>
        <v>8.2341451735176551E-3</v>
      </c>
      <c r="K62" s="1"/>
      <c r="L62" s="1">
        <f t="shared" si="56"/>
        <v>-283.38</v>
      </c>
      <c r="M62" s="1"/>
      <c r="N62" s="5">
        <f t="shared" si="57"/>
        <v>-1</v>
      </c>
      <c r="O62" s="14"/>
      <c r="P62" s="1">
        <f>SUM(OSRRefP22_13x_0)</f>
        <v>0</v>
      </c>
      <c r="Q62" s="1"/>
      <c r="R62" s="5">
        <f t="shared" si="58"/>
        <v>0</v>
      </c>
      <c r="S62" s="1"/>
      <c r="T62" s="1">
        <f>SUM(OSRRefT22_13x_0)</f>
        <v>3791.1099999999992</v>
      </c>
      <c r="U62" s="1"/>
      <c r="V62" s="5">
        <f t="shared" si="59"/>
        <v>7.2181481560460836E-2</v>
      </c>
      <c r="W62" s="1"/>
      <c r="X62" s="1">
        <f t="shared" si="60"/>
        <v>-3791.1099999999992</v>
      </c>
      <c r="Y62" s="1"/>
      <c r="Z62" s="5">
        <f t="shared" si="61"/>
        <v>-1</v>
      </c>
    </row>
    <row r="63" spans="1:26" s="24" customFormat="1" hidden="1" outlineLevel="2" x14ac:dyDescent="0.25">
      <c r="A63" s="29"/>
      <c r="B63" s="11" t="str">
        <f>CONCATENATE("          ", "6237", " - ", "JANITORIAL SUPPLIES")</f>
        <v xml:space="preserve">          6237 - JANITORIAL SUPPLIES</v>
      </c>
      <c r="C63" s="11"/>
      <c r="D63" s="7"/>
      <c r="E63" s="2"/>
      <c r="F63" s="6">
        <f t="shared" si="54"/>
        <v>0</v>
      </c>
      <c r="G63" s="2"/>
      <c r="H63" s="7">
        <v>182.63</v>
      </c>
      <c r="I63" s="2"/>
      <c r="J63" s="6">
        <f t="shared" si="55"/>
        <v>5.3066621957778585E-3</v>
      </c>
      <c r="K63" s="2"/>
      <c r="L63" s="7">
        <f t="shared" si="56"/>
        <v>-182.63</v>
      </c>
      <c r="M63" s="2"/>
      <c r="N63" s="6">
        <f t="shared" si="57"/>
        <v>-1</v>
      </c>
      <c r="O63" s="11"/>
      <c r="P63" s="7"/>
      <c r="Q63" s="2"/>
      <c r="R63" s="6">
        <f t="shared" si="58"/>
        <v>0</v>
      </c>
      <c r="S63" s="2"/>
      <c r="T63" s="7">
        <v>323.97000000000003</v>
      </c>
      <c r="U63" s="2"/>
      <c r="V63" s="6">
        <f t="shared" si="59"/>
        <v>6.1682817383675245E-3</v>
      </c>
      <c r="W63" s="2"/>
      <c r="X63" s="7">
        <f t="shared" si="60"/>
        <v>-323.97000000000003</v>
      </c>
      <c r="Y63" s="2"/>
      <c r="Z63" s="6">
        <f t="shared" si="61"/>
        <v>-1</v>
      </c>
    </row>
    <row r="64" spans="1:26" s="24" customFormat="1" hidden="1" outlineLevel="2" x14ac:dyDescent="0.25">
      <c r="A64" s="29"/>
      <c r="B64" s="11" t="str">
        <f>CONCATENATE("          ", "6239", " - ", "KITCHEN SUPPLIES")</f>
        <v xml:space="preserve">          6239 - KITCHEN SUPPLIES</v>
      </c>
      <c r="C64" s="11"/>
      <c r="D64" s="7"/>
      <c r="E64" s="2"/>
      <c r="F64" s="6">
        <f t="shared" si="54"/>
        <v>0</v>
      </c>
      <c r="G64" s="2"/>
      <c r="H64" s="7">
        <v>27.67</v>
      </c>
      <c r="I64" s="2"/>
      <c r="J64" s="6">
        <f t="shared" si="55"/>
        <v>8.040045061445181E-4</v>
      </c>
      <c r="K64" s="2"/>
      <c r="L64" s="7">
        <f t="shared" si="56"/>
        <v>-27.67</v>
      </c>
      <c r="M64" s="2"/>
      <c r="N64" s="6">
        <f t="shared" si="57"/>
        <v>-1</v>
      </c>
      <c r="O64" s="11"/>
      <c r="P64" s="7"/>
      <c r="Q64" s="2"/>
      <c r="R64" s="6">
        <f t="shared" si="58"/>
        <v>0</v>
      </c>
      <c r="S64" s="2"/>
      <c r="T64" s="7">
        <v>2167.9699999999998</v>
      </c>
      <c r="U64" s="2"/>
      <c r="V64" s="6">
        <f t="shared" si="59"/>
        <v>4.1277432355862086E-2</v>
      </c>
      <c r="W64" s="2"/>
      <c r="X64" s="7">
        <f t="shared" si="60"/>
        <v>-2167.9699999999998</v>
      </c>
      <c r="Y64" s="2"/>
      <c r="Z64" s="6">
        <f t="shared" si="61"/>
        <v>-1</v>
      </c>
    </row>
    <row r="65" spans="1:26" s="24" customFormat="1" hidden="1" outlineLevel="2" x14ac:dyDescent="0.25">
      <c r="A65" s="29"/>
      <c r="B65" s="11" t="str">
        <f>CONCATENATE("          ", "6241", " - ", "OFFICE EXPENSE")</f>
        <v xml:space="preserve">          6241 - OFFICE EXPENSE</v>
      </c>
      <c r="C65" s="11"/>
      <c r="D65" s="7"/>
      <c r="E65" s="2"/>
      <c r="F65" s="6">
        <f t="shared" si="54"/>
        <v>0</v>
      </c>
      <c r="G65" s="2"/>
      <c r="H65" s="7">
        <v>62</v>
      </c>
      <c r="I65" s="2"/>
      <c r="J65" s="6">
        <f t="shared" si="55"/>
        <v>1.8015279863014138E-3</v>
      </c>
      <c r="K65" s="2"/>
      <c r="L65" s="7">
        <f t="shared" si="56"/>
        <v>-62</v>
      </c>
      <c r="M65" s="2"/>
      <c r="N65" s="6">
        <f t="shared" si="57"/>
        <v>-1</v>
      </c>
      <c r="O65" s="11"/>
      <c r="P65" s="7"/>
      <c r="Q65" s="2"/>
      <c r="R65" s="6">
        <f t="shared" si="58"/>
        <v>0</v>
      </c>
      <c r="S65" s="2"/>
      <c r="T65" s="7">
        <v>185.87</v>
      </c>
      <c r="U65" s="2"/>
      <c r="V65" s="6">
        <f t="shared" si="59"/>
        <v>3.5389033759618844E-3</v>
      </c>
      <c r="W65" s="2"/>
      <c r="X65" s="7">
        <f t="shared" si="60"/>
        <v>-185.87</v>
      </c>
      <c r="Y65" s="2"/>
      <c r="Z65" s="6">
        <f t="shared" si="61"/>
        <v>-1</v>
      </c>
    </row>
    <row r="66" spans="1:26" s="24" customFormat="1" hidden="1" outlineLevel="2" x14ac:dyDescent="0.25">
      <c r="A66" s="29"/>
      <c r="B66" s="11" t="str">
        <f>CONCATENATE("          ", "6243", " - ", "PAPER SUPPLIES")</f>
        <v xml:space="preserve">          6243 - PAPER SUPPLIES</v>
      </c>
      <c r="C66" s="11"/>
      <c r="D66" s="7"/>
      <c r="E66" s="2"/>
      <c r="F66" s="6">
        <f t="shared" si="54"/>
        <v>0</v>
      </c>
      <c r="G66" s="2"/>
      <c r="H66" s="7">
        <v>964.28</v>
      </c>
      <c r="I66" s="2"/>
      <c r="J66" s="6">
        <f t="shared" si="55"/>
        <v>2.8018990429527858E-2</v>
      </c>
      <c r="K66" s="2"/>
      <c r="L66" s="7">
        <f t="shared" si="56"/>
        <v>-964.28</v>
      </c>
      <c r="M66" s="2"/>
      <c r="N66" s="6">
        <f t="shared" si="57"/>
        <v>-1</v>
      </c>
      <c r="O66" s="11"/>
      <c r="P66" s="7"/>
      <c r="Q66" s="2"/>
      <c r="R66" s="6">
        <f t="shared" si="58"/>
        <v>0</v>
      </c>
      <c r="S66" s="2"/>
      <c r="T66" s="7">
        <v>2043.49</v>
      </c>
      <c r="U66" s="2"/>
      <c r="V66" s="6">
        <f t="shared" si="59"/>
        <v>3.8907374292485884E-2</v>
      </c>
      <c r="W66" s="2"/>
      <c r="X66" s="7">
        <f t="shared" si="60"/>
        <v>-2043.49</v>
      </c>
      <c r="Y66" s="2"/>
      <c r="Z66" s="6">
        <f t="shared" si="61"/>
        <v>-1</v>
      </c>
    </row>
    <row r="67" spans="1:26" s="24" customFormat="1" hidden="1" outlineLevel="2" x14ac:dyDescent="0.25">
      <c r="A67" s="29"/>
      <c r="B67" s="11" t="str">
        <f>CONCATENATE("          ", "6245", " - ", "PRINTING")</f>
        <v xml:space="preserve">          6245 - PRINTING</v>
      </c>
      <c r="C67" s="11"/>
      <c r="D67" s="7"/>
      <c r="E67" s="2"/>
      <c r="F67" s="6">
        <f t="shared" si="54"/>
        <v>0</v>
      </c>
      <c r="G67" s="2"/>
      <c r="H67" s="7"/>
      <c r="I67" s="2"/>
      <c r="J67" s="6">
        <f t="shared" si="55"/>
        <v>0</v>
      </c>
      <c r="K67" s="2"/>
      <c r="L67" s="7">
        <f t="shared" si="56"/>
        <v>0</v>
      </c>
      <c r="M67" s="2"/>
      <c r="N67" s="6">
        <f t="shared" si="57"/>
        <v>0</v>
      </c>
      <c r="O67" s="11"/>
      <c r="P67" s="7"/>
      <c r="Q67" s="2"/>
      <c r="R67" s="6">
        <f t="shared" si="58"/>
        <v>0</v>
      </c>
      <c r="S67" s="2"/>
      <c r="T67" s="7">
        <v>23.01</v>
      </c>
      <c r="U67" s="2"/>
      <c r="V67" s="6">
        <f t="shared" si="59"/>
        <v>4.3810279593739152E-4</v>
      </c>
      <c r="W67" s="2"/>
      <c r="X67" s="7">
        <f t="shared" si="60"/>
        <v>-23.01</v>
      </c>
      <c r="Y67" s="2"/>
      <c r="Z67" s="6">
        <f t="shared" si="61"/>
        <v>-1</v>
      </c>
    </row>
    <row r="68" spans="1:26" s="24" customFormat="1" hidden="1" outlineLevel="2" x14ac:dyDescent="0.25">
      <c r="A68" s="29"/>
      <c r="B68" s="11" t="str">
        <f>CONCATENATE("          ", "6247", " - ", "STORE SUPPLIES")</f>
        <v xml:space="preserve">          6247 - STORE SUPPLIES</v>
      </c>
      <c r="C68" s="11"/>
      <c r="D68" s="7"/>
      <c r="E68" s="2"/>
      <c r="F68" s="6">
        <f t="shared" si="54"/>
        <v>0</v>
      </c>
      <c r="G68" s="2"/>
      <c r="H68" s="7">
        <v>-970.8</v>
      </c>
      <c r="I68" s="2"/>
      <c r="J68" s="6">
        <f t="shared" si="55"/>
        <v>-2.8208441437119557E-2</v>
      </c>
      <c r="K68" s="2"/>
      <c r="L68" s="7">
        <f t="shared" si="56"/>
        <v>970.8</v>
      </c>
      <c r="M68" s="2"/>
      <c r="N68" s="6">
        <f t="shared" si="57"/>
        <v>-1</v>
      </c>
      <c r="O68" s="11"/>
      <c r="P68" s="7"/>
      <c r="Q68" s="2"/>
      <c r="R68" s="6">
        <f t="shared" si="58"/>
        <v>0</v>
      </c>
      <c r="S68" s="2"/>
      <c r="T68" s="7">
        <v>-970.8</v>
      </c>
      <c r="U68" s="2"/>
      <c r="V68" s="6">
        <f t="shared" si="59"/>
        <v>-1.8483711181921759E-2</v>
      </c>
      <c r="W68" s="2"/>
      <c r="X68" s="7">
        <f t="shared" si="60"/>
        <v>970.8</v>
      </c>
      <c r="Y68" s="2"/>
      <c r="Z68" s="6">
        <f t="shared" si="61"/>
        <v>-1</v>
      </c>
    </row>
    <row r="69" spans="1:26" s="24" customFormat="1" hidden="1" outlineLevel="2" x14ac:dyDescent="0.25">
      <c r="A69" s="29"/>
      <c r="B69" s="11" t="str">
        <f>CONCATENATE("          ", "6248", " - ", "UNIFORMS")</f>
        <v xml:space="preserve">          6248 - UNIFORMS</v>
      </c>
      <c r="C69" s="11"/>
      <c r="D69" s="7"/>
      <c r="E69" s="2"/>
      <c r="F69" s="6">
        <f t="shared" si="54"/>
        <v>0</v>
      </c>
      <c r="G69" s="2"/>
      <c r="H69" s="7">
        <v>17.600000000000001</v>
      </c>
      <c r="I69" s="2"/>
      <c r="J69" s="6">
        <f t="shared" si="55"/>
        <v>5.1140149288556264E-4</v>
      </c>
      <c r="K69" s="2"/>
      <c r="L69" s="7">
        <f t="shared" si="56"/>
        <v>-17.600000000000001</v>
      </c>
      <c r="M69" s="2"/>
      <c r="N69" s="6">
        <f t="shared" si="57"/>
        <v>-1</v>
      </c>
      <c r="O69" s="11"/>
      <c r="P69" s="7"/>
      <c r="Q69" s="2"/>
      <c r="R69" s="6">
        <f t="shared" si="58"/>
        <v>0</v>
      </c>
      <c r="S69" s="2"/>
      <c r="T69" s="7">
        <v>17.600000000000001</v>
      </c>
      <c r="U69" s="2"/>
      <c r="V69" s="6">
        <f t="shared" si="59"/>
        <v>3.3509818376784402E-4</v>
      </c>
      <c r="W69" s="2"/>
      <c r="X69" s="7">
        <f t="shared" si="60"/>
        <v>-17.600000000000001</v>
      </c>
      <c r="Y69" s="2"/>
      <c r="Z69" s="6">
        <f t="shared" si="61"/>
        <v>-1</v>
      </c>
    </row>
    <row r="70" spans="1:26" s="28" customFormat="1" outlineLevel="1" collapsed="1" x14ac:dyDescent="0.25">
      <c r="A70" s="27"/>
      <c r="B70" s="14" t="str">
        <f>CONCATENATE("     ","Telephone/Data Lines                              ")</f>
        <v xml:space="preserve">     Telephone/Data Lines                              </v>
      </c>
      <c r="C70" s="14"/>
      <c r="D70" s="1">
        <f>SUM(OSRRefD22_14x_0)</f>
        <v>46</v>
      </c>
      <c r="E70" s="1"/>
      <c r="F70" s="5">
        <f t="shared" ref="F70:F75" si="62">IF(D$12=0,0,D70/D$12)</f>
        <v>0</v>
      </c>
      <c r="G70" s="1"/>
      <c r="H70" s="1">
        <f>SUM(OSRRefH22_14x_0)</f>
        <v>89.9</v>
      </c>
      <c r="I70" s="1"/>
      <c r="J70" s="5">
        <f t="shared" ref="J70:J75" si="63">IF(H$12=0,0,H70/H$12)</f>
        <v>2.6122155801370501E-3</v>
      </c>
      <c r="K70" s="1"/>
      <c r="L70" s="1">
        <f t="shared" ref="L70:L75" si="64">+D70-H70</f>
        <v>-43.900000000000006</v>
      </c>
      <c r="M70" s="1"/>
      <c r="N70" s="5">
        <f t="shared" ref="N70:N75" si="65">IF(H70=0,0,L70/H70)</f>
        <v>-0.48832035595105677</v>
      </c>
      <c r="O70" s="14"/>
      <c r="P70" s="1">
        <f>SUM(OSRRefP22_14x_0)</f>
        <v>69</v>
      </c>
      <c r="Q70" s="1"/>
      <c r="R70" s="5">
        <f t="shared" ref="R70:R75" si="66">IF(P$12=0,0,P70/P$12)</f>
        <v>0</v>
      </c>
      <c r="S70" s="1"/>
      <c r="T70" s="1">
        <f>SUM(OSRRefT22_14x_0)</f>
        <v>167.95</v>
      </c>
      <c r="U70" s="1"/>
      <c r="V70" s="5">
        <f t="shared" ref="V70:V75" si="67">IF(T$12=0,0,T70/T$12)</f>
        <v>3.1977124979437155E-3</v>
      </c>
      <c r="W70" s="1"/>
      <c r="X70" s="1">
        <f t="shared" ref="X70:X75" si="68">+P70-T70</f>
        <v>-98.949999999999989</v>
      </c>
      <c r="Y70" s="1"/>
      <c r="Z70" s="5">
        <f t="shared" ref="Z70:Z75" si="69">IF(T70=0,0,X70/T70)</f>
        <v>-0.58916344150044653</v>
      </c>
    </row>
    <row r="71" spans="1:26" s="24" customFormat="1" hidden="1" outlineLevel="2" x14ac:dyDescent="0.25">
      <c r="A71" s="29"/>
      <c r="B71" s="11" t="str">
        <f>CONCATENATE("          ", "6309", " - ", "TELEPHONE")</f>
        <v xml:space="preserve">          6309 - TELEPHONE</v>
      </c>
      <c r="C71" s="11"/>
      <c r="D71" s="7">
        <v>46</v>
      </c>
      <c r="E71" s="2"/>
      <c r="F71" s="6">
        <f t="shared" si="62"/>
        <v>0</v>
      </c>
      <c r="G71" s="2"/>
      <c r="H71" s="7">
        <v>89.9</v>
      </c>
      <c r="I71" s="2"/>
      <c r="J71" s="6">
        <f t="shared" si="63"/>
        <v>2.6122155801370501E-3</v>
      </c>
      <c r="K71" s="2"/>
      <c r="L71" s="7">
        <f t="shared" si="64"/>
        <v>-43.900000000000006</v>
      </c>
      <c r="M71" s="2"/>
      <c r="N71" s="6">
        <f t="shared" si="65"/>
        <v>-0.48832035595105677</v>
      </c>
      <c r="O71" s="11"/>
      <c r="P71" s="7">
        <v>69</v>
      </c>
      <c r="Q71" s="2"/>
      <c r="R71" s="6">
        <f t="shared" si="66"/>
        <v>0</v>
      </c>
      <c r="S71" s="2"/>
      <c r="T71" s="7">
        <v>167.95</v>
      </c>
      <c r="U71" s="2"/>
      <c r="V71" s="6">
        <f t="shared" si="67"/>
        <v>3.1977124979437155E-3</v>
      </c>
      <c r="W71" s="2"/>
      <c r="X71" s="7">
        <f t="shared" si="68"/>
        <v>-98.949999999999989</v>
      </c>
      <c r="Y71" s="2"/>
      <c r="Z71" s="6">
        <f t="shared" si="69"/>
        <v>-0.58916344150044653</v>
      </c>
    </row>
    <row r="72" spans="1:26" s="28" customFormat="1" outlineLevel="1" collapsed="1" x14ac:dyDescent="0.25">
      <c r="A72" s="27"/>
      <c r="B72" s="14" t="str">
        <f>CONCATENATE("     ","Training                                          ")</f>
        <v xml:space="preserve">     Training                                          </v>
      </c>
      <c r="C72" s="14"/>
      <c r="D72" s="1">
        <f>SUM(OSRRefD22_15x_0)</f>
        <v>0</v>
      </c>
      <c r="E72" s="1"/>
      <c r="F72" s="5">
        <f t="shared" si="62"/>
        <v>0</v>
      </c>
      <c r="G72" s="1"/>
      <c r="H72" s="1">
        <f>SUM(OSRRefH22_15x_0)</f>
        <v>0</v>
      </c>
      <c r="I72" s="1"/>
      <c r="J72" s="5">
        <f t="shared" si="63"/>
        <v>0</v>
      </c>
      <c r="K72" s="1"/>
      <c r="L72" s="1">
        <f t="shared" si="64"/>
        <v>0</v>
      </c>
      <c r="M72" s="1"/>
      <c r="N72" s="5">
        <f t="shared" si="65"/>
        <v>0</v>
      </c>
      <c r="O72" s="14"/>
      <c r="P72" s="1">
        <f>SUM(OSRRefP22_15x_0)</f>
        <v>0</v>
      </c>
      <c r="Q72" s="1"/>
      <c r="R72" s="5">
        <f t="shared" si="66"/>
        <v>0</v>
      </c>
      <c r="S72" s="1"/>
      <c r="T72" s="1">
        <f>SUM(OSRRefT22_15x_0)</f>
        <v>237.95</v>
      </c>
      <c r="U72" s="1"/>
      <c r="V72" s="5">
        <f t="shared" si="67"/>
        <v>4.5304893652021857E-3</v>
      </c>
      <c r="W72" s="1"/>
      <c r="X72" s="1">
        <f t="shared" si="68"/>
        <v>-237.95</v>
      </c>
      <c r="Y72" s="1"/>
      <c r="Z72" s="5">
        <f t="shared" si="69"/>
        <v>-1</v>
      </c>
    </row>
    <row r="73" spans="1:26" s="24" customFormat="1" hidden="1" outlineLevel="2" x14ac:dyDescent="0.25">
      <c r="A73" s="29"/>
      <c r="B73" s="11" t="str">
        <f>CONCATENATE("          ", "6376", " - ", "TRAINING")</f>
        <v xml:space="preserve">          6376 - TRAINING</v>
      </c>
      <c r="C73" s="11"/>
      <c r="D73" s="7"/>
      <c r="E73" s="2"/>
      <c r="F73" s="6">
        <f t="shared" si="62"/>
        <v>0</v>
      </c>
      <c r="G73" s="2"/>
      <c r="H73" s="7"/>
      <c r="I73" s="2"/>
      <c r="J73" s="6">
        <f t="shared" si="63"/>
        <v>0</v>
      </c>
      <c r="K73" s="2"/>
      <c r="L73" s="7">
        <f t="shared" si="64"/>
        <v>0</v>
      </c>
      <c r="M73" s="2"/>
      <c r="N73" s="6">
        <f t="shared" si="65"/>
        <v>0</v>
      </c>
      <c r="O73" s="11"/>
      <c r="P73" s="7"/>
      <c r="Q73" s="2"/>
      <c r="R73" s="6">
        <f t="shared" si="66"/>
        <v>0</v>
      </c>
      <c r="S73" s="2"/>
      <c r="T73" s="7">
        <v>237.95</v>
      </c>
      <c r="U73" s="2"/>
      <c r="V73" s="6">
        <f t="shared" si="67"/>
        <v>4.5304893652021857E-3</v>
      </c>
      <c r="W73" s="2"/>
      <c r="X73" s="7">
        <f t="shared" si="68"/>
        <v>-237.95</v>
      </c>
      <c r="Y73" s="2"/>
      <c r="Z73" s="6">
        <f t="shared" si="69"/>
        <v>-1</v>
      </c>
    </row>
    <row r="74" spans="1:26" s="28" customFormat="1" outlineLevel="1" collapsed="1" x14ac:dyDescent="0.25">
      <c r="A74" s="27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SUM(OSRRefD22_16x_0)</f>
        <v>0</v>
      </c>
      <c r="E74" s="1"/>
      <c r="F74" s="5">
        <f t="shared" si="62"/>
        <v>0</v>
      </c>
      <c r="G74" s="1"/>
      <c r="H74" s="1">
        <f>SUM(OSRRefH22_16x_0)</f>
        <v>0</v>
      </c>
      <c r="I74" s="1"/>
      <c r="J74" s="5">
        <f t="shared" si="63"/>
        <v>0</v>
      </c>
      <c r="K74" s="1"/>
      <c r="L74" s="1">
        <f t="shared" si="64"/>
        <v>0</v>
      </c>
      <c r="M74" s="1"/>
      <c r="N74" s="5">
        <f t="shared" si="65"/>
        <v>0</v>
      </c>
      <c r="O74" s="14"/>
      <c r="P74" s="1">
        <f>SUM(OSRRefP22_16x_0)</f>
        <v>0</v>
      </c>
      <c r="Q74" s="1"/>
      <c r="R74" s="5">
        <f t="shared" si="66"/>
        <v>0</v>
      </c>
      <c r="S74" s="1"/>
      <c r="T74" s="1">
        <f>SUM(OSRRefT22_16x_0)</f>
        <v>306</v>
      </c>
      <c r="U74" s="1"/>
      <c r="V74" s="5">
        <f t="shared" si="67"/>
        <v>5.8261388768727418E-3</v>
      </c>
      <c r="W74" s="1"/>
      <c r="X74" s="1">
        <f t="shared" si="68"/>
        <v>-306</v>
      </c>
      <c r="Y74" s="1"/>
      <c r="Z74" s="5">
        <f t="shared" si="69"/>
        <v>-1</v>
      </c>
    </row>
    <row r="75" spans="1:26" s="24" customFormat="1" hidden="1" outlineLevel="2" x14ac:dyDescent="0.25">
      <c r="A75" s="29"/>
      <c r="B75" s="11" t="str">
        <f>CONCATENATE("          ", "6274", " - ", "UTILITIES")</f>
        <v xml:space="preserve">          6274 - UTILITIES</v>
      </c>
      <c r="C75" s="11"/>
      <c r="D75" s="7"/>
      <c r="E75" s="2"/>
      <c r="F75" s="6">
        <f t="shared" si="62"/>
        <v>0</v>
      </c>
      <c r="G75" s="2"/>
      <c r="H75" s="7"/>
      <c r="I75" s="2"/>
      <c r="J75" s="6">
        <f t="shared" si="63"/>
        <v>0</v>
      </c>
      <c r="K75" s="2"/>
      <c r="L75" s="7">
        <f t="shared" si="64"/>
        <v>0</v>
      </c>
      <c r="M75" s="2"/>
      <c r="N75" s="6">
        <f t="shared" si="65"/>
        <v>0</v>
      </c>
      <c r="O75" s="11"/>
      <c r="P75" s="7"/>
      <c r="Q75" s="2"/>
      <c r="R75" s="6">
        <f t="shared" si="66"/>
        <v>0</v>
      </c>
      <c r="S75" s="2"/>
      <c r="T75" s="7">
        <v>306</v>
      </c>
      <c r="U75" s="2"/>
      <c r="V75" s="6">
        <f t="shared" si="67"/>
        <v>5.8261388768727418E-3</v>
      </c>
      <c r="W75" s="2"/>
      <c r="X75" s="7">
        <f t="shared" si="68"/>
        <v>-306</v>
      </c>
      <c r="Y75" s="2"/>
      <c r="Z75" s="6">
        <f t="shared" si="69"/>
        <v>-1</v>
      </c>
    </row>
    <row r="76" spans="1:26" s="52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25">
      <c r="A77" s="10"/>
      <c r="B77" s="25" t="s">
        <v>0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25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25">
      <c r="A79" s="10"/>
      <c r="B79" s="26" t="s">
        <v>3</v>
      </c>
      <c r="C79" s="26"/>
      <c r="D79" s="22">
        <f>+D20-D22+D77</f>
        <v>-4682.1000000000004</v>
      </c>
      <c r="E79" s="13"/>
      <c r="F79" s="21">
        <f>IF(D$12=0,0,D79/D$12)</f>
        <v>0</v>
      </c>
      <c r="G79" s="13"/>
      <c r="H79" s="22">
        <f>+H20-H22+H77</f>
        <v>-21373.059999999998</v>
      </c>
      <c r="I79" s="13"/>
      <c r="J79" s="21">
        <f>IF(H$12=0,0,H79/H$12)</f>
        <v>-0.62103493133708532</v>
      </c>
      <c r="K79" s="16"/>
      <c r="L79" s="22">
        <f>+D79-H79</f>
        <v>16690.96</v>
      </c>
      <c r="M79" s="16"/>
      <c r="N79" s="21">
        <f>IF(H79=0,0,L79/H79)</f>
        <v>-0.78093450352920923</v>
      </c>
      <c r="O79" s="25"/>
      <c r="P79" s="22">
        <f>+P20-P22+P77</f>
        <v>-11149.7</v>
      </c>
      <c r="Q79" s="13"/>
      <c r="R79" s="21">
        <f>IF(P$12=0,0,P79/P$12)</f>
        <v>0</v>
      </c>
      <c r="S79" s="13"/>
      <c r="T79" s="22">
        <f>+T20-T22+T77</f>
        <v>-54350.510000000009</v>
      </c>
      <c r="U79" s="13"/>
      <c r="V79" s="21">
        <f>IF(T$12=0,0,T79/T$12)</f>
        <v>-1.0348157493100025</v>
      </c>
      <c r="W79" s="16"/>
      <c r="X79" s="22">
        <f>+P79-T79</f>
        <v>43200.810000000012</v>
      </c>
      <c r="Y79" s="16"/>
      <c r="Z79" s="21">
        <f>IF(T79=0,0,X79/T79)</f>
        <v>-0.7948556508485386</v>
      </c>
    </row>
    <row r="80" spans="1:26" x14ac:dyDescent="0.25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51"/>
      <c r="B81" s="10" t="s">
        <v>13</v>
      </c>
      <c r="C81" s="10"/>
      <c r="D81" s="4"/>
      <c r="E81" s="4"/>
      <c r="F81" s="12">
        <f>IF(D$12=0,0,D81/D$12)</f>
        <v>0</v>
      </c>
      <c r="G81" s="4"/>
      <c r="H81" s="4">
        <v>2783.62</v>
      </c>
      <c r="I81" s="4"/>
      <c r="J81" s="12">
        <f>IF(H$12=0,0,H81/H$12)</f>
        <v>8.0883376342392607E-2</v>
      </c>
      <c r="K81" s="4"/>
      <c r="L81" s="4">
        <f>+D81-H81</f>
        <v>-2783.62</v>
      </c>
      <c r="M81" s="4"/>
      <c r="N81" s="12">
        <f>IF(H81=0,0,L81/H81)</f>
        <v>-1</v>
      </c>
      <c r="O81" s="10"/>
      <c r="P81" s="4"/>
      <c r="Q81" s="4"/>
      <c r="R81" s="12">
        <f>IF(P$12=0,0,P81/P$12)</f>
        <v>0</v>
      </c>
      <c r="S81" s="4"/>
      <c r="T81" s="4">
        <v>6548.53</v>
      </c>
      <c r="U81" s="4"/>
      <c r="V81" s="12">
        <f>IF(T$12=0,0,T81/T$12)</f>
        <v>0.12468184712211587</v>
      </c>
      <c r="W81" s="4"/>
      <c r="X81" s="4">
        <f>+P81-T81</f>
        <v>-6548.53</v>
      </c>
      <c r="Y81" s="4"/>
      <c r="Z81" s="12">
        <f>IF(T81=0,0,X81/T81)</f>
        <v>-1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4</v>
      </c>
      <c r="C83" s="26"/>
      <c r="D83" s="36">
        <f>+D79-D81</f>
        <v>-4682.1000000000004</v>
      </c>
      <c r="E83" s="13"/>
      <c r="F83" s="34">
        <f>IF(D$12=0,0,D83/D$12)</f>
        <v>0</v>
      </c>
      <c r="G83" s="13"/>
      <c r="H83" s="36">
        <f>+H79-H81</f>
        <v>-24156.679999999997</v>
      </c>
      <c r="I83" s="13"/>
      <c r="J83" s="34">
        <f>IF(H$12=0,0,H83/H$12)</f>
        <v>-0.70191830767947794</v>
      </c>
      <c r="K83" s="16"/>
      <c r="L83" s="36">
        <f>D83-H83</f>
        <v>19474.579999999994</v>
      </c>
      <c r="M83" s="16"/>
      <c r="N83" s="34">
        <f>IF(H83=0,0,L83/H83)</f>
        <v>-0.80617783569596468</v>
      </c>
      <c r="O83" s="25"/>
      <c r="P83" s="36">
        <f>+P79-P81</f>
        <v>-11149.7</v>
      </c>
      <c r="Q83" s="13"/>
      <c r="R83" s="34">
        <f>IF(P$12=0,0,P83/P$12)</f>
        <v>0</v>
      </c>
      <c r="S83" s="13"/>
      <c r="T83" s="36">
        <f>+T79-T81</f>
        <v>-60899.040000000008</v>
      </c>
      <c r="U83" s="13"/>
      <c r="V83" s="34">
        <f>IF(T$12=0,0,T83/T$12)</f>
        <v>-1.1594975964321184</v>
      </c>
      <c r="W83" s="16"/>
      <c r="X83" s="36">
        <f>P83-T83</f>
        <v>49749.340000000011</v>
      </c>
      <c r="Y83" s="16"/>
      <c r="Z83" s="34">
        <f>IF(T83=0,0,X83/T83)</f>
        <v>-0.81691501212498596</v>
      </c>
    </row>
    <row r="84" spans="1:26" ht="15.75" thickTop="1" x14ac:dyDescent="0.25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.75" thickBot="1" x14ac:dyDescent="0.3">
      <c r="A86" s="10"/>
      <c r="B86" s="26" t="s">
        <v>5</v>
      </c>
      <c r="C86" s="26"/>
      <c r="D86" s="30">
        <f>SUM(D83:D85)</f>
        <v>-4682.1000000000004</v>
      </c>
      <c r="E86" s="13"/>
      <c r="F86" s="31">
        <f>IF(D$12=0,0,D86/D$12)</f>
        <v>0</v>
      </c>
      <c r="G86" s="13"/>
      <c r="H86" s="30">
        <f>SUM(H83:H85)</f>
        <v>-24156.679999999997</v>
      </c>
      <c r="I86" s="13"/>
      <c r="J86" s="31">
        <f>IF(H$12=0,0,H86/H$12)</f>
        <v>-0.70191830767947794</v>
      </c>
      <c r="K86" s="16"/>
      <c r="L86" s="30">
        <f>+D86-H86</f>
        <v>19474.579999999994</v>
      </c>
      <c r="M86" s="16"/>
      <c r="N86" s="31">
        <f>IF(H86=0,0,L86/H86)</f>
        <v>-0.80617783569596468</v>
      </c>
      <c r="O86" s="25"/>
      <c r="P86" s="30">
        <f>SUM(P83:P85)</f>
        <v>-11149.7</v>
      </c>
      <c r="Q86" s="13"/>
      <c r="R86" s="31">
        <f>IF(P$12=0,0,P86/P$12)</f>
        <v>0</v>
      </c>
      <c r="S86" s="13"/>
      <c r="T86" s="30">
        <f>SUM(T83:T85)</f>
        <v>-60899.040000000008</v>
      </c>
      <c r="U86" s="13"/>
      <c r="V86" s="31">
        <f>IF(T$12=0,0,T86/T$12)</f>
        <v>-1.1594975964321184</v>
      </c>
      <c r="W86" s="16"/>
      <c r="X86" s="30">
        <f>+P86-T86</f>
        <v>49749.340000000011</v>
      </c>
      <c r="Y86" s="16"/>
      <c r="Z86" s="31">
        <f>IF(T86=0,0,X86/T86)</f>
        <v>-0.81691501212498596</v>
      </c>
    </row>
    <row r="87" spans="1:26" ht="15.75" thickTop="1" x14ac:dyDescent="0.25">
      <c r="A87" s="9"/>
      <c r="C87" s="9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A88" s="9"/>
      <c r="B88" s="61">
        <v>44113.696517824072</v>
      </c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56" t="s">
        <v>313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8"/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","406", " - ", "OPA! Greek")</f>
        <v>Department 406 - OPA! Greek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15720.03</v>
      </c>
      <c r="I12" s="4"/>
      <c r="J12" s="12"/>
      <c r="K12" s="4"/>
      <c r="L12" s="4">
        <f t="shared" ref="L12:L14" si="0">+D12-H12</f>
        <v>-15720.03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15720.03</v>
      </c>
      <c r="U12" s="4"/>
      <c r="V12" s="12"/>
      <c r="W12" s="4"/>
      <c r="X12" s="4">
        <f t="shared" ref="X12:X14" si="2">+P12-T12</f>
        <v>-15720.03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--3894.93</f>
        <v>3894.93</v>
      </c>
      <c r="I13" s="2"/>
      <c r="J13" s="19"/>
      <c r="K13" s="2"/>
      <c r="L13" s="2">
        <f t="shared" si="0"/>
        <v>-3894.93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--3894.93</f>
        <v>3894.93</v>
      </c>
      <c r="U13" s="2"/>
      <c r="V13" s="19"/>
      <c r="W13" s="2"/>
      <c r="X13" s="2">
        <f t="shared" si="2"/>
        <v>-3894.93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--11825.1</f>
        <v>11825.1</v>
      </c>
      <c r="I14" s="2"/>
      <c r="J14" s="19"/>
      <c r="K14" s="2"/>
      <c r="L14" s="2">
        <f t="shared" si="0"/>
        <v>-11825.1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--11825.1</f>
        <v>11825.1</v>
      </c>
      <c r="U14" s="2"/>
      <c r="V14" s="19"/>
      <c r="W14" s="2"/>
      <c r="X14" s="2">
        <f t="shared" si="2"/>
        <v>-11825.1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5030.41</v>
      </c>
      <c r="I16" s="4"/>
      <c r="J16" s="12">
        <f t="shared" ref="J16:J18" si="7">IF(H$12=0,0,H16/H$12)</f>
        <v>0.32000002544524403</v>
      </c>
      <c r="K16" s="4"/>
      <c r="L16" s="4">
        <f t="shared" ref="L16:L18" si="8">+D16-H16</f>
        <v>-5030.41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5030.6900000000005</v>
      </c>
      <c r="U16" s="4"/>
      <c r="V16" s="12">
        <f t="shared" ref="V16:V18" si="11">IF(T$12=0,0,T16/T$12)</f>
        <v>0.32001783711608695</v>
      </c>
      <c r="W16" s="4"/>
      <c r="X16" s="4">
        <f t="shared" ref="X16:X18" si="12">+P16-T16</f>
        <v>-5030.6900000000005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10079.41</v>
      </c>
      <c r="I17" s="2"/>
      <c r="J17" s="19">
        <f t="shared" si="7"/>
        <v>0.64118261860823422</v>
      </c>
      <c r="K17" s="2"/>
      <c r="L17" s="2">
        <f t="shared" si="8"/>
        <v>-10079.41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10390.69</v>
      </c>
      <c r="U17" s="2"/>
      <c r="V17" s="19">
        <f t="shared" si="11"/>
        <v>0.66098410753669046</v>
      </c>
      <c r="W17" s="2"/>
      <c r="X17" s="2">
        <f t="shared" si="12"/>
        <v>-10390.69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-5049</v>
      </c>
      <c r="I18" s="2"/>
      <c r="J18" s="19">
        <f t="shared" si="7"/>
        <v>-0.32118259316299014</v>
      </c>
      <c r="K18" s="2"/>
      <c r="L18" s="2">
        <f t="shared" si="8"/>
        <v>5049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-5360</v>
      </c>
      <c r="U18" s="2"/>
      <c r="V18" s="19">
        <f t="shared" si="11"/>
        <v>-0.34096627042060351</v>
      </c>
      <c r="W18" s="2"/>
      <c r="X18" s="2">
        <f t="shared" si="12"/>
        <v>5360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10689.62</v>
      </c>
      <c r="I20" s="13"/>
      <c r="J20" s="21">
        <f>IF(H$12=0,0,H20/H$12)</f>
        <v>0.67999997455475591</v>
      </c>
      <c r="K20" s="16"/>
      <c r="L20" s="22">
        <f>+D20-H20</f>
        <v>-10689.62</v>
      </c>
      <c r="M20" s="16"/>
      <c r="N20" s="21">
        <f>IF(H20=0,0,L20/H20)</f>
        <v>-1</v>
      </c>
      <c r="O20" s="25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10689.34</v>
      </c>
      <c r="U20" s="13"/>
      <c r="V20" s="21">
        <f>IF(T$12=0,0,T20/T$12)</f>
        <v>0.679982162883913</v>
      </c>
      <c r="W20" s="16"/>
      <c r="X20" s="22">
        <f>+P20-T20</f>
        <v>-10689.34</v>
      </c>
      <c r="Y20" s="16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234.14999999999998</v>
      </c>
      <c r="E22" s="20"/>
      <c r="F22" s="35">
        <f t="shared" ref="F22:F31" si="14">IF(D$12=0,0,D22/D$12)</f>
        <v>0</v>
      </c>
      <c r="G22" s="20"/>
      <c r="H22" s="20">
        <f>SUM(OSRRefH22x_0)</f>
        <v>20295.969999999998</v>
      </c>
      <c r="I22" s="20"/>
      <c r="J22" s="35">
        <f t="shared" ref="J22:J31" si="15">IF(H$12=0,0,H22/H$12)</f>
        <v>1.2910897752739656</v>
      </c>
      <c r="K22" s="4"/>
      <c r="L22" s="20">
        <f t="shared" ref="L22:L31" si="16">+D22-H22</f>
        <v>-20061.819999999996</v>
      </c>
      <c r="M22" s="4"/>
      <c r="N22" s="35">
        <f t="shared" ref="N22:N31" si="17">IF(H22=0,0,L22/H22)</f>
        <v>-0.98846322693618482</v>
      </c>
      <c r="O22" s="10"/>
      <c r="P22" s="20">
        <f>SUM(OSRRefP22x_0)</f>
        <v>1114.52</v>
      </c>
      <c r="Q22" s="20"/>
      <c r="R22" s="35">
        <f t="shared" ref="R22:R31" si="18">IF(P$12=0,0,P22/P$12)</f>
        <v>0</v>
      </c>
      <c r="S22" s="20"/>
      <c r="T22" s="20">
        <f>SUM(OSRRefT22x_0)</f>
        <v>31826.249999999993</v>
      </c>
      <c r="U22" s="20"/>
      <c r="V22" s="35">
        <f t="shared" ref="V22:V31" si="19">IF(T$12=0,0,T22/T$12)</f>
        <v>2.0245667470100241</v>
      </c>
      <c r="W22" s="4"/>
      <c r="X22" s="20">
        <f t="shared" ref="X22:X31" si="20">+P22-T22</f>
        <v>-30711.729999999992</v>
      </c>
      <c r="Y22" s="4"/>
      <c r="Z22" s="35">
        <f t="shared" ref="Z22:Z31" si="21">IF(T22=0,0,X22/T22)</f>
        <v>-0.96498110836180828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2071.4100000000003</v>
      </c>
      <c r="I23" s="1"/>
      <c r="J23" s="5">
        <f t="shared" si="15"/>
        <v>0.13176883250222807</v>
      </c>
      <c r="K23" s="1"/>
      <c r="L23" s="1">
        <f t="shared" si="16"/>
        <v>-2071.4100000000003</v>
      </c>
      <c r="M23" s="1"/>
      <c r="N23" s="5">
        <f t="shared" si="17"/>
        <v>-1</v>
      </c>
      <c r="O23" s="14"/>
      <c r="P23" s="1">
        <f>SUM(OSRRefP22_0x_0)</f>
        <v>660.8</v>
      </c>
      <c r="Q23" s="1"/>
      <c r="R23" s="5">
        <f t="shared" si="18"/>
        <v>0</v>
      </c>
      <c r="S23" s="1"/>
      <c r="T23" s="1">
        <f>SUM(OSRRefT22_0x_0)</f>
        <v>3778.79</v>
      </c>
      <c r="U23" s="1"/>
      <c r="V23" s="5">
        <f t="shared" si="19"/>
        <v>0.24038058451542393</v>
      </c>
      <c r="W23" s="1"/>
      <c r="X23" s="1">
        <f t="shared" si="20"/>
        <v>-3117.99</v>
      </c>
      <c r="Y23" s="1"/>
      <c r="Z23" s="5">
        <f t="shared" si="21"/>
        <v>-0.82512920802690803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679.1</v>
      </c>
      <c r="I24" s="2"/>
      <c r="J24" s="6">
        <f t="shared" si="15"/>
        <v>4.319966310496863E-2</v>
      </c>
      <c r="K24" s="2"/>
      <c r="L24" s="7">
        <f t="shared" si="16"/>
        <v>-679.1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1047.3399999999999</v>
      </c>
      <c r="U24" s="2"/>
      <c r="V24" s="6">
        <f t="shared" si="19"/>
        <v>6.6624554787745302E-2</v>
      </c>
      <c r="W24" s="2"/>
      <c r="X24" s="7">
        <f t="shared" si="20"/>
        <v>-1047.3399999999999</v>
      </c>
      <c r="Y24" s="2"/>
      <c r="Z24" s="6">
        <f t="shared" si="21"/>
        <v>-1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391.04</v>
      </c>
      <c r="I25" s="2"/>
      <c r="J25" s="6">
        <f t="shared" si="15"/>
        <v>2.4875270594267314E-2</v>
      </c>
      <c r="K25" s="2"/>
      <c r="L25" s="7">
        <f t="shared" si="16"/>
        <v>-391.04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641.42999999999995</v>
      </c>
      <c r="U25" s="2"/>
      <c r="V25" s="6">
        <f t="shared" si="19"/>
        <v>4.0803357245501437E-2</v>
      </c>
      <c r="W25" s="2"/>
      <c r="X25" s="7">
        <f t="shared" si="20"/>
        <v>-641.42999999999995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34.97</v>
      </c>
      <c r="I26" s="2"/>
      <c r="J26" s="6">
        <f t="shared" si="15"/>
        <v>2.2245504620538254E-3</v>
      </c>
      <c r="K26" s="2"/>
      <c r="L26" s="7">
        <f t="shared" si="16"/>
        <v>-34.97</v>
      </c>
      <c r="M26" s="2"/>
      <c r="N26" s="6">
        <f t="shared" si="17"/>
        <v>-1</v>
      </c>
      <c r="O26" s="11"/>
      <c r="P26" s="7">
        <v>660.8</v>
      </c>
      <c r="Q26" s="2"/>
      <c r="R26" s="6">
        <f t="shared" si="18"/>
        <v>0</v>
      </c>
      <c r="S26" s="2"/>
      <c r="T26" s="7">
        <v>69.94</v>
      </c>
      <c r="U26" s="2"/>
      <c r="V26" s="6">
        <f t="shared" si="19"/>
        <v>4.4491009241076507E-3</v>
      </c>
      <c r="W26" s="2"/>
      <c r="X26" s="7">
        <f t="shared" si="20"/>
        <v>590.8599999999999</v>
      </c>
      <c r="Y26" s="2"/>
      <c r="Z26" s="6">
        <f t="shared" si="21"/>
        <v>8.4480983700314543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26.2</v>
      </c>
      <c r="I27" s="2"/>
      <c r="J27" s="6">
        <f t="shared" si="15"/>
        <v>1.6666634860111589E-3</v>
      </c>
      <c r="K27" s="2"/>
      <c r="L27" s="7">
        <f t="shared" si="16"/>
        <v>-26.2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42.98</v>
      </c>
      <c r="U27" s="2"/>
      <c r="V27" s="6">
        <f t="shared" si="19"/>
        <v>2.7340914743801377E-3</v>
      </c>
      <c r="W27" s="2"/>
      <c r="X27" s="7">
        <f t="shared" si="20"/>
        <v>-42.98</v>
      </c>
      <c r="Y27" s="2"/>
      <c r="Z27" s="6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315.45</v>
      </c>
      <c r="I28" s="2"/>
      <c r="J28" s="6">
        <f t="shared" si="15"/>
        <v>2.006675559779466E-2</v>
      </c>
      <c r="K28" s="2"/>
      <c r="L28" s="7">
        <f t="shared" si="16"/>
        <v>-315.45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630.9</v>
      </c>
      <c r="U28" s="2"/>
      <c r="V28" s="6">
        <f t="shared" si="19"/>
        <v>4.0133511195589319E-2</v>
      </c>
      <c r="W28" s="2"/>
      <c r="X28" s="7">
        <f t="shared" si="20"/>
        <v>-630.9</v>
      </c>
      <c r="Y28" s="2"/>
      <c r="Z28" s="6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173.88</v>
      </c>
      <c r="I29" s="2"/>
      <c r="J29" s="6">
        <f t="shared" si="15"/>
        <v>1.1061047593420623E-2</v>
      </c>
      <c r="K29" s="2"/>
      <c r="L29" s="7">
        <f t="shared" si="16"/>
        <v>-173.88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417.71</v>
      </c>
      <c r="U29" s="2"/>
      <c r="V29" s="6">
        <f t="shared" si="19"/>
        <v>2.6571832242050425E-2</v>
      </c>
      <c r="W29" s="2"/>
      <c r="X29" s="7">
        <f t="shared" si="20"/>
        <v>-417.71</v>
      </c>
      <c r="Y29" s="2"/>
      <c r="Z29" s="6">
        <f t="shared" si="21"/>
        <v>-1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208.3</v>
      </c>
      <c r="I30" s="2"/>
      <c r="J30" s="6">
        <f t="shared" si="15"/>
        <v>1.3250610844890246E-2</v>
      </c>
      <c r="K30" s="2"/>
      <c r="L30" s="7">
        <f t="shared" si="16"/>
        <v>-208.3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538.42999999999995</v>
      </c>
      <c r="U30" s="2"/>
      <c r="V30" s="6">
        <f t="shared" si="19"/>
        <v>3.4251206899732378E-2</v>
      </c>
      <c r="W30" s="2"/>
      <c r="X30" s="7">
        <f t="shared" si="20"/>
        <v>-538.42999999999995</v>
      </c>
      <c r="Y30" s="2"/>
      <c r="Z30" s="6">
        <f t="shared" si="21"/>
        <v>-1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242.47</v>
      </c>
      <c r="I31" s="2"/>
      <c r="J31" s="6">
        <f t="shared" si="15"/>
        <v>1.5424270818821592E-2</v>
      </c>
      <c r="K31" s="2"/>
      <c r="L31" s="7">
        <f t="shared" si="16"/>
        <v>-242.47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390.06</v>
      </c>
      <c r="U31" s="2"/>
      <c r="V31" s="6">
        <f t="shared" si="19"/>
        <v>2.4812929746317276E-2</v>
      </c>
      <c r="W31" s="2"/>
      <c r="X31" s="7">
        <f t="shared" si="20"/>
        <v>-390.06</v>
      </c>
      <c r="Y31" s="2"/>
      <c r="Z31" s="6">
        <f t="shared" si="21"/>
        <v>-1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12461.9</v>
      </c>
      <c r="I32" s="1"/>
      <c r="J32" s="5">
        <f t="shared" ref="J32:J37" si="23">IF(H$12=0,0,H32/H$12)</f>
        <v>0.79274021741688783</v>
      </c>
      <c r="K32" s="1"/>
      <c r="L32" s="1">
        <f t="shared" ref="L32:L37" si="24">+D32-H32</f>
        <v>-12461.9</v>
      </c>
      <c r="M32" s="1"/>
      <c r="N32" s="5">
        <f t="shared" ref="N32:N37" si="25">IF(H32=0,0,L32/H32)</f>
        <v>-1</v>
      </c>
      <c r="O32" s="14"/>
      <c r="P32" s="1">
        <f>SUM(OSRRefP22_1x_0)</f>
        <v>0</v>
      </c>
      <c r="Q32" s="1"/>
      <c r="R32" s="5">
        <f t="shared" ref="R32:R37" si="26">IF(P$12=0,0,P32/P$12)</f>
        <v>0</v>
      </c>
      <c r="S32" s="1"/>
      <c r="T32" s="1">
        <f>SUM(OSRRefT22_1x_0)</f>
        <v>17265.440000000002</v>
      </c>
      <c r="U32" s="1"/>
      <c r="V32" s="5">
        <f t="shared" ref="V32:V37" si="27">IF(T$12=0,0,T32/T$12)</f>
        <v>1.0983083365616988</v>
      </c>
      <c r="W32" s="1"/>
      <c r="X32" s="1">
        <f t="shared" ref="X32:X37" si="28">+P32-T32</f>
        <v>-17265.440000000002</v>
      </c>
      <c r="Y32" s="1"/>
      <c r="Z32" s="5">
        <f t="shared" ref="Z32:Z37" si="29">IF(T32=0,0,X32/T32)</f>
        <v>-1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4645.3999999999996</v>
      </c>
      <c r="I33" s="2"/>
      <c r="J33" s="6">
        <f t="shared" si="23"/>
        <v>0.29550834190519987</v>
      </c>
      <c r="K33" s="2"/>
      <c r="L33" s="7">
        <f t="shared" si="24"/>
        <v>-4645.3999999999996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9064.94</v>
      </c>
      <c r="U33" s="2"/>
      <c r="V33" s="6">
        <f t="shared" si="27"/>
        <v>0.57664902675122121</v>
      </c>
      <c r="W33" s="2"/>
      <c r="X33" s="7">
        <f t="shared" si="28"/>
        <v>-9064.94</v>
      </c>
      <c r="Y33" s="2"/>
      <c r="Z33" s="6">
        <f t="shared" si="29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3561</v>
      </c>
      <c r="I34" s="2"/>
      <c r="J34" s="6">
        <f t="shared" si="23"/>
        <v>0.22652628525518081</v>
      </c>
      <c r="K34" s="2"/>
      <c r="L34" s="7">
        <f t="shared" si="24"/>
        <v>-3561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3729</v>
      </c>
      <c r="U34" s="2"/>
      <c r="V34" s="6">
        <f t="shared" si="27"/>
        <v>0.2372132877609012</v>
      </c>
      <c r="W34" s="2"/>
      <c r="X34" s="7">
        <f t="shared" si="28"/>
        <v>-3729</v>
      </c>
      <c r="Y34" s="2"/>
      <c r="Z34" s="6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>
        <v>110.5</v>
      </c>
      <c r="I35" s="2"/>
      <c r="J35" s="6">
        <f t="shared" si="23"/>
        <v>7.0292486719172927E-3</v>
      </c>
      <c r="K35" s="2"/>
      <c r="L35" s="7">
        <f t="shared" si="24"/>
        <v>-110.5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110.5</v>
      </c>
      <c r="U35" s="2"/>
      <c r="V35" s="6">
        <f t="shared" si="27"/>
        <v>7.0292486719172927E-3</v>
      </c>
      <c r="W35" s="2"/>
      <c r="X35" s="7">
        <f t="shared" si="28"/>
        <v>-110.5</v>
      </c>
      <c r="Y35" s="2"/>
      <c r="Z35" s="6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4013</v>
      </c>
      <c r="I36" s="2"/>
      <c r="J36" s="6">
        <f t="shared" si="23"/>
        <v>0.25527941104438095</v>
      </c>
      <c r="K36" s="2"/>
      <c r="L36" s="7">
        <f t="shared" si="24"/>
        <v>-4013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4229</v>
      </c>
      <c r="U36" s="2"/>
      <c r="V36" s="6">
        <f t="shared" si="27"/>
        <v>0.26901984283745006</v>
      </c>
      <c r="W36" s="2"/>
      <c r="X36" s="7">
        <f t="shared" si="28"/>
        <v>-4229</v>
      </c>
      <c r="Y36" s="2"/>
      <c r="Z36" s="6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132</v>
      </c>
      <c r="I37" s="2"/>
      <c r="J37" s="6">
        <f t="shared" si="23"/>
        <v>8.3969305402088919E-3</v>
      </c>
      <c r="K37" s="2"/>
      <c r="L37" s="7">
        <f t="shared" si="24"/>
        <v>-132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132</v>
      </c>
      <c r="U37" s="2"/>
      <c r="V37" s="6">
        <f t="shared" si="27"/>
        <v>8.3969305402088919E-3</v>
      </c>
      <c r="W37" s="2"/>
      <c r="X37" s="7">
        <f t="shared" si="28"/>
        <v>-132</v>
      </c>
      <c r="Y37" s="2"/>
      <c r="Z37" s="6">
        <f t="shared" si="29"/>
        <v>-1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2" si="30">IF(D$12=0,0,D38/D$12)</f>
        <v>0</v>
      </c>
      <c r="G38" s="1"/>
      <c r="H38" s="1">
        <f>SUM(OSRRefH22_2x_0)</f>
        <v>221.32</v>
      </c>
      <c r="I38" s="1"/>
      <c r="J38" s="5">
        <f t="shared" ref="J38:J52" si="31">IF(H$12=0,0,H38/H$12)</f>
        <v>1.4078853539083575E-2</v>
      </c>
      <c r="K38" s="1"/>
      <c r="L38" s="1">
        <f t="shared" ref="L38:L52" si="32">+D38-H38</f>
        <v>-221.32</v>
      </c>
      <c r="M38" s="1"/>
      <c r="N38" s="5">
        <f t="shared" ref="N38:N52" si="33">IF(H38=0,0,L38/H38)</f>
        <v>-1</v>
      </c>
      <c r="O38" s="14"/>
      <c r="P38" s="1">
        <f>SUM(OSRRefP22_2x_0)</f>
        <v>0</v>
      </c>
      <c r="Q38" s="1"/>
      <c r="R38" s="5">
        <f t="shared" ref="R38:R52" si="34">IF(P$12=0,0,P38/P$12)</f>
        <v>0</v>
      </c>
      <c r="S38" s="1"/>
      <c r="T38" s="1">
        <f>SUM(OSRRefT22_2x_0)</f>
        <v>310.32</v>
      </c>
      <c r="U38" s="1"/>
      <c r="V38" s="5">
        <f t="shared" ref="V38:V52" si="35">IF(T$12=0,0,T38/T$12)</f>
        <v>1.9740420342709269E-2</v>
      </c>
      <c r="W38" s="1"/>
      <c r="X38" s="1">
        <f t="shared" ref="X38:X52" si="36">+P38-T38</f>
        <v>-310.32</v>
      </c>
      <c r="Y38" s="1"/>
      <c r="Z38" s="5">
        <f t="shared" ref="Z38:Z52" si="37">IF(T38=0,0,X38/T38)</f>
        <v>-1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>
        <v>221.32</v>
      </c>
      <c r="I39" s="2"/>
      <c r="J39" s="6">
        <f t="shared" si="31"/>
        <v>1.4078853539083575E-2</v>
      </c>
      <c r="K39" s="2"/>
      <c r="L39" s="7">
        <f t="shared" si="32"/>
        <v>-221.32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310.32</v>
      </c>
      <c r="U39" s="2"/>
      <c r="V39" s="6">
        <f t="shared" si="35"/>
        <v>1.9740420342709269E-2</v>
      </c>
      <c r="W39" s="2"/>
      <c r="X39" s="7">
        <f t="shared" si="36"/>
        <v>-310.32</v>
      </c>
      <c r="Y39" s="2"/>
      <c r="Z39" s="6">
        <f t="shared" si="37"/>
        <v>-1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-17.52</v>
      </c>
      <c r="I40" s="1"/>
      <c r="J40" s="5">
        <f t="shared" si="31"/>
        <v>-1.114501689882271E-3</v>
      </c>
      <c r="K40" s="1"/>
      <c r="L40" s="1">
        <f t="shared" si="32"/>
        <v>17.52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-17.52</v>
      </c>
      <c r="U40" s="1"/>
      <c r="V40" s="5">
        <f t="shared" si="35"/>
        <v>-1.114501689882271E-3</v>
      </c>
      <c r="W40" s="1"/>
      <c r="X40" s="1">
        <f t="shared" si="36"/>
        <v>17.52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-17.52</v>
      </c>
      <c r="I41" s="2"/>
      <c r="J41" s="6">
        <f t="shared" si="31"/>
        <v>-1.114501689882271E-3</v>
      </c>
      <c r="K41" s="2"/>
      <c r="L41" s="7">
        <f t="shared" si="32"/>
        <v>17.52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-17.52</v>
      </c>
      <c r="U41" s="2"/>
      <c r="V41" s="6">
        <f t="shared" si="35"/>
        <v>-1.114501689882271E-3</v>
      </c>
      <c r="W41" s="2"/>
      <c r="X41" s="7">
        <f t="shared" si="36"/>
        <v>17.52</v>
      </c>
      <c r="Y41" s="2"/>
      <c r="Z41" s="6">
        <f t="shared" si="37"/>
        <v>-1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502.11</v>
      </c>
      <c r="I42" s="1"/>
      <c r="J42" s="5">
        <f t="shared" si="31"/>
        <v>3.1940778738971873E-2</v>
      </c>
      <c r="K42" s="1"/>
      <c r="L42" s="1">
        <f t="shared" si="32"/>
        <v>-502.11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502.11</v>
      </c>
      <c r="U42" s="1"/>
      <c r="V42" s="5">
        <f t="shared" si="35"/>
        <v>3.1940778738971873E-2</v>
      </c>
      <c r="W42" s="1"/>
      <c r="X42" s="1">
        <f t="shared" si="36"/>
        <v>-502.11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502.11</v>
      </c>
      <c r="I43" s="2"/>
      <c r="J43" s="6">
        <f t="shared" si="31"/>
        <v>3.1940778738971873E-2</v>
      </c>
      <c r="K43" s="2"/>
      <c r="L43" s="7">
        <f t="shared" si="32"/>
        <v>-502.11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502.11</v>
      </c>
      <c r="U43" s="2"/>
      <c r="V43" s="6">
        <f t="shared" si="35"/>
        <v>3.1940778738971873E-2</v>
      </c>
      <c r="W43" s="2"/>
      <c r="X43" s="7">
        <f t="shared" si="36"/>
        <v>-502.11</v>
      </c>
      <c r="Y43" s="2"/>
      <c r="Z43" s="6">
        <f t="shared" si="37"/>
        <v>-1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119.55</v>
      </c>
      <c r="E44" s="1"/>
      <c r="F44" s="5">
        <f t="shared" si="30"/>
        <v>0</v>
      </c>
      <c r="G44" s="1"/>
      <c r="H44" s="1">
        <f>SUM(OSRRefH22_5x_0)</f>
        <v>2775.32</v>
      </c>
      <c r="I44" s="1"/>
      <c r="J44" s="5">
        <f t="shared" si="31"/>
        <v>0.17654673687009503</v>
      </c>
      <c r="K44" s="1"/>
      <c r="L44" s="1">
        <f t="shared" si="32"/>
        <v>-2655.77</v>
      </c>
      <c r="M44" s="1"/>
      <c r="N44" s="5">
        <f t="shared" si="33"/>
        <v>-0.95692388625455793</v>
      </c>
      <c r="O44" s="14"/>
      <c r="P44" s="1">
        <f>SUM(OSRRefP22_5x_0)</f>
        <v>239.1</v>
      </c>
      <c r="Q44" s="1"/>
      <c r="R44" s="5">
        <f t="shared" si="34"/>
        <v>0</v>
      </c>
      <c r="S44" s="1"/>
      <c r="T44" s="1">
        <f>SUM(OSRRefT22_5x_0)</f>
        <v>5550.64</v>
      </c>
      <c r="U44" s="1"/>
      <c r="V44" s="5">
        <f t="shared" si="35"/>
        <v>0.35309347374019007</v>
      </c>
      <c r="W44" s="1"/>
      <c r="X44" s="1">
        <f t="shared" si="36"/>
        <v>-5311.54</v>
      </c>
      <c r="Y44" s="1"/>
      <c r="Z44" s="5">
        <f t="shared" si="37"/>
        <v>-0.95692388625455793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119.55</v>
      </c>
      <c r="E45" s="2"/>
      <c r="F45" s="6">
        <f t="shared" si="30"/>
        <v>0</v>
      </c>
      <c r="G45" s="2"/>
      <c r="H45" s="7">
        <v>2775.32</v>
      </c>
      <c r="I45" s="2"/>
      <c r="J45" s="6">
        <f t="shared" si="31"/>
        <v>0.17654673687009503</v>
      </c>
      <c r="K45" s="2"/>
      <c r="L45" s="7">
        <f t="shared" si="32"/>
        <v>-2655.77</v>
      </c>
      <c r="M45" s="2"/>
      <c r="N45" s="6">
        <f t="shared" si="33"/>
        <v>-0.95692388625455793</v>
      </c>
      <c r="O45" s="11"/>
      <c r="P45" s="7">
        <v>239.1</v>
      </c>
      <c r="Q45" s="2"/>
      <c r="R45" s="6">
        <f t="shared" si="34"/>
        <v>0</v>
      </c>
      <c r="S45" s="2"/>
      <c r="T45" s="7">
        <v>5550.64</v>
      </c>
      <c r="U45" s="2"/>
      <c r="V45" s="6">
        <f t="shared" si="35"/>
        <v>0.35309347374019007</v>
      </c>
      <c r="W45" s="2"/>
      <c r="X45" s="7">
        <f t="shared" si="36"/>
        <v>-5311.54</v>
      </c>
      <c r="Y45" s="2"/>
      <c r="Z45" s="6">
        <f t="shared" si="37"/>
        <v>-0.95692388625455793</v>
      </c>
    </row>
    <row r="46" spans="1:26" s="28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95.66</v>
      </c>
      <c r="I46" s="1"/>
      <c r="J46" s="5">
        <f t="shared" si="31"/>
        <v>6.0852301172453225E-3</v>
      </c>
      <c r="K46" s="1"/>
      <c r="L46" s="1">
        <f t="shared" si="32"/>
        <v>-95.66</v>
      </c>
      <c r="M46" s="1"/>
      <c r="N46" s="5">
        <f t="shared" si="33"/>
        <v>-1</v>
      </c>
      <c r="O46" s="14"/>
      <c r="P46" s="1">
        <f>SUM(OSRRefP22_6x_0)</f>
        <v>64.02</v>
      </c>
      <c r="Q46" s="1"/>
      <c r="R46" s="5">
        <f t="shared" si="34"/>
        <v>0</v>
      </c>
      <c r="S46" s="1"/>
      <c r="T46" s="1">
        <f>SUM(OSRRefT22_6x_0)</f>
        <v>95.66</v>
      </c>
      <c r="U46" s="1"/>
      <c r="V46" s="5">
        <f t="shared" si="35"/>
        <v>6.0852301172453225E-3</v>
      </c>
      <c r="W46" s="1"/>
      <c r="X46" s="1">
        <f t="shared" si="36"/>
        <v>-31.64</v>
      </c>
      <c r="Y46" s="1"/>
      <c r="Z46" s="5">
        <f t="shared" si="37"/>
        <v>-0.33075475642901947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/>
      <c r="E47" s="2"/>
      <c r="F47" s="6">
        <f t="shared" si="30"/>
        <v>0</v>
      </c>
      <c r="G47" s="2"/>
      <c r="H47" s="7">
        <v>95.66</v>
      </c>
      <c r="I47" s="2"/>
      <c r="J47" s="6">
        <f t="shared" si="31"/>
        <v>6.0852301172453225E-3</v>
      </c>
      <c r="K47" s="2"/>
      <c r="L47" s="7">
        <f t="shared" si="32"/>
        <v>-95.66</v>
      </c>
      <c r="M47" s="2"/>
      <c r="N47" s="6">
        <f t="shared" si="33"/>
        <v>-1</v>
      </c>
      <c r="O47" s="11"/>
      <c r="P47" s="7">
        <v>64.02</v>
      </c>
      <c r="Q47" s="2"/>
      <c r="R47" s="6">
        <f t="shared" si="34"/>
        <v>0</v>
      </c>
      <c r="S47" s="2"/>
      <c r="T47" s="7">
        <v>95.66</v>
      </c>
      <c r="U47" s="2"/>
      <c r="V47" s="6">
        <f t="shared" si="35"/>
        <v>6.0852301172453225E-3</v>
      </c>
      <c r="W47" s="2"/>
      <c r="X47" s="7">
        <f t="shared" si="36"/>
        <v>-31.64</v>
      </c>
      <c r="Y47" s="2"/>
      <c r="Z47" s="6">
        <f t="shared" si="37"/>
        <v>-0.33075475642901947</v>
      </c>
    </row>
    <row r="48" spans="1:26" s="28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0</v>
      </c>
      <c r="I48" s="1"/>
      <c r="J48" s="5">
        <f t="shared" si="31"/>
        <v>0</v>
      </c>
      <c r="K48" s="1"/>
      <c r="L48" s="1">
        <f t="shared" si="32"/>
        <v>0</v>
      </c>
      <c r="M48" s="1"/>
      <c r="N48" s="5">
        <f t="shared" si="33"/>
        <v>0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749.55</v>
      </c>
      <c r="U48" s="1"/>
      <c r="V48" s="5">
        <f t="shared" si="35"/>
        <v>4.7681206715254353E-2</v>
      </c>
      <c r="W48" s="1"/>
      <c r="X48" s="1">
        <f t="shared" si="36"/>
        <v>-749.55</v>
      </c>
      <c r="Y48" s="1"/>
      <c r="Z48" s="5">
        <f t="shared" si="37"/>
        <v>-1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30"/>
        <v>0</v>
      </c>
      <c r="G49" s="2"/>
      <c r="H49" s="7"/>
      <c r="I49" s="2"/>
      <c r="J49" s="6">
        <f t="shared" si="31"/>
        <v>0</v>
      </c>
      <c r="K49" s="2"/>
      <c r="L49" s="7">
        <f t="shared" si="32"/>
        <v>0</v>
      </c>
      <c r="M49" s="2"/>
      <c r="N49" s="6">
        <f t="shared" si="33"/>
        <v>0</v>
      </c>
      <c r="O49" s="11"/>
      <c r="P49" s="7"/>
      <c r="Q49" s="2"/>
      <c r="R49" s="6">
        <f t="shared" si="34"/>
        <v>0</v>
      </c>
      <c r="S49" s="2"/>
      <c r="T49" s="7">
        <v>749.55</v>
      </c>
      <c r="U49" s="2"/>
      <c r="V49" s="6">
        <f t="shared" si="35"/>
        <v>4.7681206715254353E-2</v>
      </c>
      <c r="W49" s="2"/>
      <c r="X49" s="7">
        <f t="shared" si="36"/>
        <v>-749.55</v>
      </c>
      <c r="Y49" s="2"/>
      <c r="Z49" s="6">
        <f t="shared" si="37"/>
        <v>-1</v>
      </c>
    </row>
    <row r="50" spans="1:26" s="28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78.599999999999994</v>
      </c>
      <c r="E50" s="1"/>
      <c r="F50" s="5">
        <f t="shared" si="30"/>
        <v>0</v>
      </c>
      <c r="G50" s="1"/>
      <c r="H50" s="1">
        <f>SUM(OSRRefH22_8x_0)</f>
        <v>730</v>
      </c>
      <c r="I50" s="1"/>
      <c r="J50" s="5">
        <f t="shared" si="31"/>
        <v>4.6437570411761296E-2</v>
      </c>
      <c r="K50" s="1"/>
      <c r="L50" s="1">
        <f t="shared" si="32"/>
        <v>-651.4</v>
      </c>
      <c r="M50" s="1"/>
      <c r="N50" s="5">
        <f t="shared" si="33"/>
        <v>-0.89232876712328768</v>
      </c>
      <c r="O50" s="14"/>
      <c r="P50" s="1">
        <f>SUM(OSRRefP22_8x_0)</f>
        <v>78.599999999999994</v>
      </c>
      <c r="Q50" s="1"/>
      <c r="R50" s="5">
        <f t="shared" si="34"/>
        <v>0</v>
      </c>
      <c r="S50" s="1"/>
      <c r="T50" s="1">
        <f>SUM(OSRRefT22_8x_0)</f>
        <v>1016.28</v>
      </c>
      <c r="U50" s="1"/>
      <c r="V50" s="5">
        <f t="shared" si="35"/>
        <v>6.4648731586390104E-2</v>
      </c>
      <c r="W50" s="1"/>
      <c r="X50" s="1">
        <f t="shared" si="36"/>
        <v>-937.68</v>
      </c>
      <c r="Y50" s="1"/>
      <c r="Z50" s="5">
        <f t="shared" si="37"/>
        <v>-0.92265910969417875</v>
      </c>
    </row>
    <row r="51" spans="1:26" s="24" customFormat="1" hidden="1" outlineLevel="2" x14ac:dyDescent="0.25">
      <c r="A51" s="29"/>
      <c r="B51" s="11" t="str">
        <f>CONCATENATE("          ", "6373", " - ", "MAINTENANCE CONTRACTS")</f>
        <v xml:space="preserve">          6373 - MAINTENANCE CONTRACTS</v>
      </c>
      <c r="C51" s="11"/>
      <c r="D51" s="7">
        <v>78.599999999999994</v>
      </c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78.599999999999994</v>
      </c>
      <c r="M51" s="2"/>
      <c r="N51" s="6">
        <f t="shared" si="33"/>
        <v>0</v>
      </c>
      <c r="O51" s="11"/>
      <c r="P51" s="7">
        <v>78.599999999999994</v>
      </c>
      <c r="Q51" s="2"/>
      <c r="R51" s="6">
        <f t="shared" si="34"/>
        <v>0</v>
      </c>
      <c r="S51" s="2"/>
      <c r="T51" s="7"/>
      <c r="U51" s="2"/>
      <c r="V51" s="6">
        <f t="shared" si="35"/>
        <v>0</v>
      </c>
      <c r="W51" s="2"/>
      <c r="X51" s="7">
        <f t="shared" si="36"/>
        <v>78.599999999999994</v>
      </c>
      <c r="Y51" s="2"/>
      <c r="Z51" s="6">
        <f t="shared" si="37"/>
        <v>0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30"/>
        <v>0</v>
      </c>
      <c r="G52" s="2"/>
      <c r="H52" s="7">
        <v>730</v>
      </c>
      <c r="I52" s="2"/>
      <c r="J52" s="6">
        <f t="shared" si="31"/>
        <v>4.6437570411761296E-2</v>
      </c>
      <c r="K52" s="2"/>
      <c r="L52" s="7">
        <f t="shared" si="32"/>
        <v>-730</v>
      </c>
      <c r="M52" s="2"/>
      <c r="N52" s="6">
        <f t="shared" si="33"/>
        <v>-1</v>
      </c>
      <c r="O52" s="11"/>
      <c r="P52" s="7"/>
      <c r="Q52" s="2"/>
      <c r="R52" s="6">
        <f t="shared" si="34"/>
        <v>0</v>
      </c>
      <c r="S52" s="2"/>
      <c r="T52" s="7">
        <v>1016.28</v>
      </c>
      <c r="U52" s="2"/>
      <c r="V52" s="6">
        <f t="shared" si="35"/>
        <v>6.4648731586390104E-2</v>
      </c>
      <c r="W52" s="2"/>
      <c r="X52" s="7">
        <f t="shared" si="36"/>
        <v>-1016.28</v>
      </c>
      <c r="Y52" s="2"/>
      <c r="Z52" s="6">
        <f t="shared" si="37"/>
        <v>-1</v>
      </c>
    </row>
    <row r="53" spans="1:26" s="28" customFormat="1" outlineLevel="1" collapsed="1" x14ac:dyDescent="0.25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SUM(OSRRefD22_9x_0)</f>
        <v>0</v>
      </c>
      <c r="E53" s="1"/>
      <c r="F53" s="5">
        <f t="shared" ref="F53:F60" si="38">IF(D$12=0,0,D53/D$12)</f>
        <v>0</v>
      </c>
      <c r="G53" s="1"/>
      <c r="H53" s="1">
        <f>SUM(OSRRefH22_9x_0)</f>
        <v>40.92</v>
      </c>
      <c r="I53" s="1"/>
      <c r="J53" s="5">
        <f t="shared" ref="J53:J60" si="39">IF(H$12=0,0,H53/H$12)</f>
        <v>2.6030484674647567E-3</v>
      </c>
      <c r="K53" s="1"/>
      <c r="L53" s="1">
        <f t="shared" ref="L53:L60" si="40">+D53-H53</f>
        <v>-40.92</v>
      </c>
      <c r="M53" s="1"/>
      <c r="N53" s="5">
        <f t="shared" ref="N53:N60" si="41">IF(H53=0,0,L53/H53)</f>
        <v>-1</v>
      </c>
      <c r="O53" s="14"/>
      <c r="P53" s="1">
        <f>SUM(OSRRefP22_9x_0)</f>
        <v>0</v>
      </c>
      <c r="Q53" s="1"/>
      <c r="R53" s="5">
        <f t="shared" ref="R53:R60" si="42">IF(P$12=0,0,P53/P$12)</f>
        <v>0</v>
      </c>
      <c r="S53" s="1"/>
      <c r="T53" s="1">
        <f>SUM(OSRRefT22_9x_0)</f>
        <v>40.92</v>
      </c>
      <c r="U53" s="1"/>
      <c r="V53" s="5">
        <f t="shared" ref="V53:V60" si="43">IF(T$12=0,0,T53/T$12)</f>
        <v>2.6030484674647567E-3</v>
      </c>
      <c r="W53" s="1"/>
      <c r="X53" s="1">
        <f t="shared" ref="X53:X60" si="44">+P53-T53</f>
        <v>-40.92</v>
      </c>
      <c r="Y53" s="1"/>
      <c r="Z53" s="5">
        <f t="shared" ref="Z53:Z60" si="45">IF(T53=0,0,X53/T53)</f>
        <v>-1</v>
      </c>
    </row>
    <row r="54" spans="1:26" s="24" customFormat="1" hidden="1" outlineLevel="2" x14ac:dyDescent="0.25">
      <c r="A54" s="29"/>
      <c r="B54" s="11" t="str">
        <f>CONCATENATE("          ", "6286", " - ", "LAUNDRY EXPENSE")</f>
        <v xml:space="preserve">          6286 - LAUNDRY EXPENSE</v>
      </c>
      <c r="C54" s="11"/>
      <c r="D54" s="7"/>
      <c r="E54" s="2"/>
      <c r="F54" s="6">
        <f t="shared" si="38"/>
        <v>0</v>
      </c>
      <c r="G54" s="2"/>
      <c r="H54" s="7">
        <v>40.92</v>
      </c>
      <c r="I54" s="2"/>
      <c r="J54" s="6">
        <f t="shared" si="39"/>
        <v>2.6030484674647567E-3</v>
      </c>
      <c r="K54" s="2"/>
      <c r="L54" s="7">
        <f t="shared" si="40"/>
        <v>-40.92</v>
      </c>
      <c r="M54" s="2"/>
      <c r="N54" s="6">
        <f t="shared" si="41"/>
        <v>-1</v>
      </c>
      <c r="O54" s="11"/>
      <c r="P54" s="7"/>
      <c r="Q54" s="2"/>
      <c r="R54" s="6">
        <f t="shared" si="42"/>
        <v>0</v>
      </c>
      <c r="S54" s="2"/>
      <c r="T54" s="7">
        <v>40.92</v>
      </c>
      <c r="U54" s="2"/>
      <c r="V54" s="6">
        <f t="shared" si="43"/>
        <v>2.6030484674647567E-3</v>
      </c>
      <c r="W54" s="2"/>
      <c r="X54" s="7">
        <f t="shared" si="44"/>
        <v>-40.92</v>
      </c>
      <c r="Y54" s="2"/>
      <c r="Z54" s="6">
        <f t="shared" si="45"/>
        <v>-1</v>
      </c>
    </row>
    <row r="55" spans="1:26" s="28" customFormat="1" outlineLevel="1" collapsed="1" x14ac:dyDescent="0.25">
      <c r="A55" s="27"/>
      <c r="B55" s="14" t="str">
        <f>CONCATENATE("     ","Supplies                                          ")</f>
        <v xml:space="preserve">     Supplies                                          </v>
      </c>
      <c r="C55" s="14"/>
      <c r="D55" s="1">
        <f>SUM(OSRRefD22_10x_0)</f>
        <v>0</v>
      </c>
      <c r="E55" s="1"/>
      <c r="F55" s="5">
        <f t="shared" si="38"/>
        <v>0</v>
      </c>
      <c r="G55" s="1"/>
      <c r="H55" s="1">
        <f>SUM(OSRRefH22_10x_0)</f>
        <v>1328.85</v>
      </c>
      <c r="I55" s="1"/>
      <c r="J55" s="5">
        <f t="shared" si="39"/>
        <v>8.4532281426943828E-2</v>
      </c>
      <c r="K55" s="1"/>
      <c r="L55" s="1">
        <f t="shared" si="40"/>
        <v>-1328.85</v>
      </c>
      <c r="M55" s="1"/>
      <c r="N55" s="5">
        <f t="shared" si="41"/>
        <v>-1</v>
      </c>
      <c r="O55" s="14"/>
      <c r="P55" s="1">
        <f>SUM(OSRRefP22_10x_0)</f>
        <v>0</v>
      </c>
      <c r="Q55" s="1"/>
      <c r="R55" s="5">
        <f t="shared" si="42"/>
        <v>0</v>
      </c>
      <c r="S55" s="1"/>
      <c r="T55" s="1">
        <f>SUM(OSRRefT22_10x_0)</f>
        <v>2263.11</v>
      </c>
      <c r="U55" s="1"/>
      <c r="V55" s="5">
        <f t="shared" si="43"/>
        <v>0.14396346571857688</v>
      </c>
      <c r="W55" s="1"/>
      <c r="X55" s="1">
        <f t="shared" si="44"/>
        <v>-2263.11</v>
      </c>
      <c r="Y55" s="1"/>
      <c r="Z55" s="5">
        <f t="shared" si="45"/>
        <v>-1</v>
      </c>
    </row>
    <row r="56" spans="1:26" s="24" customFormat="1" hidden="1" outlineLevel="2" x14ac:dyDescent="0.25">
      <c r="A56" s="29"/>
      <c r="B56" s="11" t="str">
        <f>CONCATENATE("          ", "6239", " - ", "KITCHEN SUPPLIES")</f>
        <v xml:space="preserve">          6239 - KITCHEN SUPPLIES</v>
      </c>
      <c r="C56" s="11"/>
      <c r="D56" s="7"/>
      <c r="E56" s="2"/>
      <c r="F56" s="6">
        <f t="shared" si="38"/>
        <v>0</v>
      </c>
      <c r="G56" s="2"/>
      <c r="H56" s="7">
        <v>281.44</v>
      </c>
      <c r="I56" s="2"/>
      <c r="J56" s="6">
        <f t="shared" si="39"/>
        <v>1.7903273721487808E-2</v>
      </c>
      <c r="K56" s="2"/>
      <c r="L56" s="7">
        <f t="shared" si="40"/>
        <v>-281.44</v>
      </c>
      <c r="M56" s="2"/>
      <c r="N56" s="6">
        <f t="shared" si="41"/>
        <v>-1</v>
      </c>
      <c r="O56" s="11"/>
      <c r="P56" s="7"/>
      <c r="Q56" s="2"/>
      <c r="R56" s="6">
        <f t="shared" si="42"/>
        <v>0</v>
      </c>
      <c r="S56" s="2"/>
      <c r="T56" s="7">
        <v>869.07</v>
      </c>
      <c r="U56" s="2"/>
      <c r="V56" s="6">
        <f t="shared" si="43"/>
        <v>5.5284245640752593E-2</v>
      </c>
      <c r="W56" s="2"/>
      <c r="X56" s="7">
        <f t="shared" si="44"/>
        <v>-869.07</v>
      </c>
      <c r="Y56" s="2"/>
      <c r="Z56" s="6">
        <f t="shared" si="45"/>
        <v>-1</v>
      </c>
    </row>
    <row r="57" spans="1:26" s="24" customFormat="1" hidden="1" outlineLevel="2" x14ac:dyDescent="0.25">
      <c r="A57" s="29"/>
      <c r="B57" s="11" t="str">
        <f>CONCATENATE("          ", "6241", " - ", "OFFICE EXPENSE")</f>
        <v xml:space="preserve">          6241 - OFFICE EXPENSE</v>
      </c>
      <c r="C57" s="11"/>
      <c r="D57" s="7"/>
      <c r="E57" s="2"/>
      <c r="F57" s="6">
        <f t="shared" si="38"/>
        <v>0</v>
      </c>
      <c r="G57" s="2"/>
      <c r="H57" s="7">
        <v>335.25</v>
      </c>
      <c r="I57" s="2"/>
      <c r="J57" s="6">
        <f t="shared" si="39"/>
        <v>2.1326295178825994E-2</v>
      </c>
      <c r="K57" s="2"/>
      <c r="L57" s="7">
        <f t="shared" si="40"/>
        <v>-335.25</v>
      </c>
      <c r="M57" s="2"/>
      <c r="N57" s="6">
        <f t="shared" si="41"/>
        <v>-1</v>
      </c>
      <c r="O57" s="11"/>
      <c r="P57" s="7"/>
      <c r="Q57" s="2"/>
      <c r="R57" s="6">
        <f t="shared" si="42"/>
        <v>0</v>
      </c>
      <c r="S57" s="2"/>
      <c r="T57" s="7">
        <v>335.25</v>
      </c>
      <c r="U57" s="2"/>
      <c r="V57" s="6">
        <f t="shared" si="43"/>
        <v>2.1326295178825994E-2</v>
      </c>
      <c r="W57" s="2"/>
      <c r="X57" s="7">
        <f t="shared" si="44"/>
        <v>-335.25</v>
      </c>
      <c r="Y57" s="2"/>
      <c r="Z57" s="6">
        <f t="shared" si="45"/>
        <v>-1</v>
      </c>
    </row>
    <row r="58" spans="1:26" s="24" customFormat="1" hidden="1" outlineLevel="2" x14ac:dyDescent="0.25">
      <c r="A58" s="29"/>
      <c r="B58" s="11" t="str">
        <f>CONCATENATE("          ", "6243", " - ", "PAPER SUPPLIES")</f>
        <v xml:space="preserve">          6243 - PAPER SUPPLIES</v>
      </c>
      <c r="C58" s="11"/>
      <c r="D58" s="7"/>
      <c r="E58" s="2"/>
      <c r="F58" s="6">
        <f t="shared" si="38"/>
        <v>0</v>
      </c>
      <c r="G58" s="2"/>
      <c r="H58" s="7">
        <v>319.12</v>
      </c>
      <c r="I58" s="2"/>
      <c r="J58" s="6">
        <f t="shared" si="39"/>
        <v>2.0300215712056528E-2</v>
      </c>
      <c r="K58" s="2"/>
      <c r="L58" s="7">
        <f t="shared" si="40"/>
        <v>-319.12</v>
      </c>
      <c r="M58" s="2"/>
      <c r="N58" s="6">
        <f t="shared" si="41"/>
        <v>-1</v>
      </c>
      <c r="O58" s="11"/>
      <c r="P58" s="7"/>
      <c r="Q58" s="2"/>
      <c r="R58" s="6">
        <f t="shared" si="42"/>
        <v>0</v>
      </c>
      <c r="S58" s="2"/>
      <c r="T58" s="7">
        <v>319.12</v>
      </c>
      <c r="U58" s="2"/>
      <c r="V58" s="6">
        <f t="shared" si="43"/>
        <v>2.0300215712056528E-2</v>
      </c>
      <c r="W58" s="2"/>
      <c r="X58" s="7">
        <f t="shared" si="44"/>
        <v>-319.12</v>
      </c>
      <c r="Y58" s="2"/>
      <c r="Z58" s="6">
        <f t="shared" si="45"/>
        <v>-1</v>
      </c>
    </row>
    <row r="59" spans="1:26" s="24" customFormat="1" hidden="1" outlineLevel="2" x14ac:dyDescent="0.25">
      <c r="A59" s="29"/>
      <c r="B59" s="11" t="str">
        <f>CONCATENATE("          ", "6247", " - ", "STORE SUPPLIES")</f>
        <v xml:space="preserve">          6247 - STORE SUPPLIES</v>
      </c>
      <c r="C59" s="11"/>
      <c r="D59" s="7"/>
      <c r="E59" s="2"/>
      <c r="F59" s="6">
        <f t="shared" si="38"/>
        <v>0</v>
      </c>
      <c r="G59" s="2"/>
      <c r="H59" s="7">
        <v>102.64</v>
      </c>
      <c r="I59" s="2"/>
      <c r="J59" s="6">
        <f t="shared" si="39"/>
        <v>6.5292496261139445E-3</v>
      </c>
      <c r="K59" s="2"/>
      <c r="L59" s="7">
        <f t="shared" si="40"/>
        <v>-102.64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102.64</v>
      </c>
      <c r="U59" s="2"/>
      <c r="V59" s="6">
        <f t="shared" si="43"/>
        <v>6.5292496261139445E-3</v>
      </c>
      <c r="W59" s="2"/>
      <c r="X59" s="7">
        <f t="shared" si="44"/>
        <v>-102.64</v>
      </c>
      <c r="Y59" s="2"/>
      <c r="Z59" s="6">
        <f t="shared" si="45"/>
        <v>-1</v>
      </c>
    </row>
    <row r="60" spans="1:26" s="24" customFormat="1" hidden="1" outlineLevel="2" x14ac:dyDescent="0.25">
      <c r="A60" s="29"/>
      <c r="B60" s="11" t="str">
        <f>CONCATENATE("          ", "6248", " - ", "UNIFORMS")</f>
        <v xml:space="preserve">          6248 - UNIFORMS</v>
      </c>
      <c r="C60" s="11"/>
      <c r="D60" s="7"/>
      <c r="E60" s="2"/>
      <c r="F60" s="6">
        <f t="shared" si="38"/>
        <v>0</v>
      </c>
      <c r="G60" s="2"/>
      <c r="H60" s="7">
        <v>290.39999999999998</v>
      </c>
      <c r="I60" s="2"/>
      <c r="J60" s="6">
        <f t="shared" si="39"/>
        <v>1.8473247188459562E-2</v>
      </c>
      <c r="K60" s="2"/>
      <c r="L60" s="7">
        <f t="shared" si="40"/>
        <v>-290.39999999999998</v>
      </c>
      <c r="M60" s="2"/>
      <c r="N60" s="6">
        <f t="shared" si="41"/>
        <v>-1</v>
      </c>
      <c r="O60" s="11"/>
      <c r="P60" s="7"/>
      <c r="Q60" s="2"/>
      <c r="R60" s="6">
        <f t="shared" si="42"/>
        <v>0</v>
      </c>
      <c r="S60" s="2"/>
      <c r="T60" s="7">
        <v>637.03</v>
      </c>
      <c r="U60" s="2"/>
      <c r="V60" s="6">
        <f t="shared" si="43"/>
        <v>4.0523459560827806E-2</v>
      </c>
      <c r="W60" s="2"/>
      <c r="X60" s="7">
        <f t="shared" si="44"/>
        <v>-637.03</v>
      </c>
      <c r="Y60" s="2"/>
      <c r="Z60" s="6">
        <f t="shared" si="45"/>
        <v>-1</v>
      </c>
    </row>
    <row r="61" spans="1:26" s="28" customFormat="1" outlineLevel="1" collapsed="1" x14ac:dyDescent="0.25">
      <c r="A61" s="27"/>
      <c r="B61" s="14" t="str">
        <f>CONCATENATE("     ","Telephone/Data Lines                              ")</f>
        <v xml:space="preserve">     Telephone/Data Lines                              </v>
      </c>
      <c r="C61" s="14"/>
      <c r="D61" s="1">
        <f>SUM(OSRRefD22_11x_0)</f>
        <v>36</v>
      </c>
      <c r="E61" s="1"/>
      <c r="F61" s="5">
        <f t="shared" ref="F61:F64" si="46">IF(D$12=0,0,D61/D$12)</f>
        <v>0</v>
      </c>
      <c r="G61" s="1"/>
      <c r="H61" s="1">
        <f>SUM(OSRRefH22_11x_0)</f>
        <v>86</v>
      </c>
      <c r="I61" s="1"/>
      <c r="J61" s="5">
        <f t="shared" ref="J61:J64" si="47">IF(H$12=0,0,H61/H$12)</f>
        <v>5.4707274731663992E-3</v>
      </c>
      <c r="K61" s="1"/>
      <c r="L61" s="1">
        <f t="shared" ref="L61:L64" si="48">+D61-H61</f>
        <v>-50</v>
      </c>
      <c r="M61" s="1"/>
      <c r="N61" s="5">
        <f t="shared" ref="N61:N64" si="49">IF(H61=0,0,L61/H61)</f>
        <v>-0.58139534883720934</v>
      </c>
      <c r="O61" s="14"/>
      <c r="P61" s="1">
        <f>SUM(OSRRefP22_11x_0)</f>
        <v>72</v>
      </c>
      <c r="Q61" s="1"/>
      <c r="R61" s="5">
        <f t="shared" ref="R61:R64" si="50">IF(P$12=0,0,P61/P$12)</f>
        <v>0</v>
      </c>
      <c r="S61" s="1"/>
      <c r="T61" s="1">
        <f>SUM(OSRRefT22_11x_0)</f>
        <v>118</v>
      </c>
      <c r="U61" s="1"/>
      <c r="V61" s="5">
        <f t="shared" ref="V61:V64" si="51">IF(T$12=0,0,T61/T$12)</f>
        <v>7.5063469980655249E-3</v>
      </c>
      <c r="W61" s="1"/>
      <c r="X61" s="1">
        <f t="shared" ref="X61:X64" si="52">+P61-T61</f>
        <v>-46</v>
      </c>
      <c r="Y61" s="1"/>
      <c r="Z61" s="5">
        <f t="shared" ref="Z61:Z64" si="53">IF(T61=0,0,X61/T61)</f>
        <v>-0.38983050847457629</v>
      </c>
    </row>
    <row r="62" spans="1:26" s="24" customFormat="1" hidden="1" outlineLevel="2" x14ac:dyDescent="0.25">
      <c r="A62" s="29"/>
      <c r="B62" s="11" t="str">
        <f>CONCATENATE("          ", "6309", " - ", "TELEPHONE")</f>
        <v xml:space="preserve">          6309 - TELEPHONE</v>
      </c>
      <c r="C62" s="11"/>
      <c r="D62" s="7">
        <v>36</v>
      </c>
      <c r="E62" s="2"/>
      <c r="F62" s="6">
        <f t="shared" si="46"/>
        <v>0</v>
      </c>
      <c r="G62" s="2"/>
      <c r="H62" s="7">
        <v>86</v>
      </c>
      <c r="I62" s="2"/>
      <c r="J62" s="6">
        <f t="shared" si="47"/>
        <v>5.4707274731663992E-3</v>
      </c>
      <c r="K62" s="2"/>
      <c r="L62" s="7">
        <f t="shared" si="48"/>
        <v>-50</v>
      </c>
      <c r="M62" s="2"/>
      <c r="N62" s="6">
        <f t="shared" si="49"/>
        <v>-0.58139534883720934</v>
      </c>
      <c r="O62" s="11"/>
      <c r="P62" s="7">
        <v>72</v>
      </c>
      <c r="Q62" s="2"/>
      <c r="R62" s="6">
        <f t="shared" si="50"/>
        <v>0</v>
      </c>
      <c r="S62" s="2"/>
      <c r="T62" s="7">
        <v>118</v>
      </c>
      <c r="U62" s="2"/>
      <c r="V62" s="6">
        <f t="shared" si="51"/>
        <v>7.5063469980655249E-3</v>
      </c>
      <c r="W62" s="2"/>
      <c r="X62" s="7">
        <f t="shared" si="52"/>
        <v>-46</v>
      </c>
      <c r="Y62" s="2"/>
      <c r="Z62" s="6">
        <f t="shared" si="53"/>
        <v>-0.38983050847457629</v>
      </c>
    </row>
    <row r="63" spans="1:26" s="28" customFormat="1" outlineLevel="1" collapsed="1" x14ac:dyDescent="0.25">
      <c r="A63" s="27"/>
      <c r="B63" s="14" t="str">
        <f>CONCATENATE("     ","Training                                          ")</f>
        <v xml:space="preserve">     Training                                          </v>
      </c>
      <c r="C63" s="14"/>
      <c r="D63" s="1">
        <f>SUM(OSRRefD22_12x_0)</f>
        <v>0</v>
      </c>
      <c r="E63" s="1"/>
      <c r="F63" s="5">
        <f t="shared" si="46"/>
        <v>0</v>
      </c>
      <c r="G63" s="1"/>
      <c r="H63" s="1">
        <f>SUM(OSRRefH22_12x_0)</f>
        <v>0</v>
      </c>
      <c r="I63" s="1"/>
      <c r="J63" s="5">
        <f t="shared" si="47"/>
        <v>0</v>
      </c>
      <c r="K63" s="1"/>
      <c r="L63" s="1">
        <f t="shared" si="48"/>
        <v>0</v>
      </c>
      <c r="M63" s="1"/>
      <c r="N63" s="5">
        <f t="shared" si="49"/>
        <v>0</v>
      </c>
      <c r="O63" s="14"/>
      <c r="P63" s="1">
        <f>SUM(OSRRefP22_12x_0)</f>
        <v>0</v>
      </c>
      <c r="Q63" s="1"/>
      <c r="R63" s="5">
        <f t="shared" si="50"/>
        <v>0</v>
      </c>
      <c r="S63" s="1"/>
      <c r="T63" s="1">
        <f>SUM(OSRRefT22_12x_0)</f>
        <v>152.94999999999999</v>
      </c>
      <c r="U63" s="1"/>
      <c r="V63" s="5">
        <f t="shared" si="51"/>
        <v>9.729625197916288E-3</v>
      </c>
      <c r="W63" s="1"/>
      <c r="X63" s="1">
        <f t="shared" si="52"/>
        <v>-152.94999999999999</v>
      </c>
      <c r="Y63" s="1"/>
      <c r="Z63" s="5">
        <f t="shared" si="53"/>
        <v>-1</v>
      </c>
    </row>
    <row r="64" spans="1:26" s="24" customFormat="1" hidden="1" outlineLevel="2" x14ac:dyDescent="0.25">
      <c r="A64" s="29"/>
      <c r="B64" s="11" t="str">
        <f>CONCATENATE("          ", "6376", " - ", "TRAINING")</f>
        <v xml:space="preserve">          6376 - TRAINING</v>
      </c>
      <c r="C64" s="11"/>
      <c r="D64" s="7"/>
      <c r="E64" s="2"/>
      <c r="F64" s="6">
        <f t="shared" si="46"/>
        <v>0</v>
      </c>
      <c r="G64" s="2"/>
      <c r="H64" s="7"/>
      <c r="I64" s="2"/>
      <c r="J64" s="6">
        <f t="shared" si="47"/>
        <v>0</v>
      </c>
      <c r="K64" s="2"/>
      <c r="L64" s="7">
        <f t="shared" si="48"/>
        <v>0</v>
      </c>
      <c r="M64" s="2"/>
      <c r="N64" s="6">
        <f t="shared" si="49"/>
        <v>0</v>
      </c>
      <c r="O64" s="11"/>
      <c r="P64" s="7"/>
      <c r="Q64" s="2"/>
      <c r="R64" s="6">
        <f t="shared" si="50"/>
        <v>0</v>
      </c>
      <c r="S64" s="2"/>
      <c r="T64" s="7">
        <v>152.94999999999999</v>
      </c>
      <c r="U64" s="2"/>
      <c r="V64" s="6">
        <f t="shared" si="51"/>
        <v>9.729625197916288E-3</v>
      </c>
      <c r="W64" s="2"/>
      <c r="X64" s="7">
        <f t="shared" si="52"/>
        <v>-152.94999999999999</v>
      </c>
      <c r="Y64" s="2"/>
      <c r="Z64" s="6">
        <f t="shared" si="53"/>
        <v>-1</v>
      </c>
    </row>
    <row r="65" spans="1:26" s="52" customFormat="1" x14ac:dyDescent="0.25">
      <c r="A65" s="37"/>
      <c r="B65" s="37"/>
      <c r="C65" s="37"/>
      <c r="D65" s="1"/>
      <c r="E65" s="1"/>
      <c r="F65" s="5"/>
      <c r="G65" s="1"/>
      <c r="H65" s="1"/>
      <c r="I65" s="1"/>
      <c r="J65" s="5"/>
      <c r="K65" s="1"/>
      <c r="L65" s="1"/>
      <c r="M65" s="1"/>
      <c r="N65" s="5"/>
      <c r="O65" s="37"/>
      <c r="P65" s="1"/>
      <c r="Q65" s="1"/>
      <c r="R65" s="5"/>
      <c r="S65" s="1"/>
      <c r="T65" s="1"/>
      <c r="U65" s="1"/>
      <c r="V65" s="5"/>
      <c r="W65" s="1"/>
      <c r="X65" s="1"/>
      <c r="Y65" s="1"/>
      <c r="Z65" s="5"/>
    </row>
    <row r="66" spans="1:26" s="23" customFormat="1" x14ac:dyDescent="0.25">
      <c r="A66" s="10"/>
      <c r="B66" s="25" t="s">
        <v>0</v>
      </c>
      <c r="C66" s="10"/>
      <c r="D66" s="4">
        <f>SUM(0)</f>
        <v>0</v>
      </c>
      <c r="E66" s="4"/>
      <c r="F66" s="12">
        <f>IF(D$12=0,0,D66/D$12)</f>
        <v>0</v>
      </c>
      <c r="G66" s="4"/>
      <c r="H66" s="4">
        <f>SUM(0)</f>
        <v>0</v>
      </c>
      <c r="I66" s="4"/>
      <c r="J66" s="12">
        <f>IF(H$12=0,0,H66/H$12)</f>
        <v>0</v>
      </c>
      <c r="K66" s="4"/>
      <c r="L66" s="4">
        <f>+D66-H66</f>
        <v>0</v>
      </c>
      <c r="M66" s="4"/>
      <c r="N66" s="12">
        <f>IF(H66=0,0,L66/H66)</f>
        <v>0</v>
      </c>
      <c r="O66" s="10"/>
      <c r="P66" s="4">
        <f>SUM(0)</f>
        <v>0</v>
      </c>
      <c r="Q66" s="4"/>
      <c r="R66" s="12">
        <f>IF(P$12=0,0,P66/P$12)</f>
        <v>0</v>
      </c>
      <c r="S66" s="4"/>
      <c r="T66" s="4">
        <f>SUM(0)</f>
        <v>0</v>
      </c>
      <c r="U66" s="4"/>
      <c r="V66" s="12">
        <f>IF(T$12=0,0,T66/T$12)</f>
        <v>0</v>
      </c>
      <c r="W66" s="4"/>
      <c r="X66" s="4">
        <f>+P66-T66</f>
        <v>0</v>
      </c>
      <c r="Y66" s="4"/>
      <c r="Z66" s="12">
        <f>IF(T66=0,0,X66/T66)</f>
        <v>0</v>
      </c>
    </row>
    <row r="67" spans="1:26" x14ac:dyDescent="0.25">
      <c r="A67" s="9"/>
      <c r="B67" s="10"/>
      <c r="C67" s="10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O67" s="10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25">
      <c r="A68" s="10"/>
      <c r="B68" s="26" t="s">
        <v>3</v>
      </c>
      <c r="C68" s="26"/>
      <c r="D68" s="22">
        <f>+D20-D22+D66</f>
        <v>-234.14999999999998</v>
      </c>
      <c r="E68" s="13"/>
      <c r="F68" s="21">
        <f>IF(D$12=0,0,D68/D$12)</f>
        <v>0</v>
      </c>
      <c r="G68" s="13"/>
      <c r="H68" s="22">
        <f>+H20-H22+H66</f>
        <v>-9606.3499999999967</v>
      </c>
      <c r="I68" s="13"/>
      <c r="J68" s="21">
        <f>IF(H$12=0,0,H68/H$12)</f>
        <v>-0.6110898007192096</v>
      </c>
      <c r="K68" s="16"/>
      <c r="L68" s="22">
        <f>+D68-H68</f>
        <v>9372.1999999999971</v>
      </c>
      <c r="M68" s="16"/>
      <c r="N68" s="21">
        <f>IF(H68=0,0,L68/H68)</f>
        <v>-0.9756254977176555</v>
      </c>
      <c r="O68" s="25"/>
      <c r="P68" s="22">
        <f>+P20-P22+P66</f>
        <v>-1114.52</v>
      </c>
      <c r="Q68" s="13"/>
      <c r="R68" s="21">
        <f>IF(P$12=0,0,P68/P$12)</f>
        <v>0</v>
      </c>
      <c r="S68" s="13"/>
      <c r="T68" s="22">
        <f>+T20-T22+T66</f>
        <v>-21136.909999999993</v>
      </c>
      <c r="U68" s="13"/>
      <c r="V68" s="21">
        <f>IF(T$12=0,0,T68/T$12)</f>
        <v>-1.3445845841261113</v>
      </c>
      <c r="W68" s="16"/>
      <c r="X68" s="22">
        <f>+P68-T68</f>
        <v>20022.389999999992</v>
      </c>
      <c r="Y68" s="16"/>
      <c r="Z68" s="21">
        <f>IF(T68=0,0,X68/T68)</f>
        <v>-0.94727138451173798</v>
      </c>
    </row>
    <row r="69" spans="1:26" x14ac:dyDescent="0.25">
      <c r="A69" s="9"/>
      <c r="B69" s="10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51"/>
      <c r="B70" s="10" t="s">
        <v>13</v>
      </c>
      <c r="C70" s="10"/>
      <c r="D70" s="4"/>
      <c r="E70" s="4"/>
      <c r="F70" s="12">
        <f>IF(D$12=0,0,D70/D$12)</f>
        <v>0</v>
      </c>
      <c r="G70" s="4"/>
      <c r="H70" s="4">
        <v>1960</v>
      </c>
      <c r="I70" s="4"/>
      <c r="J70" s="12">
        <f>IF(H$12=0,0,H70/H$12)</f>
        <v>0.12468169590007143</v>
      </c>
      <c r="K70" s="4"/>
      <c r="L70" s="4">
        <f>+D70-H70</f>
        <v>-1960</v>
      </c>
      <c r="M70" s="4"/>
      <c r="N70" s="12">
        <f>IF(H70=0,0,L70/H70)</f>
        <v>-1</v>
      </c>
      <c r="O70" s="10"/>
      <c r="P70" s="4"/>
      <c r="Q70" s="4"/>
      <c r="R70" s="12">
        <f>IF(P$12=0,0,P70/P$12)</f>
        <v>0</v>
      </c>
      <c r="S70" s="4"/>
      <c r="T70" s="4">
        <v>1960</v>
      </c>
      <c r="U70" s="4"/>
      <c r="V70" s="12">
        <f>IF(T$12=0,0,T70/T$12)</f>
        <v>0.12468169590007143</v>
      </c>
      <c r="W70" s="4"/>
      <c r="X70" s="4">
        <f>+P70-T70</f>
        <v>-1960</v>
      </c>
      <c r="Y70" s="4"/>
      <c r="Z70" s="12">
        <f>IF(T70=0,0,X70/T70)</f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ht="15.75" thickBot="1" x14ac:dyDescent="0.3">
      <c r="A72" s="10"/>
      <c r="B72" s="26" t="s">
        <v>4</v>
      </c>
      <c r="C72" s="26"/>
      <c r="D72" s="36">
        <f>+D68-D70</f>
        <v>-234.14999999999998</v>
      </c>
      <c r="E72" s="13"/>
      <c r="F72" s="34">
        <f>IF(D$12=0,0,D72/D$12)</f>
        <v>0</v>
      </c>
      <c r="G72" s="13"/>
      <c r="H72" s="36">
        <f>+H68-H70</f>
        <v>-11566.349999999997</v>
      </c>
      <c r="I72" s="13"/>
      <c r="J72" s="34">
        <f>IF(H$12=0,0,H72/H$12)</f>
        <v>-0.73577149661928098</v>
      </c>
      <c r="K72" s="16"/>
      <c r="L72" s="36">
        <f>D72-H72</f>
        <v>11332.199999999997</v>
      </c>
      <c r="M72" s="16"/>
      <c r="N72" s="34">
        <f>IF(H72=0,0,L72/H72)</f>
        <v>-0.97975592991738969</v>
      </c>
      <c r="O72" s="25"/>
      <c r="P72" s="36">
        <f>+P68-P70</f>
        <v>-1114.52</v>
      </c>
      <c r="Q72" s="13"/>
      <c r="R72" s="34">
        <f>IF(P$12=0,0,P72/P$12)</f>
        <v>0</v>
      </c>
      <c r="S72" s="13"/>
      <c r="T72" s="36">
        <f>+T68-T70</f>
        <v>-23096.909999999993</v>
      </c>
      <c r="U72" s="13"/>
      <c r="V72" s="34">
        <f>IF(T$12=0,0,T72/T$12)</f>
        <v>-1.4692662800261826</v>
      </c>
      <c r="W72" s="16"/>
      <c r="X72" s="36">
        <f>P72-T72</f>
        <v>21982.389999999992</v>
      </c>
      <c r="Y72" s="16"/>
      <c r="Z72" s="34">
        <f>IF(T72=0,0,X72/T72)</f>
        <v>-0.95174592618666298</v>
      </c>
    </row>
    <row r="73" spans="1:26" ht="15.75" thickTop="1" x14ac:dyDescent="0.25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.75" thickBot="1" x14ac:dyDescent="0.3">
      <c r="A75" s="10"/>
      <c r="B75" s="26" t="s">
        <v>5</v>
      </c>
      <c r="C75" s="26"/>
      <c r="D75" s="30">
        <f>SUM(D72:D74)</f>
        <v>-234.14999999999998</v>
      </c>
      <c r="E75" s="13"/>
      <c r="F75" s="31">
        <f>IF(D$12=0,0,D75/D$12)</f>
        <v>0</v>
      </c>
      <c r="G75" s="13"/>
      <c r="H75" s="30">
        <f>SUM(H72:H74)</f>
        <v>-11566.349999999997</v>
      </c>
      <c r="I75" s="13"/>
      <c r="J75" s="31">
        <f>IF(H$12=0,0,H75/H$12)</f>
        <v>-0.73577149661928098</v>
      </c>
      <c r="K75" s="16"/>
      <c r="L75" s="30">
        <f>+D75-H75</f>
        <v>11332.199999999997</v>
      </c>
      <c r="M75" s="16"/>
      <c r="N75" s="31">
        <f>IF(H75=0,0,L75/H75)</f>
        <v>-0.97975592991738969</v>
      </c>
      <c r="O75" s="25"/>
      <c r="P75" s="30">
        <f>SUM(P72:P74)</f>
        <v>-1114.52</v>
      </c>
      <c r="Q75" s="13"/>
      <c r="R75" s="31">
        <f>IF(P$12=0,0,P75/P$12)</f>
        <v>0</v>
      </c>
      <c r="S75" s="13"/>
      <c r="T75" s="30">
        <f>SUM(T72:T74)</f>
        <v>-23096.909999999993</v>
      </c>
      <c r="U75" s="13"/>
      <c r="V75" s="31">
        <f>IF(T$12=0,0,T75/T$12)</f>
        <v>-1.4692662800261826</v>
      </c>
      <c r="W75" s="16"/>
      <c r="X75" s="30">
        <f>+P75-T75</f>
        <v>21982.389999999992</v>
      </c>
      <c r="Y75" s="16"/>
      <c r="Z75" s="31">
        <f>IF(T75=0,0,X75/T75)</f>
        <v>-0.95174592618666298</v>
      </c>
    </row>
    <row r="76" spans="1:26" ht="15.75" thickTop="1" x14ac:dyDescent="0.25">
      <c r="A76" s="9"/>
      <c r="C76" s="9"/>
      <c r="D76" s="18"/>
      <c r="E76" s="18"/>
      <c r="G76" s="18"/>
      <c r="H76" s="18"/>
      <c r="I76" s="18"/>
      <c r="J76" s="43"/>
      <c r="K76" s="18"/>
      <c r="L76" s="18"/>
      <c r="M76" s="18"/>
      <c r="P76" s="18"/>
      <c r="Q76" s="18"/>
      <c r="R76" s="43"/>
      <c r="S76" s="18"/>
      <c r="T76" s="18"/>
      <c r="U76" s="18"/>
      <c r="V76" s="43"/>
      <c r="W76" s="18"/>
      <c r="X76" s="18"/>
    </row>
    <row r="77" spans="1:26" x14ac:dyDescent="0.25">
      <c r="A77" s="9"/>
      <c r="B77" s="61">
        <v>44113.696534525465</v>
      </c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56" t="s">
        <v>313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8"/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297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","411", " - ", "University Dining")</f>
        <v>Department 411 - University Dining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-329.99999999999926</v>
      </c>
      <c r="E18" s="20"/>
      <c r="F18" s="35">
        <f t="shared" ref="F18:F28" si="0">IF(D$12=0,0,D18/D$12)</f>
        <v>0</v>
      </c>
      <c r="G18" s="20"/>
      <c r="H18" s="20">
        <f>SUM(OSRRefH22x_0)</f>
        <v>75348.960000000006</v>
      </c>
      <c r="I18" s="20"/>
      <c r="J18" s="35">
        <f t="shared" ref="J18:J28" si="1">IF(H$12=0,0,H18/H$12)</f>
        <v>0</v>
      </c>
      <c r="K18" s="4"/>
      <c r="L18" s="20">
        <f t="shared" ref="L18:L28" si="2">+D18-H18</f>
        <v>-75678.960000000006</v>
      </c>
      <c r="M18" s="4"/>
      <c r="N18" s="35">
        <f t="shared" ref="N18:N28" si="3">IF(H18=0,0,L18/H18)</f>
        <v>-1.004379622492467</v>
      </c>
      <c r="O18" s="10"/>
      <c r="P18" s="20">
        <f>SUM(OSRRefP22x_0)</f>
        <v>30322.209999999992</v>
      </c>
      <c r="Q18" s="20"/>
      <c r="R18" s="35">
        <f t="shared" ref="R18:R28" si="4">IF(P$12=0,0,P18/P$12)</f>
        <v>0</v>
      </c>
      <c r="S18" s="20"/>
      <c r="T18" s="20">
        <f>SUM(OSRRefT22x_0)</f>
        <v>171720.93999999997</v>
      </c>
      <c r="U18" s="20"/>
      <c r="V18" s="35">
        <f t="shared" ref="V18:V28" si="5">IF(T$12=0,0,T18/T$12)</f>
        <v>0</v>
      </c>
      <c r="W18" s="4"/>
      <c r="X18" s="20">
        <f t="shared" ref="X18:X28" si="6">+P18-T18</f>
        <v>-141398.72999999998</v>
      </c>
      <c r="Y18" s="4"/>
      <c r="Z18" s="35">
        <f t="shared" ref="Z18:Z28" si="7">IF(T18=0,0,X18/T18)</f>
        <v>-0.82342159319649666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5680.1500000000005</v>
      </c>
      <c r="E19" s="1"/>
      <c r="F19" s="5">
        <f t="shared" si="0"/>
        <v>0</v>
      </c>
      <c r="G19" s="1"/>
      <c r="H19" s="1">
        <f>SUM(OSRRefH22_0x_0)</f>
        <v>10109.429999999998</v>
      </c>
      <c r="I19" s="1"/>
      <c r="J19" s="5">
        <f t="shared" si="1"/>
        <v>0</v>
      </c>
      <c r="K19" s="1"/>
      <c r="L19" s="1">
        <f t="shared" si="2"/>
        <v>-4429.2799999999979</v>
      </c>
      <c r="M19" s="1"/>
      <c r="N19" s="5">
        <f t="shared" si="3"/>
        <v>-0.43813350505419185</v>
      </c>
      <c r="O19" s="14"/>
      <c r="P19" s="1">
        <f>SUM(OSRRefP22_0x_0)</f>
        <v>11058.539999999999</v>
      </c>
      <c r="Q19" s="1"/>
      <c r="R19" s="5">
        <f t="shared" si="4"/>
        <v>0</v>
      </c>
      <c r="S19" s="1"/>
      <c r="T19" s="1">
        <f>SUM(OSRRefT22_0x_0)</f>
        <v>22179.01</v>
      </c>
      <c r="U19" s="1"/>
      <c r="V19" s="5">
        <f t="shared" si="5"/>
        <v>0</v>
      </c>
      <c r="W19" s="1"/>
      <c r="X19" s="1">
        <f t="shared" si="6"/>
        <v>-11120.47</v>
      </c>
      <c r="Y19" s="1"/>
      <c r="Z19" s="5">
        <f t="shared" si="7"/>
        <v>-0.50139613986377207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846.8</v>
      </c>
      <c r="E20" s="2"/>
      <c r="F20" s="6">
        <f t="shared" si="0"/>
        <v>0</v>
      </c>
      <c r="G20" s="2"/>
      <c r="H20" s="7">
        <v>1893.29</v>
      </c>
      <c r="I20" s="2"/>
      <c r="J20" s="6">
        <f t="shared" si="1"/>
        <v>0</v>
      </c>
      <c r="K20" s="2"/>
      <c r="L20" s="7">
        <f t="shared" si="2"/>
        <v>-1046.49</v>
      </c>
      <c r="M20" s="2"/>
      <c r="N20" s="6">
        <f t="shared" si="3"/>
        <v>-0.55273624220272644</v>
      </c>
      <c r="O20" s="11"/>
      <c r="P20" s="7">
        <v>1852.72</v>
      </c>
      <c r="Q20" s="2"/>
      <c r="R20" s="6">
        <f t="shared" si="4"/>
        <v>0</v>
      </c>
      <c r="S20" s="2"/>
      <c r="T20" s="7">
        <v>4021.52</v>
      </c>
      <c r="U20" s="2"/>
      <c r="V20" s="6">
        <f t="shared" si="5"/>
        <v>0</v>
      </c>
      <c r="W20" s="2"/>
      <c r="X20" s="7">
        <f t="shared" si="6"/>
        <v>-2168.8000000000002</v>
      </c>
      <c r="Y20" s="2"/>
      <c r="Z20" s="6">
        <f t="shared" si="7"/>
        <v>-0.53929857367363587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36.53</v>
      </c>
      <c r="E21" s="2"/>
      <c r="F21" s="6">
        <f t="shared" si="0"/>
        <v>0</v>
      </c>
      <c r="G21" s="2"/>
      <c r="H21" s="7">
        <v>769.27</v>
      </c>
      <c r="I21" s="2"/>
      <c r="J21" s="6">
        <f t="shared" si="1"/>
        <v>0</v>
      </c>
      <c r="K21" s="2"/>
      <c r="L21" s="7">
        <f t="shared" si="2"/>
        <v>-732.74</v>
      </c>
      <c r="M21" s="2"/>
      <c r="N21" s="6">
        <f t="shared" si="3"/>
        <v>-0.95251342181548748</v>
      </c>
      <c r="O21" s="11"/>
      <c r="P21" s="7">
        <v>162.29</v>
      </c>
      <c r="Q21" s="2"/>
      <c r="R21" s="6">
        <f t="shared" si="4"/>
        <v>0</v>
      </c>
      <c r="S21" s="2"/>
      <c r="T21" s="7">
        <v>1469.83</v>
      </c>
      <c r="U21" s="2"/>
      <c r="V21" s="6">
        <f t="shared" si="5"/>
        <v>0</v>
      </c>
      <c r="W21" s="2"/>
      <c r="X21" s="7">
        <f t="shared" si="6"/>
        <v>-1307.54</v>
      </c>
      <c r="Y21" s="2"/>
      <c r="Z21" s="6">
        <f t="shared" si="7"/>
        <v>-0.88958587047481685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1950.75</v>
      </c>
      <c r="E22" s="2"/>
      <c r="F22" s="6">
        <f t="shared" si="0"/>
        <v>0</v>
      </c>
      <c r="G22" s="2"/>
      <c r="H22" s="7">
        <v>3654.84</v>
      </c>
      <c r="I22" s="2"/>
      <c r="J22" s="6">
        <f t="shared" si="1"/>
        <v>0</v>
      </c>
      <c r="K22" s="2"/>
      <c r="L22" s="7">
        <f t="shared" si="2"/>
        <v>-1704.0900000000001</v>
      </c>
      <c r="M22" s="2"/>
      <c r="N22" s="6">
        <f t="shared" si="3"/>
        <v>-0.46625570476409367</v>
      </c>
      <c r="O22" s="11"/>
      <c r="P22" s="7">
        <v>2767.47</v>
      </c>
      <c r="Q22" s="2"/>
      <c r="R22" s="6">
        <f t="shared" si="4"/>
        <v>0</v>
      </c>
      <c r="S22" s="2"/>
      <c r="T22" s="7">
        <v>7309.76</v>
      </c>
      <c r="U22" s="2"/>
      <c r="V22" s="6">
        <f t="shared" si="5"/>
        <v>0</v>
      </c>
      <c r="W22" s="2"/>
      <c r="X22" s="7">
        <f t="shared" si="6"/>
        <v>-4542.2900000000009</v>
      </c>
      <c r="Y22" s="2"/>
      <c r="Z22" s="6">
        <f t="shared" si="7"/>
        <v>-0.62140070262224767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28.78</v>
      </c>
      <c r="E23" s="2"/>
      <c r="F23" s="6">
        <f t="shared" si="0"/>
        <v>0</v>
      </c>
      <c r="G23" s="2"/>
      <c r="H23" s="7">
        <v>63.37</v>
      </c>
      <c r="I23" s="2"/>
      <c r="J23" s="6">
        <f t="shared" si="1"/>
        <v>0</v>
      </c>
      <c r="K23" s="2"/>
      <c r="L23" s="7">
        <f t="shared" si="2"/>
        <v>-34.589999999999996</v>
      </c>
      <c r="M23" s="2"/>
      <c r="N23" s="6">
        <f t="shared" si="3"/>
        <v>-0.54584188101625375</v>
      </c>
      <c r="O23" s="11"/>
      <c r="P23" s="7">
        <v>62.97</v>
      </c>
      <c r="Q23" s="2"/>
      <c r="R23" s="6">
        <f t="shared" si="4"/>
        <v>0</v>
      </c>
      <c r="S23" s="2"/>
      <c r="T23" s="7">
        <v>122.77</v>
      </c>
      <c r="U23" s="2"/>
      <c r="V23" s="6">
        <f t="shared" si="5"/>
        <v>0</v>
      </c>
      <c r="W23" s="2"/>
      <c r="X23" s="7">
        <f t="shared" si="6"/>
        <v>-59.8</v>
      </c>
      <c r="Y23" s="2"/>
      <c r="Z23" s="6">
        <f t="shared" si="7"/>
        <v>-0.48708967988922375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1221.05</v>
      </c>
      <c r="E24" s="2"/>
      <c r="F24" s="6">
        <f t="shared" si="0"/>
        <v>0</v>
      </c>
      <c r="G24" s="2"/>
      <c r="H24" s="7">
        <v>1169.0899999999999</v>
      </c>
      <c r="I24" s="2"/>
      <c r="J24" s="6">
        <f t="shared" si="1"/>
        <v>0</v>
      </c>
      <c r="K24" s="2"/>
      <c r="L24" s="7">
        <f t="shared" si="2"/>
        <v>51.960000000000036</v>
      </c>
      <c r="M24" s="2"/>
      <c r="N24" s="6">
        <f t="shared" si="3"/>
        <v>4.4444824607173132E-2</v>
      </c>
      <c r="O24" s="11"/>
      <c r="P24" s="7">
        <v>2763.67</v>
      </c>
      <c r="Q24" s="2"/>
      <c r="R24" s="6">
        <f t="shared" si="4"/>
        <v>0</v>
      </c>
      <c r="S24" s="2"/>
      <c r="T24" s="7">
        <v>2338.1799999999998</v>
      </c>
      <c r="U24" s="2"/>
      <c r="V24" s="6">
        <f t="shared" si="5"/>
        <v>0</v>
      </c>
      <c r="W24" s="2"/>
      <c r="X24" s="7">
        <f t="shared" si="6"/>
        <v>425.49000000000024</v>
      </c>
      <c r="Y24" s="2"/>
      <c r="Z24" s="6">
        <f t="shared" si="7"/>
        <v>0.18197486934282231</v>
      </c>
    </row>
    <row r="25" spans="1:26" s="24" customFormat="1" hidden="1" outlineLevel="2" x14ac:dyDescent="0.25">
      <c r="A25" s="29"/>
      <c r="B25" s="11" t="str">
        <f>CONCATENATE("          ", "6117", " - ", "RETIREMENT STAFF HOURLY")</f>
        <v xml:space="preserve">          6117 - RETIREMENT STAFF HOURLY</v>
      </c>
      <c r="C25" s="11"/>
      <c r="D25" s="7"/>
      <c r="E25" s="2"/>
      <c r="F25" s="6">
        <f t="shared" si="0"/>
        <v>0</v>
      </c>
      <c r="G25" s="2"/>
      <c r="H25" s="7">
        <v>56</v>
      </c>
      <c r="I25" s="2"/>
      <c r="J25" s="6">
        <f t="shared" si="1"/>
        <v>0</v>
      </c>
      <c r="K25" s="2"/>
      <c r="L25" s="7">
        <f t="shared" si="2"/>
        <v>-56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112</v>
      </c>
      <c r="U25" s="2"/>
      <c r="V25" s="6">
        <f t="shared" si="5"/>
        <v>0</v>
      </c>
      <c r="W25" s="2"/>
      <c r="X25" s="7">
        <f t="shared" si="6"/>
        <v>-112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>
        <v>1022.52</v>
      </c>
      <c r="E26" s="2"/>
      <c r="F26" s="6">
        <f t="shared" si="0"/>
        <v>0</v>
      </c>
      <c r="G26" s="2"/>
      <c r="H26" s="7">
        <v>1401.17</v>
      </c>
      <c r="I26" s="2"/>
      <c r="J26" s="6">
        <f t="shared" si="1"/>
        <v>0</v>
      </c>
      <c r="K26" s="2"/>
      <c r="L26" s="7">
        <f t="shared" si="2"/>
        <v>-378.65000000000009</v>
      </c>
      <c r="M26" s="2"/>
      <c r="N26" s="6">
        <f t="shared" si="3"/>
        <v>-0.2702384435864314</v>
      </c>
      <c r="O26" s="11"/>
      <c r="P26" s="7">
        <v>2237.1799999999998</v>
      </c>
      <c r="Q26" s="2"/>
      <c r="R26" s="6">
        <f t="shared" si="4"/>
        <v>0</v>
      </c>
      <c r="S26" s="2"/>
      <c r="T26" s="7">
        <v>3491.44</v>
      </c>
      <c r="U26" s="2"/>
      <c r="V26" s="6">
        <f t="shared" si="5"/>
        <v>0</v>
      </c>
      <c r="W26" s="2"/>
      <c r="X26" s="7">
        <f t="shared" si="6"/>
        <v>-1254.2600000000002</v>
      </c>
      <c r="Y26" s="2"/>
      <c r="Z26" s="6">
        <f t="shared" si="7"/>
        <v>-0.35923859496368266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>
        <v>510.58</v>
      </c>
      <c r="E27" s="2"/>
      <c r="F27" s="6">
        <f t="shared" si="0"/>
        <v>0</v>
      </c>
      <c r="G27" s="2"/>
      <c r="H27" s="7">
        <v>716.34</v>
      </c>
      <c r="I27" s="2"/>
      <c r="J27" s="6">
        <f t="shared" si="1"/>
        <v>0</v>
      </c>
      <c r="K27" s="2"/>
      <c r="L27" s="7">
        <f t="shared" si="2"/>
        <v>-205.76000000000005</v>
      </c>
      <c r="M27" s="2"/>
      <c r="N27" s="6">
        <f t="shared" si="3"/>
        <v>-0.28723790378870373</v>
      </c>
      <c r="O27" s="11"/>
      <c r="P27" s="7">
        <v>1117.0999999999999</v>
      </c>
      <c r="Q27" s="2"/>
      <c r="R27" s="6">
        <f t="shared" si="4"/>
        <v>0</v>
      </c>
      <c r="S27" s="2"/>
      <c r="T27" s="7">
        <v>2678.87</v>
      </c>
      <c r="U27" s="2"/>
      <c r="V27" s="6">
        <f t="shared" si="5"/>
        <v>0</v>
      </c>
      <c r="W27" s="2"/>
      <c r="X27" s="7">
        <f t="shared" si="6"/>
        <v>-1561.77</v>
      </c>
      <c r="Y27" s="2"/>
      <c r="Z27" s="6">
        <f t="shared" si="7"/>
        <v>-0.58299581539977674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>
        <v>63.14</v>
      </c>
      <c r="E28" s="2"/>
      <c r="F28" s="6">
        <f t="shared" si="0"/>
        <v>0</v>
      </c>
      <c r="G28" s="2"/>
      <c r="H28" s="7">
        <v>386.06</v>
      </c>
      <c r="I28" s="2"/>
      <c r="J28" s="6">
        <f t="shared" si="1"/>
        <v>0</v>
      </c>
      <c r="K28" s="2"/>
      <c r="L28" s="7">
        <f t="shared" si="2"/>
        <v>-322.92</v>
      </c>
      <c r="M28" s="2"/>
      <c r="N28" s="6">
        <f t="shared" si="3"/>
        <v>-0.83645029270061655</v>
      </c>
      <c r="O28" s="11"/>
      <c r="P28" s="7">
        <v>95.14</v>
      </c>
      <c r="Q28" s="2"/>
      <c r="R28" s="6">
        <f t="shared" si="4"/>
        <v>0</v>
      </c>
      <c r="S28" s="2"/>
      <c r="T28" s="7">
        <v>634.64</v>
      </c>
      <c r="U28" s="2"/>
      <c r="V28" s="6">
        <f t="shared" si="5"/>
        <v>0</v>
      </c>
      <c r="W28" s="2"/>
      <c r="X28" s="7">
        <f t="shared" si="6"/>
        <v>-539.5</v>
      </c>
      <c r="Y28" s="2"/>
      <c r="Z28" s="6">
        <f t="shared" si="7"/>
        <v>-0.85008823900163877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11069.28</v>
      </c>
      <c r="E29" s="1"/>
      <c r="F29" s="5">
        <f t="shared" ref="F29:F35" si="8">IF(D$12=0,0,D29/D$12)</f>
        <v>0</v>
      </c>
      <c r="G29" s="1"/>
      <c r="H29" s="1">
        <f>SUM(OSRRefH22_1x_0)</f>
        <v>23611.75</v>
      </c>
      <c r="I29" s="1"/>
      <c r="J29" s="5">
        <f t="shared" ref="J29:J35" si="9">IF(H$12=0,0,H29/H$12)</f>
        <v>0</v>
      </c>
      <c r="K29" s="1"/>
      <c r="L29" s="1">
        <f t="shared" ref="L29:L35" si="10">+D29-H29</f>
        <v>-12542.47</v>
      </c>
      <c r="M29" s="1"/>
      <c r="N29" s="5">
        <f t="shared" ref="N29:N35" si="11">IF(H29=0,0,L29/H29)</f>
        <v>-0.53119612057556087</v>
      </c>
      <c r="O29" s="14"/>
      <c r="P29" s="1">
        <f>SUM(OSRRefP22_1x_0)</f>
        <v>24356.609999999997</v>
      </c>
      <c r="Q29" s="1"/>
      <c r="R29" s="5">
        <f t="shared" ref="R29:R35" si="12">IF(P$12=0,0,P29/P$12)</f>
        <v>0</v>
      </c>
      <c r="S29" s="1"/>
      <c r="T29" s="1">
        <f>SUM(OSRRefT22_1x_0)</f>
        <v>55099.139999999992</v>
      </c>
      <c r="U29" s="1"/>
      <c r="V29" s="5">
        <f t="shared" ref="V29:V35" si="13">IF(T$12=0,0,T29/T$12)</f>
        <v>0</v>
      </c>
      <c r="W29" s="1"/>
      <c r="X29" s="1">
        <f t="shared" ref="X29:X35" si="14">+P29-T29</f>
        <v>-30742.529999999995</v>
      </c>
      <c r="Y29" s="1"/>
      <c r="Z29" s="5">
        <f t="shared" ref="Z29:Z35" si="15">IF(T29=0,0,X29/T29)</f>
        <v>-0.5579493618230702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>
        <v>11069.28</v>
      </c>
      <c r="E30" s="2"/>
      <c r="F30" s="6">
        <f t="shared" si="8"/>
        <v>0</v>
      </c>
      <c r="G30" s="2"/>
      <c r="H30" s="7">
        <v>7051.1</v>
      </c>
      <c r="I30" s="2"/>
      <c r="J30" s="6">
        <f t="shared" si="9"/>
        <v>0</v>
      </c>
      <c r="K30" s="2"/>
      <c r="L30" s="7">
        <f t="shared" si="10"/>
        <v>4018.1800000000003</v>
      </c>
      <c r="M30" s="2"/>
      <c r="N30" s="6">
        <f t="shared" si="11"/>
        <v>0.56986569471429993</v>
      </c>
      <c r="O30" s="11"/>
      <c r="P30" s="7">
        <v>22276.609999999997</v>
      </c>
      <c r="Q30" s="2"/>
      <c r="R30" s="6">
        <f t="shared" si="12"/>
        <v>0</v>
      </c>
      <c r="S30" s="2"/>
      <c r="T30" s="7">
        <v>17186.59</v>
      </c>
      <c r="U30" s="2"/>
      <c r="V30" s="6">
        <f t="shared" si="13"/>
        <v>0</v>
      </c>
      <c r="W30" s="2"/>
      <c r="X30" s="7">
        <f t="shared" si="14"/>
        <v>5090.0199999999968</v>
      </c>
      <c r="Y30" s="2"/>
      <c r="Z30" s="6">
        <f t="shared" si="15"/>
        <v>0.29616229862933813</v>
      </c>
    </row>
    <row r="31" spans="1:26" s="24" customFormat="1" hidden="1" outlineLevel="2" x14ac:dyDescent="0.25">
      <c r="A31" s="29"/>
      <c r="B31" s="11" t="str">
        <f>CONCATENATE("          ", "6002", " - ", "STAFF SALARIES")</f>
        <v xml:space="preserve">          6002 - STAFF SALARIES</v>
      </c>
      <c r="C31" s="11"/>
      <c r="D31" s="7"/>
      <c r="E31" s="2"/>
      <c r="F31" s="6">
        <f t="shared" si="8"/>
        <v>0</v>
      </c>
      <c r="G31" s="2"/>
      <c r="H31" s="7">
        <v>4359.24</v>
      </c>
      <c r="I31" s="2"/>
      <c r="J31" s="6">
        <f t="shared" si="9"/>
        <v>0</v>
      </c>
      <c r="K31" s="2"/>
      <c r="L31" s="7">
        <f t="shared" si="10"/>
        <v>-4359.24</v>
      </c>
      <c r="M31" s="2"/>
      <c r="N31" s="6">
        <f t="shared" si="11"/>
        <v>-1</v>
      </c>
      <c r="O31" s="11"/>
      <c r="P31" s="7">
        <v>2080</v>
      </c>
      <c r="Q31" s="2"/>
      <c r="R31" s="6">
        <f t="shared" si="12"/>
        <v>0</v>
      </c>
      <c r="S31" s="2"/>
      <c r="T31" s="7">
        <v>8576.48</v>
      </c>
      <c r="U31" s="2"/>
      <c r="V31" s="6">
        <f t="shared" si="13"/>
        <v>0</v>
      </c>
      <c r="W31" s="2"/>
      <c r="X31" s="7">
        <f t="shared" si="14"/>
        <v>-6496.48</v>
      </c>
      <c r="Y31" s="2"/>
      <c r="Z31" s="6">
        <f t="shared" si="15"/>
        <v>-0.75747626065705276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8"/>
        <v>0</v>
      </c>
      <c r="G32" s="2"/>
      <c r="H32" s="7">
        <v>1730.4</v>
      </c>
      <c r="I32" s="2"/>
      <c r="J32" s="6">
        <f t="shared" si="9"/>
        <v>0</v>
      </c>
      <c r="K32" s="2"/>
      <c r="L32" s="7">
        <f t="shared" si="10"/>
        <v>-1730.4</v>
      </c>
      <c r="M32" s="2"/>
      <c r="N32" s="6">
        <f t="shared" si="11"/>
        <v>-1</v>
      </c>
      <c r="O32" s="11"/>
      <c r="P32" s="7"/>
      <c r="Q32" s="2"/>
      <c r="R32" s="6">
        <f t="shared" si="12"/>
        <v>0</v>
      </c>
      <c r="S32" s="2"/>
      <c r="T32" s="7">
        <v>3922.24</v>
      </c>
      <c r="U32" s="2"/>
      <c r="V32" s="6">
        <f t="shared" si="13"/>
        <v>0</v>
      </c>
      <c r="W32" s="2"/>
      <c r="X32" s="7">
        <f t="shared" si="14"/>
        <v>-3922.24</v>
      </c>
      <c r="Y32" s="2"/>
      <c r="Z32" s="6">
        <f t="shared" si="15"/>
        <v>-1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8"/>
        <v>0</v>
      </c>
      <c r="G33" s="2"/>
      <c r="H33" s="7">
        <v>7633.51</v>
      </c>
      <c r="I33" s="2"/>
      <c r="J33" s="6">
        <f t="shared" si="9"/>
        <v>0</v>
      </c>
      <c r="K33" s="2"/>
      <c r="L33" s="7">
        <f t="shared" si="10"/>
        <v>-7633.51</v>
      </c>
      <c r="M33" s="2"/>
      <c r="N33" s="6">
        <f t="shared" si="11"/>
        <v>-1</v>
      </c>
      <c r="O33" s="11"/>
      <c r="P33" s="7"/>
      <c r="Q33" s="2"/>
      <c r="R33" s="6">
        <f t="shared" si="12"/>
        <v>0</v>
      </c>
      <c r="S33" s="2"/>
      <c r="T33" s="7">
        <v>16056.009999999998</v>
      </c>
      <c r="U33" s="2"/>
      <c r="V33" s="6">
        <f t="shared" si="13"/>
        <v>0</v>
      </c>
      <c r="W33" s="2"/>
      <c r="X33" s="7">
        <f t="shared" si="14"/>
        <v>-16056.009999999998</v>
      </c>
      <c r="Y33" s="2"/>
      <c r="Z33" s="6">
        <f t="shared" si="15"/>
        <v>-1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8"/>
        <v>0</v>
      </c>
      <c r="G34" s="2"/>
      <c r="H34" s="7">
        <v>364.25</v>
      </c>
      <c r="I34" s="2"/>
      <c r="J34" s="6">
        <f t="shared" si="9"/>
        <v>0</v>
      </c>
      <c r="K34" s="2"/>
      <c r="L34" s="7">
        <f t="shared" si="10"/>
        <v>-364.25</v>
      </c>
      <c r="M34" s="2"/>
      <c r="N34" s="6">
        <f t="shared" si="11"/>
        <v>-1</v>
      </c>
      <c r="O34" s="11"/>
      <c r="P34" s="7"/>
      <c r="Q34" s="2"/>
      <c r="R34" s="6">
        <f t="shared" si="12"/>
        <v>0</v>
      </c>
      <c r="S34" s="2"/>
      <c r="T34" s="7">
        <v>1236.8800000000001</v>
      </c>
      <c r="U34" s="2"/>
      <c r="V34" s="6">
        <f t="shared" si="13"/>
        <v>0</v>
      </c>
      <c r="W34" s="2"/>
      <c r="X34" s="7">
        <f t="shared" si="14"/>
        <v>-1236.8800000000001</v>
      </c>
      <c r="Y34" s="2"/>
      <c r="Z34" s="6">
        <f t="shared" si="15"/>
        <v>-1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8"/>
        <v>0</v>
      </c>
      <c r="G35" s="2"/>
      <c r="H35" s="7">
        <v>2473.25</v>
      </c>
      <c r="I35" s="2"/>
      <c r="J35" s="6">
        <f t="shared" si="9"/>
        <v>0</v>
      </c>
      <c r="K35" s="2"/>
      <c r="L35" s="7">
        <f t="shared" si="10"/>
        <v>-2473.25</v>
      </c>
      <c r="M35" s="2"/>
      <c r="N35" s="6">
        <f t="shared" si="11"/>
        <v>-1</v>
      </c>
      <c r="O35" s="11"/>
      <c r="P35" s="7"/>
      <c r="Q35" s="2"/>
      <c r="R35" s="6">
        <f t="shared" si="12"/>
        <v>0</v>
      </c>
      <c r="S35" s="2"/>
      <c r="T35" s="7">
        <v>8120.94</v>
      </c>
      <c r="U35" s="2"/>
      <c r="V35" s="6">
        <f t="shared" si="13"/>
        <v>0</v>
      </c>
      <c r="W35" s="2"/>
      <c r="X35" s="7">
        <f t="shared" si="14"/>
        <v>-8120.94</v>
      </c>
      <c r="Y35" s="2"/>
      <c r="Z35" s="6">
        <f t="shared" si="15"/>
        <v>-1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3" si="16">IF(D$12=0,0,D36/D$12)</f>
        <v>0</v>
      </c>
      <c r="G36" s="1"/>
      <c r="H36" s="1">
        <f>SUM(OSRRefH22_2x_0)</f>
        <v>52.92</v>
      </c>
      <c r="I36" s="1"/>
      <c r="J36" s="5">
        <f t="shared" ref="J36:J43" si="17">IF(H$12=0,0,H36/H$12)</f>
        <v>0</v>
      </c>
      <c r="K36" s="1"/>
      <c r="L36" s="1">
        <f t="shared" ref="L36:L43" si="18">+D36-H36</f>
        <v>-52.92</v>
      </c>
      <c r="M36" s="1"/>
      <c r="N36" s="5">
        <f t="shared" ref="N36:N43" si="19">IF(H36=0,0,L36/H36)</f>
        <v>-1</v>
      </c>
      <c r="O36" s="14"/>
      <c r="P36" s="1">
        <f>SUM(OSRRefP22_2x_0)</f>
        <v>0</v>
      </c>
      <c r="Q36" s="1"/>
      <c r="R36" s="5">
        <f t="shared" ref="R36:R43" si="20">IF(P$12=0,0,P36/P$12)</f>
        <v>0</v>
      </c>
      <c r="S36" s="1"/>
      <c r="T36" s="1">
        <f>SUM(OSRRefT22_2x_0)</f>
        <v>65.42</v>
      </c>
      <c r="U36" s="1"/>
      <c r="V36" s="5">
        <f t="shared" ref="V36:V43" si="21">IF(T$12=0,0,T36/T$12)</f>
        <v>0</v>
      </c>
      <c r="W36" s="1"/>
      <c r="X36" s="1">
        <f t="shared" ref="X36:X43" si="22">+P36-T36</f>
        <v>-65.42</v>
      </c>
      <c r="Y36" s="1"/>
      <c r="Z36" s="5">
        <f t="shared" ref="Z36:Z43" si="23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16"/>
        <v>0</v>
      </c>
      <c r="G37" s="2"/>
      <c r="H37" s="7">
        <v>52.92</v>
      </c>
      <c r="I37" s="2"/>
      <c r="J37" s="6">
        <f t="shared" si="17"/>
        <v>0</v>
      </c>
      <c r="K37" s="2"/>
      <c r="L37" s="7">
        <f t="shared" si="18"/>
        <v>-52.92</v>
      </c>
      <c r="M37" s="2"/>
      <c r="N37" s="6">
        <f t="shared" si="19"/>
        <v>-1</v>
      </c>
      <c r="O37" s="11"/>
      <c r="P37" s="7"/>
      <c r="Q37" s="2"/>
      <c r="R37" s="6">
        <f t="shared" si="20"/>
        <v>0</v>
      </c>
      <c r="S37" s="2"/>
      <c r="T37" s="7">
        <v>65.42</v>
      </c>
      <c r="U37" s="2"/>
      <c r="V37" s="6">
        <f t="shared" si="21"/>
        <v>0</v>
      </c>
      <c r="W37" s="2"/>
      <c r="X37" s="7">
        <f t="shared" si="22"/>
        <v>-65.42</v>
      </c>
      <c r="Y37" s="2"/>
      <c r="Z37" s="6">
        <f t="shared" si="23"/>
        <v>-1</v>
      </c>
    </row>
    <row r="38" spans="1:26" s="28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331.81</v>
      </c>
      <c r="E38" s="1"/>
      <c r="F38" s="5">
        <f t="shared" si="16"/>
        <v>0</v>
      </c>
      <c r="G38" s="1"/>
      <c r="H38" s="1">
        <f>SUM(OSRRefH22_3x_0)</f>
        <v>0</v>
      </c>
      <c r="I38" s="1"/>
      <c r="J38" s="5">
        <f t="shared" si="17"/>
        <v>0</v>
      </c>
      <c r="K38" s="1"/>
      <c r="L38" s="1">
        <f t="shared" si="18"/>
        <v>331.81</v>
      </c>
      <c r="M38" s="1"/>
      <c r="N38" s="5">
        <f t="shared" si="19"/>
        <v>0</v>
      </c>
      <c r="O38" s="14"/>
      <c r="P38" s="1">
        <f>SUM(OSRRefP22_3x_0)</f>
        <v>614.63</v>
      </c>
      <c r="Q38" s="1"/>
      <c r="R38" s="5">
        <f t="shared" si="20"/>
        <v>0</v>
      </c>
      <c r="S38" s="1"/>
      <c r="T38" s="1">
        <f>SUM(OSRRefT22_3x_0)</f>
        <v>0</v>
      </c>
      <c r="U38" s="1"/>
      <c r="V38" s="5">
        <f t="shared" si="21"/>
        <v>0</v>
      </c>
      <c r="W38" s="1"/>
      <c r="X38" s="1">
        <f t="shared" si="22"/>
        <v>614.63</v>
      </c>
      <c r="Y38" s="1"/>
      <c r="Z38" s="5">
        <f t="shared" si="23"/>
        <v>0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7">
        <v>331.81</v>
      </c>
      <c r="E39" s="2"/>
      <c r="F39" s="6">
        <f t="shared" si="16"/>
        <v>0</v>
      </c>
      <c r="G39" s="2"/>
      <c r="H39" s="7"/>
      <c r="I39" s="2"/>
      <c r="J39" s="6">
        <f t="shared" si="17"/>
        <v>0</v>
      </c>
      <c r="K39" s="2"/>
      <c r="L39" s="7">
        <f t="shared" si="18"/>
        <v>331.81</v>
      </c>
      <c r="M39" s="2"/>
      <c r="N39" s="6">
        <f t="shared" si="19"/>
        <v>0</v>
      </c>
      <c r="O39" s="11"/>
      <c r="P39" s="7">
        <v>614.63</v>
      </c>
      <c r="Q39" s="2"/>
      <c r="R39" s="6">
        <f t="shared" si="20"/>
        <v>0</v>
      </c>
      <c r="S39" s="2"/>
      <c r="T39" s="7"/>
      <c r="U39" s="2"/>
      <c r="V39" s="6">
        <f t="shared" si="21"/>
        <v>0</v>
      </c>
      <c r="W39" s="2"/>
      <c r="X39" s="7">
        <f t="shared" si="22"/>
        <v>614.63</v>
      </c>
      <c r="Y39" s="2"/>
      <c r="Z39" s="6">
        <f t="shared" si="23"/>
        <v>0</v>
      </c>
    </row>
    <row r="40" spans="1:26" s="28" customFormat="1" outlineLevel="1" collapsed="1" x14ac:dyDescent="0.25">
      <c r="A40" s="27"/>
      <c r="B40" s="14" t="str">
        <f>CONCATENATE("     ","Depreciation                                      ")</f>
        <v xml:space="preserve">     Depreciation                                      </v>
      </c>
      <c r="C40" s="14"/>
      <c r="D40" s="1">
        <f>SUM(OSRRefD22_4x_0)</f>
        <v>7041.26</v>
      </c>
      <c r="E40" s="1"/>
      <c r="F40" s="5">
        <f t="shared" si="16"/>
        <v>0</v>
      </c>
      <c r="G40" s="1"/>
      <c r="H40" s="1">
        <f>SUM(OSRRefH22_4x_0)</f>
        <v>6821.6399999999994</v>
      </c>
      <c r="I40" s="1"/>
      <c r="J40" s="5">
        <f t="shared" si="17"/>
        <v>0</v>
      </c>
      <c r="K40" s="1"/>
      <c r="L40" s="1">
        <f t="shared" si="18"/>
        <v>219.6200000000008</v>
      </c>
      <c r="M40" s="1"/>
      <c r="N40" s="5">
        <f t="shared" si="19"/>
        <v>3.2194604230067966E-2</v>
      </c>
      <c r="O40" s="14"/>
      <c r="P40" s="1">
        <f>SUM(OSRRefP22_4x_0)</f>
        <v>14082.52</v>
      </c>
      <c r="Q40" s="1"/>
      <c r="R40" s="5">
        <f t="shared" si="20"/>
        <v>0</v>
      </c>
      <c r="S40" s="1"/>
      <c r="T40" s="1">
        <f>SUM(OSRRefT22_4x_0)</f>
        <v>13643.279999999999</v>
      </c>
      <c r="U40" s="1"/>
      <c r="V40" s="5">
        <f t="shared" si="21"/>
        <v>0</v>
      </c>
      <c r="W40" s="1"/>
      <c r="X40" s="1">
        <f t="shared" si="22"/>
        <v>439.2400000000016</v>
      </c>
      <c r="Y40" s="1"/>
      <c r="Z40" s="5">
        <f t="shared" si="23"/>
        <v>3.2194604230067966E-2</v>
      </c>
    </row>
    <row r="41" spans="1:26" s="24" customFormat="1" hidden="1" outlineLevel="2" x14ac:dyDescent="0.25">
      <c r="A41" s="29"/>
      <c r="B41" s="11" t="str">
        <f>CONCATENATE("          ", "6321", " - ", "BUILDING DEPRECIATION")</f>
        <v xml:space="preserve">          6321 - BUILDING DEPRECIATION</v>
      </c>
      <c r="C41" s="11"/>
      <c r="D41" s="7">
        <v>2084.08</v>
      </c>
      <c r="E41" s="2"/>
      <c r="F41" s="6">
        <f t="shared" si="16"/>
        <v>0</v>
      </c>
      <c r="G41" s="2"/>
      <c r="H41" s="7">
        <v>2266.9499999999998</v>
      </c>
      <c r="I41" s="2"/>
      <c r="J41" s="6">
        <f t="shared" si="17"/>
        <v>0</v>
      </c>
      <c r="K41" s="2"/>
      <c r="L41" s="7">
        <f t="shared" si="18"/>
        <v>-182.86999999999989</v>
      </c>
      <c r="M41" s="2"/>
      <c r="N41" s="6">
        <f t="shared" si="19"/>
        <v>-8.0667857694258771E-2</v>
      </c>
      <c r="O41" s="11"/>
      <c r="P41" s="7">
        <v>4168.16</v>
      </c>
      <c r="Q41" s="2"/>
      <c r="R41" s="6">
        <f t="shared" si="20"/>
        <v>0</v>
      </c>
      <c r="S41" s="2"/>
      <c r="T41" s="7">
        <v>4533.8999999999996</v>
      </c>
      <c r="U41" s="2"/>
      <c r="V41" s="6">
        <f t="shared" si="21"/>
        <v>0</v>
      </c>
      <c r="W41" s="2"/>
      <c r="X41" s="7">
        <f t="shared" si="22"/>
        <v>-365.73999999999978</v>
      </c>
      <c r="Y41" s="2"/>
      <c r="Z41" s="6">
        <f t="shared" si="23"/>
        <v>-8.0667857694258771E-2</v>
      </c>
    </row>
    <row r="42" spans="1:26" s="24" customFormat="1" hidden="1" outlineLevel="2" x14ac:dyDescent="0.25">
      <c r="A42" s="29"/>
      <c r="B42" s="11" t="str">
        <f>CONCATENATE("          ", "6322", " - ", "EQUIPMENT DEPRECIATION EXPENSE")</f>
        <v xml:space="preserve">          6322 - EQUIPMENT DEPRECIATION EXPENSE</v>
      </c>
      <c r="C42" s="11"/>
      <c r="D42" s="7">
        <v>4957.18</v>
      </c>
      <c r="E42" s="2"/>
      <c r="F42" s="6">
        <f t="shared" si="16"/>
        <v>0</v>
      </c>
      <c r="G42" s="2"/>
      <c r="H42" s="7">
        <v>4130.4399999999996</v>
      </c>
      <c r="I42" s="2"/>
      <c r="J42" s="6">
        <f t="shared" si="17"/>
        <v>0</v>
      </c>
      <c r="K42" s="2"/>
      <c r="L42" s="7">
        <f t="shared" si="18"/>
        <v>826.74000000000069</v>
      </c>
      <c r="M42" s="2"/>
      <c r="N42" s="6">
        <f t="shared" si="19"/>
        <v>0.20015785243218659</v>
      </c>
      <c r="O42" s="11"/>
      <c r="P42" s="7">
        <v>9914.36</v>
      </c>
      <c r="Q42" s="2"/>
      <c r="R42" s="6">
        <f t="shared" si="20"/>
        <v>0</v>
      </c>
      <c r="S42" s="2"/>
      <c r="T42" s="7">
        <v>8260.8799999999992</v>
      </c>
      <c r="U42" s="2"/>
      <c r="V42" s="6">
        <f t="shared" si="21"/>
        <v>0</v>
      </c>
      <c r="W42" s="2"/>
      <c r="X42" s="7">
        <f t="shared" si="22"/>
        <v>1653.4800000000014</v>
      </c>
      <c r="Y42" s="2"/>
      <c r="Z42" s="6">
        <f t="shared" si="23"/>
        <v>0.20015785243218659</v>
      </c>
    </row>
    <row r="43" spans="1:26" s="24" customFormat="1" hidden="1" outlineLevel="2" x14ac:dyDescent="0.25">
      <c r="A43" s="29"/>
      <c r="B43" s="11" t="str">
        <f>CONCATENATE("          ", "6326", " - ", "VEHICLES DEPRECIATION EXPENSE")</f>
        <v xml:space="preserve">          6326 - VEHICLES DEPRECIATION EXPENSE</v>
      </c>
      <c r="C43" s="11"/>
      <c r="D43" s="7"/>
      <c r="E43" s="2"/>
      <c r="F43" s="6">
        <f t="shared" si="16"/>
        <v>0</v>
      </c>
      <c r="G43" s="2"/>
      <c r="H43" s="7">
        <v>424.25</v>
      </c>
      <c r="I43" s="2"/>
      <c r="J43" s="6">
        <f t="shared" si="17"/>
        <v>0</v>
      </c>
      <c r="K43" s="2"/>
      <c r="L43" s="7">
        <f t="shared" si="18"/>
        <v>-424.25</v>
      </c>
      <c r="M43" s="2"/>
      <c r="N43" s="6">
        <f t="shared" si="19"/>
        <v>-1</v>
      </c>
      <c r="O43" s="11"/>
      <c r="P43" s="7"/>
      <c r="Q43" s="2"/>
      <c r="R43" s="6">
        <f t="shared" si="20"/>
        <v>0</v>
      </c>
      <c r="S43" s="2"/>
      <c r="T43" s="7">
        <v>848.5</v>
      </c>
      <c r="U43" s="2"/>
      <c r="V43" s="6">
        <f t="shared" si="21"/>
        <v>0</v>
      </c>
      <c r="W43" s="2"/>
      <c r="X43" s="7">
        <f t="shared" si="22"/>
        <v>-848.5</v>
      </c>
      <c r="Y43" s="2"/>
      <c r="Z43" s="6">
        <f t="shared" si="23"/>
        <v>-1</v>
      </c>
    </row>
    <row r="44" spans="1:26" s="28" customFormat="1" outlineLevel="1" collapsed="1" x14ac:dyDescent="0.25">
      <c r="A44" s="27"/>
      <c r="B44" s="14" t="str">
        <f>CONCATENATE("     ","Employees' Appreciation                           ")</f>
        <v xml:space="preserve">     Employees' Appreciation                           </v>
      </c>
      <c r="C44" s="14"/>
      <c r="D44" s="1">
        <f>SUM(OSRRefD22_5x_0)</f>
        <v>0</v>
      </c>
      <c r="E44" s="1"/>
      <c r="F44" s="5">
        <f t="shared" ref="F44:F54" si="24">IF(D$12=0,0,D44/D$12)</f>
        <v>0</v>
      </c>
      <c r="G44" s="1"/>
      <c r="H44" s="1">
        <f>SUM(OSRRefH22_5x_0)</f>
        <v>127.02</v>
      </c>
      <c r="I44" s="1"/>
      <c r="J44" s="5">
        <f t="shared" ref="J44:J54" si="25">IF(H$12=0,0,H44/H$12)</f>
        <v>0</v>
      </c>
      <c r="K44" s="1"/>
      <c r="L44" s="1">
        <f t="shared" ref="L44:L54" si="26">+D44-H44</f>
        <v>-127.02</v>
      </c>
      <c r="M44" s="1"/>
      <c r="N44" s="5">
        <f t="shared" ref="N44:N54" si="27">IF(H44=0,0,L44/H44)</f>
        <v>-1</v>
      </c>
      <c r="O44" s="14"/>
      <c r="P44" s="1">
        <f>SUM(OSRRefP22_5x_0)</f>
        <v>0</v>
      </c>
      <c r="Q44" s="1"/>
      <c r="R44" s="5">
        <f t="shared" ref="R44:R54" si="28">IF(P$12=0,0,P44/P$12)</f>
        <v>0</v>
      </c>
      <c r="S44" s="1"/>
      <c r="T44" s="1">
        <f>SUM(OSRRefT22_5x_0)</f>
        <v>172.88</v>
      </c>
      <c r="U44" s="1"/>
      <c r="V44" s="5">
        <f t="shared" ref="V44:V54" si="29">IF(T$12=0,0,T44/T$12)</f>
        <v>0</v>
      </c>
      <c r="W44" s="1"/>
      <c r="X44" s="1">
        <f t="shared" ref="X44:X54" si="30">+P44-T44</f>
        <v>-172.88</v>
      </c>
      <c r="Y44" s="1"/>
      <c r="Z44" s="5">
        <f t="shared" ref="Z44:Z54" si="31">IF(T44=0,0,X44/T44)</f>
        <v>-1</v>
      </c>
    </row>
    <row r="45" spans="1:26" s="24" customFormat="1" hidden="1" outlineLevel="2" x14ac:dyDescent="0.25">
      <c r="A45" s="29"/>
      <c r="B45" s="11" t="str">
        <f>CONCATENATE("          ", "6277", " - ", "EMPLOYEE APPRECIATION")</f>
        <v xml:space="preserve">          6277 - EMPLOYEE APPRECIATION</v>
      </c>
      <c r="C45" s="11"/>
      <c r="D45" s="7"/>
      <c r="E45" s="2"/>
      <c r="F45" s="6">
        <f t="shared" si="24"/>
        <v>0</v>
      </c>
      <c r="G45" s="2"/>
      <c r="H45" s="7">
        <v>127.02</v>
      </c>
      <c r="I45" s="2"/>
      <c r="J45" s="6">
        <f t="shared" si="25"/>
        <v>0</v>
      </c>
      <c r="K45" s="2"/>
      <c r="L45" s="7">
        <f t="shared" si="26"/>
        <v>-127.02</v>
      </c>
      <c r="M45" s="2"/>
      <c r="N45" s="6">
        <f t="shared" si="27"/>
        <v>-1</v>
      </c>
      <c r="O45" s="11"/>
      <c r="P45" s="7"/>
      <c r="Q45" s="2"/>
      <c r="R45" s="6">
        <f t="shared" si="28"/>
        <v>0</v>
      </c>
      <c r="S45" s="2"/>
      <c r="T45" s="7">
        <v>172.88</v>
      </c>
      <c r="U45" s="2"/>
      <c r="V45" s="6">
        <f t="shared" si="29"/>
        <v>0</v>
      </c>
      <c r="W45" s="2"/>
      <c r="X45" s="7">
        <f t="shared" si="30"/>
        <v>-172.88</v>
      </c>
      <c r="Y45" s="2"/>
      <c r="Z45" s="6">
        <f t="shared" si="31"/>
        <v>-1</v>
      </c>
    </row>
    <row r="46" spans="1:26" s="28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91.26</v>
      </c>
      <c r="E46" s="1"/>
      <c r="F46" s="5">
        <f t="shared" si="24"/>
        <v>0</v>
      </c>
      <c r="G46" s="1"/>
      <c r="H46" s="1">
        <f>SUM(OSRRefH22_6x_0)</f>
        <v>1014.66</v>
      </c>
      <c r="I46" s="1"/>
      <c r="J46" s="5">
        <f t="shared" si="25"/>
        <v>0</v>
      </c>
      <c r="K46" s="1"/>
      <c r="L46" s="1">
        <f t="shared" si="26"/>
        <v>-923.4</v>
      </c>
      <c r="M46" s="1"/>
      <c r="N46" s="5">
        <f t="shared" si="27"/>
        <v>-0.9100585417775412</v>
      </c>
      <c r="O46" s="14"/>
      <c r="P46" s="1">
        <f>SUM(OSRRefP22_6x_0)</f>
        <v>510.62</v>
      </c>
      <c r="Q46" s="1"/>
      <c r="R46" s="5">
        <f t="shared" si="28"/>
        <v>0</v>
      </c>
      <c r="S46" s="1"/>
      <c r="T46" s="1">
        <f>SUM(OSRRefT22_6x_0)</f>
        <v>1878.64</v>
      </c>
      <c r="U46" s="1"/>
      <c r="V46" s="5">
        <f t="shared" si="29"/>
        <v>0</v>
      </c>
      <c r="W46" s="1"/>
      <c r="X46" s="1">
        <f t="shared" si="30"/>
        <v>-1368.02</v>
      </c>
      <c r="Y46" s="1"/>
      <c r="Z46" s="5">
        <f t="shared" si="31"/>
        <v>-0.72819699356981638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>
        <v>91.26</v>
      </c>
      <c r="E47" s="2"/>
      <c r="F47" s="6">
        <f t="shared" si="24"/>
        <v>0</v>
      </c>
      <c r="G47" s="2"/>
      <c r="H47" s="7">
        <v>1014.66</v>
      </c>
      <c r="I47" s="2"/>
      <c r="J47" s="6">
        <f t="shared" si="25"/>
        <v>0</v>
      </c>
      <c r="K47" s="2"/>
      <c r="L47" s="7">
        <f t="shared" si="26"/>
        <v>-923.4</v>
      </c>
      <c r="M47" s="2"/>
      <c r="N47" s="6">
        <f t="shared" si="27"/>
        <v>-0.9100585417775412</v>
      </c>
      <c r="O47" s="11"/>
      <c r="P47" s="7">
        <v>510.62</v>
      </c>
      <c r="Q47" s="2"/>
      <c r="R47" s="6">
        <f t="shared" si="28"/>
        <v>0</v>
      </c>
      <c r="S47" s="2"/>
      <c r="T47" s="7">
        <v>1878.64</v>
      </c>
      <c r="U47" s="2"/>
      <c r="V47" s="6">
        <f t="shared" si="29"/>
        <v>0</v>
      </c>
      <c r="W47" s="2"/>
      <c r="X47" s="7">
        <f t="shared" si="30"/>
        <v>-1368.02</v>
      </c>
      <c r="Y47" s="2"/>
      <c r="Z47" s="6">
        <f t="shared" si="31"/>
        <v>-0.72819699356981638</v>
      </c>
    </row>
    <row r="48" spans="1:26" s="28" customFormat="1" outlineLevel="1" collapsed="1" x14ac:dyDescent="0.25">
      <c r="A48" s="27"/>
      <c r="B48" s="14" t="str">
        <f>CONCATENATE("     ","Insurance                                         ")</f>
        <v xml:space="preserve">     Insurance                                         </v>
      </c>
      <c r="C48" s="14"/>
      <c r="D48" s="1">
        <f>SUM(OSRRefD22_7x_0)</f>
        <v>3598.85</v>
      </c>
      <c r="E48" s="1"/>
      <c r="F48" s="5">
        <f t="shared" si="24"/>
        <v>0</v>
      </c>
      <c r="G48" s="1"/>
      <c r="H48" s="1">
        <f>SUM(OSRRefH22_7x_0)</f>
        <v>3598.85</v>
      </c>
      <c r="I48" s="1"/>
      <c r="J48" s="5">
        <f t="shared" si="25"/>
        <v>0</v>
      </c>
      <c r="K48" s="1"/>
      <c r="L48" s="1">
        <f t="shared" si="26"/>
        <v>0</v>
      </c>
      <c r="M48" s="1"/>
      <c r="N48" s="5">
        <f t="shared" si="27"/>
        <v>0</v>
      </c>
      <c r="O48" s="14"/>
      <c r="P48" s="1">
        <f>SUM(OSRRefP22_7x_0)</f>
        <v>7197.7</v>
      </c>
      <c r="Q48" s="1"/>
      <c r="R48" s="5">
        <f t="shared" si="28"/>
        <v>0</v>
      </c>
      <c r="S48" s="1"/>
      <c r="T48" s="1">
        <f>SUM(OSRRefT22_7x_0)</f>
        <v>7197.7</v>
      </c>
      <c r="U48" s="1"/>
      <c r="V48" s="5">
        <f t="shared" si="29"/>
        <v>0</v>
      </c>
      <c r="W48" s="1"/>
      <c r="X48" s="1">
        <f t="shared" si="30"/>
        <v>0</v>
      </c>
      <c r="Y48" s="1"/>
      <c r="Z48" s="5">
        <f t="shared" si="31"/>
        <v>0</v>
      </c>
    </row>
    <row r="49" spans="1:26" s="24" customFormat="1" hidden="1" outlineLevel="2" x14ac:dyDescent="0.25">
      <c r="A49" s="29"/>
      <c r="B49" s="11" t="str">
        <f>CONCATENATE("          ", "6314", " - ", "LIABILITY INSURANCE")</f>
        <v xml:space="preserve">          6314 - LIABILITY INSURANCE</v>
      </c>
      <c r="C49" s="11"/>
      <c r="D49" s="7">
        <v>3598.85</v>
      </c>
      <c r="E49" s="2"/>
      <c r="F49" s="6">
        <f t="shared" si="24"/>
        <v>0</v>
      </c>
      <c r="G49" s="2"/>
      <c r="H49" s="7">
        <v>3598.85</v>
      </c>
      <c r="I49" s="2"/>
      <c r="J49" s="6">
        <f t="shared" si="25"/>
        <v>0</v>
      </c>
      <c r="K49" s="2"/>
      <c r="L49" s="7">
        <f t="shared" si="26"/>
        <v>0</v>
      </c>
      <c r="M49" s="2"/>
      <c r="N49" s="6">
        <f t="shared" si="27"/>
        <v>0</v>
      </c>
      <c r="O49" s="11"/>
      <c r="P49" s="7">
        <v>7197.7</v>
      </c>
      <c r="Q49" s="2"/>
      <c r="R49" s="6">
        <f t="shared" si="28"/>
        <v>0</v>
      </c>
      <c r="S49" s="2"/>
      <c r="T49" s="7">
        <v>7197.7</v>
      </c>
      <c r="U49" s="2"/>
      <c r="V49" s="6">
        <f t="shared" si="29"/>
        <v>0</v>
      </c>
      <c r="W49" s="2"/>
      <c r="X49" s="7">
        <f t="shared" si="30"/>
        <v>0</v>
      </c>
      <c r="Y49" s="2"/>
      <c r="Z49" s="6">
        <f t="shared" si="31"/>
        <v>0</v>
      </c>
    </row>
    <row r="50" spans="1:26" s="28" customFormat="1" outlineLevel="1" collapsed="1" x14ac:dyDescent="0.25">
      <c r="A50" s="27"/>
      <c r="B50" s="14" t="str">
        <f>CONCATENATE("     ","Professional Services                             ")</f>
        <v xml:space="preserve">     Professional Services                             </v>
      </c>
      <c r="C50" s="14"/>
      <c r="D50" s="1">
        <f>SUM(OSRRefD22_8x_0)</f>
        <v>0</v>
      </c>
      <c r="E50" s="1"/>
      <c r="F50" s="5">
        <f t="shared" si="24"/>
        <v>0</v>
      </c>
      <c r="G50" s="1"/>
      <c r="H50" s="1">
        <f>SUM(OSRRefH22_8x_0)</f>
        <v>125</v>
      </c>
      <c r="I50" s="1"/>
      <c r="J50" s="5">
        <f t="shared" si="25"/>
        <v>0</v>
      </c>
      <c r="K50" s="1"/>
      <c r="L50" s="1">
        <f t="shared" si="26"/>
        <v>-125</v>
      </c>
      <c r="M50" s="1"/>
      <c r="N50" s="5">
        <f t="shared" si="27"/>
        <v>-1</v>
      </c>
      <c r="O50" s="14"/>
      <c r="P50" s="1">
        <f>SUM(OSRRefP22_8x_0)</f>
        <v>0</v>
      </c>
      <c r="Q50" s="1"/>
      <c r="R50" s="5">
        <f t="shared" si="28"/>
        <v>0</v>
      </c>
      <c r="S50" s="1"/>
      <c r="T50" s="1">
        <f>SUM(OSRRefT22_8x_0)</f>
        <v>125</v>
      </c>
      <c r="U50" s="1"/>
      <c r="V50" s="5">
        <f t="shared" si="29"/>
        <v>0</v>
      </c>
      <c r="W50" s="1"/>
      <c r="X50" s="1">
        <f t="shared" si="30"/>
        <v>-125</v>
      </c>
      <c r="Y50" s="1"/>
      <c r="Z50" s="5">
        <f t="shared" si="31"/>
        <v>-1</v>
      </c>
    </row>
    <row r="51" spans="1:26" s="24" customFormat="1" hidden="1" outlineLevel="2" x14ac:dyDescent="0.25">
      <c r="A51" s="29"/>
      <c r="B51" s="11" t="str">
        <f>CONCATENATE("          ", "6336", " - ", "PROFESSIONAL SERVICES")</f>
        <v xml:space="preserve">          6336 - PROFESSIONAL SERVICES</v>
      </c>
      <c r="C51" s="11"/>
      <c r="D51" s="7"/>
      <c r="E51" s="2"/>
      <c r="F51" s="6">
        <f t="shared" si="24"/>
        <v>0</v>
      </c>
      <c r="G51" s="2"/>
      <c r="H51" s="7">
        <v>125</v>
      </c>
      <c r="I51" s="2"/>
      <c r="J51" s="6">
        <f t="shared" si="25"/>
        <v>0</v>
      </c>
      <c r="K51" s="2"/>
      <c r="L51" s="7">
        <f t="shared" si="26"/>
        <v>-125</v>
      </c>
      <c r="M51" s="2"/>
      <c r="N51" s="6">
        <f t="shared" si="27"/>
        <v>-1</v>
      </c>
      <c r="O51" s="11"/>
      <c r="P51" s="7"/>
      <c r="Q51" s="2"/>
      <c r="R51" s="6">
        <f t="shared" si="28"/>
        <v>0</v>
      </c>
      <c r="S51" s="2"/>
      <c r="T51" s="7">
        <v>125</v>
      </c>
      <c r="U51" s="2"/>
      <c r="V51" s="6">
        <f t="shared" si="29"/>
        <v>0</v>
      </c>
      <c r="W51" s="2"/>
      <c r="X51" s="7">
        <f t="shared" si="30"/>
        <v>-125</v>
      </c>
      <c r="Y51" s="2"/>
      <c r="Z51" s="6">
        <f t="shared" si="31"/>
        <v>-1</v>
      </c>
    </row>
    <row r="52" spans="1:26" s="28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704.86</v>
      </c>
      <c r="E52" s="1"/>
      <c r="F52" s="5">
        <f t="shared" si="24"/>
        <v>0</v>
      </c>
      <c r="G52" s="1"/>
      <c r="H52" s="1">
        <f>SUM(OSRRefH22_9x_0)</f>
        <v>14550.800000000001</v>
      </c>
      <c r="I52" s="1"/>
      <c r="J52" s="5">
        <f t="shared" si="25"/>
        <v>0</v>
      </c>
      <c r="K52" s="1"/>
      <c r="L52" s="1">
        <f t="shared" si="26"/>
        <v>-13845.94</v>
      </c>
      <c r="M52" s="1"/>
      <c r="N52" s="5">
        <f t="shared" si="27"/>
        <v>-0.95155867718613407</v>
      </c>
      <c r="O52" s="14"/>
      <c r="P52" s="1">
        <f>SUM(OSRRefP22_9x_0)</f>
        <v>743.37</v>
      </c>
      <c r="Q52" s="1"/>
      <c r="R52" s="5">
        <f t="shared" si="28"/>
        <v>0</v>
      </c>
      <c r="S52" s="1"/>
      <c r="T52" s="1">
        <f>SUM(OSRRefT22_9x_0)</f>
        <v>26457.53</v>
      </c>
      <c r="U52" s="1"/>
      <c r="V52" s="5">
        <f t="shared" si="29"/>
        <v>0</v>
      </c>
      <c r="W52" s="1"/>
      <c r="X52" s="1">
        <f t="shared" si="30"/>
        <v>-25714.16</v>
      </c>
      <c r="Y52" s="1"/>
      <c r="Z52" s="5">
        <f t="shared" si="31"/>
        <v>-0.97190327290567191</v>
      </c>
    </row>
    <row r="53" spans="1:26" s="24" customFormat="1" hidden="1" outlineLevel="2" x14ac:dyDescent="0.25">
      <c r="A53" s="29"/>
      <c r="B53" s="11" t="str">
        <f>CONCATENATE("          ", "6373", " - ", "MAINTENANCE CONTRACTS")</f>
        <v xml:space="preserve">          6373 - MAINTENANCE CONTRACTS</v>
      </c>
      <c r="C53" s="11"/>
      <c r="D53" s="7">
        <v>704.86</v>
      </c>
      <c r="E53" s="2"/>
      <c r="F53" s="6">
        <f t="shared" si="24"/>
        <v>0</v>
      </c>
      <c r="G53" s="2"/>
      <c r="H53" s="7">
        <v>9043.8700000000008</v>
      </c>
      <c r="I53" s="2"/>
      <c r="J53" s="6">
        <f t="shared" si="25"/>
        <v>0</v>
      </c>
      <c r="K53" s="2"/>
      <c r="L53" s="7">
        <f t="shared" si="26"/>
        <v>-8339.01</v>
      </c>
      <c r="M53" s="2"/>
      <c r="N53" s="6">
        <f t="shared" si="27"/>
        <v>-0.92206212605886628</v>
      </c>
      <c r="O53" s="11"/>
      <c r="P53" s="7">
        <v>705.91</v>
      </c>
      <c r="Q53" s="2"/>
      <c r="R53" s="6">
        <f t="shared" si="28"/>
        <v>0</v>
      </c>
      <c r="S53" s="2"/>
      <c r="T53" s="7">
        <v>14072.75</v>
      </c>
      <c r="U53" s="2"/>
      <c r="V53" s="6">
        <f t="shared" si="29"/>
        <v>0</v>
      </c>
      <c r="W53" s="2"/>
      <c r="X53" s="7">
        <f t="shared" si="30"/>
        <v>-13366.84</v>
      </c>
      <c r="Y53" s="2"/>
      <c r="Z53" s="6">
        <f t="shared" si="31"/>
        <v>-0.94983851770265226</v>
      </c>
    </row>
    <row r="54" spans="1:26" s="24" customFormat="1" hidden="1" outlineLevel="2" x14ac:dyDescent="0.25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24"/>
        <v>0</v>
      </c>
      <c r="G54" s="2"/>
      <c r="H54" s="7">
        <v>5506.93</v>
      </c>
      <c r="I54" s="2"/>
      <c r="J54" s="6">
        <f t="shared" si="25"/>
        <v>0</v>
      </c>
      <c r="K54" s="2"/>
      <c r="L54" s="7">
        <f t="shared" si="26"/>
        <v>-5506.93</v>
      </c>
      <c r="M54" s="2"/>
      <c r="N54" s="6">
        <f t="shared" si="27"/>
        <v>-1</v>
      </c>
      <c r="O54" s="11"/>
      <c r="P54" s="7">
        <v>37.46</v>
      </c>
      <c r="Q54" s="2"/>
      <c r="R54" s="6">
        <f t="shared" si="28"/>
        <v>0</v>
      </c>
      <c r="S54" s="2"/>
      <c r="T54" s="7">
        <v>12384.78</v>
      </c>
      <c r="U54" s="2"/>
      <c r="V54" s="6">
        <f t="shared" si="29"/>
        <v>0</v>
      </c>
      <c r="W54" s="2"/>
      <c r="X54" s="7">
        <f t="shared" si="30"/>
        <v>-12347.320000000002</v>
      </c>
      <c r="Y54" s="2"/>
      <c r="Z54" s="6">
        <f t="shared" si="31"/>
        <v>-0.99697531970693065</v>
      </c>
    </row>
    <row r="55" spans="1:26" s="28" customFormat="1" outlineLevel="1" collapsed="1" x14ac:dyDescent="0.25">
      <c r="A55" s="27"/>
      <c r="B55" s="14" t="str">
        <f>CONCATENATE("     ","Services                                          ")</f>
        <v xml:space="preserve">     Services                                          </v>
      </c>
      <c r="C55" s="14"/>
      <c r="D55" s="1">
        <f>SUM(OSRRefD22_10x_0)</f>
        <v>0</v>
      </c>
      <c r="E55" s="1"/>
      <c r="F55" s="5">
        <f t="shared" ref="F55:F60" si="32">IF(D$12=0,0,D55/D$12)</f>
        <v>0</v>
      </c>
      <c r="G55" s="1"/>
      <c r="H55" s="1">
        <f>SUM(OSRRefH22_10x_0)</f>
        <v>10574.9</v>
      </c>
      <c r="I55" s="1"/>
      <c r="J55" s="5">
        <f t="shared" ref="J55:J60" si="33">IF(H$12=0,0,H55/H$12)</f>
        <v>0</v>
      </c>
      <c r="K55" s="1"/>
      <c r="L55" s="1">
        <f t="shared" ref="L55:L60" si="34">+D55-H55</f>
        <v>-10574.9</v>
      </c>
      <c r="M55" s="1"/>
      <c r="N55" s="5">
        <f t="shared" ref="N55:N60" si="35">IF(H55=0,0,L55/H55)</f>
        <v>-1</v>
      </c>
      <c r="O55" s="14"/>
      <c r="P55" s="1">
        <f>SUM(OSRRefP22_10x_0)</f>
        <v>0</v>
      </c>
      <c r="Q55" s="1"/>
      <c r="R55" s="5">
        <f t="shared" ref="R55:R60" si="36">IF(P$12=0,0,P55/P$12)</f>
        <v>0</v>
      </c>
      <c r="S55" s="1"/>
      <c r="T55" s="1">
        <f>SUM(OSRRefT22_10x_0)</f>
        <v>24592.039999999997</v>
      </c>
      <c r="U55" s="1"/>
      <c r="V55" s="5">
        <f t="shared" ref="V55:V60" si="37">IF(T$12=0,0,T55/T$12)</f>
        <v>0</v>
      </c>
      <c r="W55" s="1"/>
      <c r="X55" s="1">
        <f t="shared" ref="X55:X60" si="38">+P55-T55</f>
        <v>-24592.039999999997</v>
      </c>
      <c r="Y55" s="1"/>
      <c r="Z55" s="5">
        <f t="shared" ref="Z55:Z60" si="39">IF(T55=0,0,X55/T55)</f>
        <v>-1</v>
      </c>
    </row>
    <row r="56" spans="1:26" s="24" customFormat="1" hidden="1" outlineLevel="2" x14ac:dyDescent="0.25">
      <c r="A56" s="29"/>
      <c r="B56" s="11" t="str">
        <f>CONCATENATE("          ", "6282", " - ", "JANITORIAL/EXTERMINATOR EXPENS")</f>
        <v xml:space="preserve">          6282 - JANITORIAL/EXTERMINATOR EXPENS</v>
      </c>
      <c r="C56" s="11"/>
      <c r="D56" s="7"/>
      <c r="E56" s="2"/>
      <c r="F56" s="6">
        <f t="shared" si="32"/>
        <v>0</v>
      </c>
      <c r="G56" s="2"/>
      <c r="H56" s="7">
        <v>626.26</v>
      </c>
      <c r="I56" s="2"/>
      <c r="J56" s="6">
        <f t="shared" si="33"/>
        <v>0</v>
      </c>
      <c r="K56" s="2"/>
      <c r="L56" s="7">
        <f t="shared" si="34"/>
        <v>-626.26</v>
      </c>
      <c r="M56" s="2"/>
      <c r="N56" s="6">
        <f t="shared" si="35"/>
        <v>-1</v>
      </c>
      <c r="O56" s="11"/>
      <c r="P56" s="7"/>
      <c r="Q56" s="2"/>
      <c r="R56" s="6">
        <f t="shared" si="36"/>
        <v>0</v>
      </c>
      <c r="S56" s="2"/>
      <c r="T56" s="7">
        <v>1252.52</v>
      </c>
      <c r="U56" s="2"/>
      <c r="V56" s="6">
        <f t="shared" si="37"/>
        <v>0</v>
      </c>
      <c r="W56" s="2"/>
      <c r="X56" s="7">
        <f t="shared" si="38"/>
        <v>-1252.52</v>
      </c>
      <c r="Y56" s="2"/>
      <c r="Z56" s="6">
        <f t="shared" si="39"/>
        <v>-1</v>
      </c>
    </row>
    <row r="57" spans="1:26" s="24" customFormat="1" hidden="1" outlineLevel="2" x14ac:dyDescent="0.25">
      <c r="A57" s="29"/>
      <c r="B57" s="11" t="str">
        <f>CONCATENATE("          ", "6283", " - ", "PLANT SERVICE")</f>
        <v xml:space="preserve">          6283 - PLANT SERVICE</v>
      </c>
      <c r="C57" s="11"/>
      <c r="D57" s="7"/>
      <c r="E57" s="2"/>
      <c r="F57" s="6">
        <f t="shared" si="32"/>
        <v>0</v>
      </c>
      <c r="G57" s="2"/>
      <c r="H57" s="7">
        <v>35.53</v>
      </c>
      <c r="I57" s="2"/>
      <c r="J57" s="6">
        <f t="shared" si="33"/>
        <v>0</v>
      </c>
      <c r="K57" s="2"/>
      <c r="L57" s="7">
        <f t="shared" si="34"/>
        <v>-35.53</v>
      </c>
      <c r="M57" s="2"/>
      <c r="N57" s="6">
        <f t="shared" si="35"/>
        <v>-1</v>
      </c>
      <c r="O57" s="11"/>
      <c r="P57" s="7"/>
      <c r="Q57" s="2"/>
      <c r="R57" s="6">
        <f t="shared" si="36"/>
        <v>0</v>
      </c>
      <c r="S57" s="2"/>
      <c r="T57" s="7">
        <v>71.06</v>
      </c>
      <c r="U57" s="2"/>
      <c r="V57" s="6">
        <f t="shared" si="37"/>
        <v>0</v>
      </c>
      <c r="W57" s="2"/>
      <c r="X57" s="7">
        <f t="shared" si="38"/>
        <v>-71.06</v>
      </c>
      <c r="Y57" s="2"/>
      <c r="Z57" s="6">
        <f t="shared" si="39"/>
        <v>-1</v>
      </c>
    </row>
    <row r="58" spans="1:26" s="24" customFormat="1" hidden="1" outlineLevel="2" x14ac:dyDescent="0.25">
      <c r="A58" s="29"/>
      <c r="B58" s="11" t="str">
        <f>CONCATENATE("          ", "6284", " - ", "TRASH REMOVAL EXPENSE")</f>
        <v xml:space="preserve">          6284 - TRASH REMOVAL EXPENSE</v>
      </c>
      <c r="C58" s="11"/>
      <c r="D58" s="7"/>
      <c r="E58" s="2"/>
      <c r="F58" s="6">
        <f t="shared" si="32"/>
        <v>0</v>
      </c>
      <c r="G58" s="2"/>
      <c r="H58" s="7"/>
      <c r="I58" s="2"/>
      <c r="J58" s="6">
        <f t="shared" si="33"/>
        <v>0</v>
      </c>
      <c r="K58" s="2"/>
      <c r="L58" s="7">
        <f t="shared" si="34"/>
        <v>0</v>
      </c>
      <c r="M58" s="2"/>
      <c r="N58" s="6">
        <f t="shared" si="35"/>
        <v>0</v>
      </c>
      <c r="O58" s="11"/>
      <c r="P58" s="7"/>
      <c r="Q58" s="2"/>
      <c r="R58" s="6">
        <f t="shared" si="36"/>
        <v>0</v>
      </c>
      <c r="S58" s="2"/>
      <c r="T58" s="7">
        <v>3482</v>
      </c>
      <c r="U58" s="2"/>
      <c r="V58" s="6">
        <f t="shared" si="37"/>
        <v>0</v>
      </c>
      <c r="W58" s="2"/>
      <c r="X58" s="7">
        <f t="shared" si="38"/>
        <v>-3482</v>
      </c>
      <c r="Y58" s="2"/>
      <c r="Z58" s="6">
        <f t="shared" si="39"/>
        <v>-1</v>
      </c>
    </row>
    <row r="59" spans="1:26" s="24" customFormat="1" hidden="1" outlineLevel="2" x14ac:dyDescent="0.25">
      <c r="A59" s="29"/>
      <c r="B59" s="11" t="str">
        <f>CONCATENATE("          ", "6285", " - ", "JANITORIAL SERVICES")</f>
        <v xml:space="preserve">          6285 - JANITORIAL SERVICES</v>
      </c>
      <c r="C59" s="11"/>
      <c r="D59" s="7"/>
      <c r="E59" s="2"/>
      <c r="F59" s="6">
        <f t="shared" si="32"/>
        <v>0</v>
      </c>
      <c r="G59" s="2"/>
      <c r="H59" s="7">
        <v>9853.51</v>
      </c>
      <c r="I59" s="2"/>
      <c r="J59" s="6">
        <f t="shared" si="33"/>
        <v>0</v>
      </c>
      <c r="K59" s="2"/>
      <c r="L59" s="7">
        <f t="shared" si="34"/>
        <v>-9853.51</v>
      </c>
      <c r="M59" s="2"/>
      <c r="N59" s="6">
        <f t="shared" si="35"/>
        <v>-1</v>
      </c>
      <c r="O59" s="11"/>
      <c r="P59" s="7"/>
      <c r="Q59" s="2"/>
      <c r="R59" s="6">
        <f t="shared" si="36"/>
        <v>0</v>
      </c>
      <c r="S59" s="2"/>
      <c r="T59" s="7">
        <v>19707.02</v>
      </c>
      <c r="U59" s="2"/>
      <c r="V59" s="6">
        <f t="shared" si="37"/>
        <v>0</v>
      </c>
      <c r="W59" s="2"/>
      <c r="X59" s="7">
        <f t="shared" si="38"/>
        <v>-19707.02</v>
      </c>
      <c r="Y59" s="2"/>
      <c r="Z59" s="6">
        <f t="shared" si="39"/>
        <v>-1</v>
      </c>
    </row>
    <row r="60" spans="1:26" s="24" customFormat="1" hidden="1" outlineLevel="2" x14ac:dyDescent="0.25">
      <c r="A60" s="29"/>
      <c r="B60" s="11" t="str">
        <f>CONCATENATE("          ", "6286", " - ", "LAUNDRY EXPENSE")</f>
        <v xml:space="preserve">          6286 - LAUNDRY EXPENSE</v>
      </c>
      <c r="C60" s="11"/>
      <c r="D60" s="7"/>
      <c r="E60" s="2"/>
      <c r="F60" s="6">
        <f t="shared" si="32"/>
        <v>0</v>
      </c>
      <c r="G60" s="2"/>
      <c r="H60" s="7">
        <v>59.6</v>
      </c>
      <c r="I60" s="2"/>
      <c r="J60" s="6">
        <f t="shared" si="33"/>
        <v>0</v>
      </c>
      <c r="K60" s="2"/>
      <c r="L60" s="7">
        <f t="shared" si="34"/>
        <v>-59.6</v>
      </c>
      <c r="M60" s="2"/>
      <c r="N60" s="6">
        <f t="shared" si="35"/>
        <v>-1</v>
      </c>
      <c r="O60" s="11"/>
      <c r="P60" s="7"/>
      <c r="Q60" s="2"/>
      <c r="R60" s="6">
        <f t="shared" si="36"/>
        <v>0</v>
      </c>
      <c r="S60" s="2"/>
      <c r="T60" s="7">
        <v>79.44</v>
      </c>
      <c r="U60" s="2"/>
      <c r="V60" s="6">
        <f t="shared" si="37"/>
        <v>0</v>
      </c>
      <c r="W60" s="2"/>
      <c r="X60" s="7">
        <f t="shared" si="38"/>
        <v>-79.44</v>
      </c>
      <c r="Y60" s="2"/>
      <c r="Z60" s="6">
        <f t="shared" si="39"/>
        <v>-1</v>
      </c>
    </row>
    <row r="61" spans="1:26" s="28" customFormat="1" outlineLevel="1" collapsed="1" x14ac:dyDescent="0.25">
      <c r="A61" s="27"/>
      <c r="B61" s="14" t="str">
        <f>CONCATENATE("     ","Supplies                                          ")</f>
        <v xml:space="preserve">     Supplies                                          </v>
      </c>
      <c r="C61" s="14"/>
      <c r="D61" s="1">
        <f>SUM(OSRRefD22_11x_0)</f>
        <v>-29200.769999999997</v>
      </c>
      <c r="E61" s="1"/>
      <c r="F61" s="5">
        <f t="shared" ref="F61:F65" si="40">IF(D$12=0,0,D61/D$12)</f>
        <v>0</v>
      </c>
      <c r="G61" s="1"/>
      <c r="H61" s="1">
        <f>SUM(OSRRefH22_11x_0)</f>
        <v>4636.45</v>
      </c>
      <c r="I61" s="1"/>
      <c r="J61" s="5">
        <f t="shared" ref="J61:J65" si="41">IF(H$12=0,0,H61/H$12)</f>
        <v>0</v>
      </c>
      <c r="K61" s="1"/>
      <c r="L61" s="1">
        <f t="shared" ref="L61:L65" si="42">+D61-H61</f>
        <v>-33837.219999999994</v>
      </c>
      <c r="M61" s="1"/>
      <c r="N61" s="5">
        <f t="shared" ref="N61:N65" si="43">IF(H61=0,0,L61/H61)</f>
        <v>-7.2980879767925879</v>
      </c>
      <c r="O61" s="14"/>
      <c r="P61" s="1">
        <f>SUM(OSRRefP22_11x_0)</f>
        <v>-29200.769999999997</v>
      </c>
      <c r="Q61" s="1"/>
      <c r="R61" s="5">
        <f t="shared" ref="R61:R65" si="44">IF(P$12=0,0,P61/P$12)</f>
        <v>0</v>
      </c>
      <c r="S61" s="1"/>
      <c r="T61" s="1">
        <f>SUM(OSRRefT22_11x_0)</f>
        <v>7392.39</v>
      </c>
      <c r="U61" s="1"/>
      <c r="V61" s="5">
        <f t="shared" ref="V61:V65" si="45">IF(T$12=0,0,T61/T$12)</f>
        <v>0</v>
      </c>
      <c r="W61" s="1"/>
      <c r="X61" s="1">
        <f t="shared" ref="X61:X65" si="46">+P61-T61</f>
        <v>-36593.159999999996</v>
      </c>
      <c r="Y61" s="1"/>
      <c r="Z61" s="5">
        <f t="shared" ref="Z61:Z65" si="47">IF(T61=0,0,X61/T61)</f>
        <v>-4.9501122099889203</v>
      </c>
    </row>
    <row r="62" spans="1:26" s="24" customFormat="1" hidden="1" outlineLevel="2" x14ac:dyDescent="0.25">
      <c r="A62" s="29"/>
      <c r="B62" s="11" t="str">
        <f>CONCATENATE("          ", "6237", " - ", "JANITORIAL SUPPLIES")</f>
        <v xml:space="preserve">          6237 - JANITORIAL SUPPLIES</v>
      </c>
      <c r="C62" s="11"/>
      <c r="D62" s="7"/>
      <c r="E62" s="2"/>
      <c r="F62" s="6">
        <f t="shared" si="40"/>
        <v>0</v>
      </c>
      <c r="G62" s="2"/>
      <c r="H62" s="7">
        <v>2447.2600000000002</v>
      </c>
      <c r="I62" s="2"/>
      <c r="J62" s="6">
        <f t="shared" si="41"/>
        <v>0</v>
      </c>
      <c r="K62" s="2"/>
      <c r="L62" s="7">
        <f t="shared" si="42"/>
        <v>-2447.2600000000002</v>
      </c>
      <c r="M62" s="2"/>
      <c r="N62" s="6">
        <f t="shared" si="43"/>
        <v>-1</v>
      </c>
      <c r="O62" s="11"/>
      <c r="P62" s="7"/>
      <c r="Q62" s="2"/>
      <c r="R62" s="6">
        <f t="shared" si="44"/>
        <v>0</v>
      </c>
      <c r="S62" s="2"/>
      <c r="T62" s="7">
        <v>5657.38</v>
      </c>
      <c r="U62" s="2"/>
      <c r="V62" s="6">
        <f t="shared" si="45"/>
        <v>0</v>
      </c>
      <c r="W62" s="2"/>
      <c r="X62" s="7">
        <f t="shared" si="46"/>
        <v>-5657.38</v>
      </c>
      <c r="Y62" s="2"/>
      <c r="Z62" s="6">
        <f t="shared" si="47"/>
        <v>-1</v>
      </c>
    </row>
    <row r="63" spans="1:26" s="24" customFormat="1" hidden="1" outlineLevel="2" x14ac:dyDescent="0.25">
      <c r="A63" s="29"/>
      <c r="B63" s="11" t="str">
        <f>CONCATENATE("          ", "6239", " - ", "KITCHEN SUPPLIES")</f>
        <v xml:space="preserve">          6239 - KITCHEN SUPPLIES</v>
      </c>
      <c r="C63" s="11"/>
      <c r="D63" s="7"/>
      <c r="E63" s="2"/>
      <c r="F63" s="6">
        <f t="shared" si="40"/>
        <v>0</v>
      </c>
      <c r="G63" s="2"/>
      <c r="H63" s="7">
        <v>2519.7399999999998</v>
      </c>
      <c r="I63" s="2"/>
      <c r="J63" s="6">
        <f t="shared" si="41"/>
        <v>0</v>
      </c>
      <c r="K63" s="2"/>
      <c r="L63" s="7">
        <f t="shared" si="42"/>
        <v>-2519.7399999999998</v>
      </c>
      <c r="M63" s="2"/>
      <c r="N63" s="6">
        <f t="shared" si="43"/>
        <v>-1</v>
      </c>
      <c r="O63" s="11"/>
      <c r="P63" s="7"/>
      <c r="Q63" s="2"/>
      <c r="R63" s="6">
        <f t="shared" si="44"/>
        <v>0</v>
      </c>
      <c r="S63" s="2"/>
      <c r="T63" s="7">
        <v>2965.47</v>
      </c>
      <c r="U63" s="2"/>
      <c r="V63" s="6">
        <f t="shared" si="45"/>
        <v>0</v>
      </c>
      <c r="W63" s="2"/>
      <c r="X63" s="7">
        <f t="shared" si="46"/>
        <v>-2965.47</v>
      </c>
      <c r="Y63" s="2"/>
      <c r="Z63" s="6">
        <f t="shared" si="47"/>
        <v>-1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7">
        <v>-29200.769999999997</v>
      </c>
      <c r="E64" s="2"/>
      <c r="F64" s="6">
        <f t="shared" si="40"/>
        <v>0</v>
      </c>
      <c r="G64" s="2"/>
      <c r="H64" s="7">
        <v>-330.55</v>
      </c>
      <c r="I64" s="2"/>
      <c r="J64" s="6">
        <f t="shared" si="41"/>
        <v>0</v>
      </c>
      <c r="K64" s="2"/>
      <c r="L64" s="7">
        <f t="shared" si="42"/>
        <v>-28870.219999999998</v>
      </c>
      <c r="M64" s="2"/>
      <c r="N64" s="6">
        <f t="shared" si="43"/>
        <v>87.339948570564204</v>
      </c>
      <c r="O64" s="11"/>
      <c r="P64" s="7">
        <v>-29200.769999999997</v>
      </c>
      <c r="Q64" s="2"/>
      <c r="R64" s="6">
        <f t="shared" si="44"/>
        <v>0</v>
      </c>
      <c r="S64" s="2"/>
      <c r="T64" s="7">
        <v>-1463.27</v>
      </c>
      <c r="U64" s="2"/>
      <c r="V64" s="6">
        <f t="shared" si="45"/>
        <v>0</v>
      </c>
      <c r="W64" s="2"/>
      <c r="X64" s="7">
        <f t="shared" si="46"/>
        <v>-27737.499999999996</v>
      </c>
      <c r="Y64" s="2"/>
      <c r="Z64" s="6">
        <f t="shared" si="47"/>
        <v>18.955831801376366</v>
      </c>
    </row>
    <row r="65" spans="1:26" s="24" customFormat="1" hidden="1" outlineLevel="2" x14ac:dyDescent="0.25">
      <c r="A65" s="29"/>
      <c r="B65" s="11" t="str">
        <f>CONCATENATE("          ", "6248", " - ", "UNIFORMS")</f>
        <v xml:space="preserve">          6248 - UNIFORMS</v>
      </c>
      <c r="C65" s="11"/>
      <c r="D65" s="7"/>
      <c r="E65" s="2"/>
      <c r="F65" s="6">
        <f t="shared" si="40"/>
        <v>0</v>
      </c>
      <c r="G65" s="2"/>
      <c r="H65" s="7"/>
      <c r="I65" s="2"/>
      <c r="J65" s="6">
        <f t="shared" si="41"/>
        <v>0</v>
      </c>
      <c r="K65" s="2"/>
      <c r="L65" s="7">
        <f t="shared" si="42"/>
        <v>0</v>
      </c>
      <c r="M65" s="2"/>
      <c r="N65" s="6">
        <f t="shared" si="43"/>
        <v>0</v>
      </c>
      <c r="O65" s="11"/>
      <c r="P65" s="7"/>
      <c r="Q65" s="2"/>
      <c r="R65" s="6">
        <f t="shared" si="44"/>
        <v>0</v>
      </c>
      <c r="S65" s="2"/>
      <c r="T65" s="7">
        <v>232.81</v>
      </c>
      <c r="U65" s="2"/>
      <c r="V65" s="6">
        <f t="shared" si="45"/>
        <v>0</v>
      </c>
      <c r="W65" s="2"/>
      <c r="X65" s="7">
        <f t="shared" si="46"/>
        <v>-232.81</v>
      </c>
      <c r="Y65" s="2"/>
      <c r="Z65" s="6">
        <f t="shared" si="47"/>
        <v>-1</v>
      </c>
    </row>
    <row r="66" spans="1:26" s="28" customFormat="1" outlineLevel="1" collapsed="1" x14ac:dyDescent="0.25">
      <c r="A66" s="27"/>
      <c r="B66" s="14" t="str">
        <f>CONCATENATE("     ","Telephone/Data Lines                              ")</f>
        <v xml:space="preserve">     Telephone/Data Lines                              </v>
      </c>
      <c r="C66" s="14"/>
      <c r="D66" s="1">
        <f>SUM(OSRRefD22_12x_0)</f>
        <v>353.3</v>
      </c>
      <c r="E66" s="1"/>
      <c r="F66" s="5">
        <f t="shared" ref="F66:F73" si="48">IF(D$12=0,0,D66/D$12)</f>
        <v>0</v>
      </c>
      <c r="G66" s="1"/>
      <c r="H66" s="1">
        <f>SUM(OSRRefH22_12x_0)</f>
        <v>38.5</v>
      </c>
      <c r="I66" s="1"/>
      <c r="J66" s="5">
        <f t="shared" ref="J66:J73" si="49">IF(H$12=0,0,H66/H$12)</f>
        <v>0</v>
      </c>
      <c r="K66" s="1"/>
      <c r="L66" s="1">
        <f t="shared" ref="L66:L73" si="50">+D66-H66</f>
        <v>314.8</v>
      </c>
      <c r="M66" s="1"/>
      <c r="N66" s="5">
        <f t="shared" ref="N66:N73" si="51">IF(H66=0,0,L66/H66)</f>
        <v>8.1766233766233771</v>
      </c>
      <c r="O66" s="14"/>
      <c r="P66" s="1">
        <f>SUM(OSRRefP22_12x_0)</f>
        <v>779.3</v>
      </c>
      <c r="Q66" s="1"/>
      <c r="R66" s="5">
        <f t="shared" ref="R66:R73" si="52">IF(P$12=0,0,P66/P$12)</f>
        <v>0</v>
      </c>
      <c r="S66" s="1"/>
      <c r="T66" s="1">
        <f>SUM(OSRRefT22_12x_0)</f>
        <v>472.55</v>
      </c>
      <c r="U66" s="1"/>
      <c r="V66" s="5">
        <f t="shared" ref="V66:V73" si="53">IF(T$12=0,0,T66/T$12)</f>
        <v>0</v>
      </c>
      <c r="W66" s="1"/>
      <c r="X66" s="1">
        <f t="shared" ref="X66:X73" si="54">+P66-T66</f>
        <v>306.74999999999994</v>
      </c>
      <c r="Y66" s="1"/>
      <c r="Z66" s="5">
        <f t="shared" ref="Z66:Z73" si="55">IF(T66=0,0,X66/T66)</f>
        <v>0.64913765739075213</v>
      </c>
    </row>
    <row r="67" spans="1:26" s="24" customFormat="1" hidden="1" outlineLevel="2" x14ac:dyDescent="0.25">
      <c r="A67" s="29"/>
      <c r="B67" s="11" t="str">
        <f>CONCATENATE("          ", "6309", " - ", "TELEPHONE")</f>
        <v xml:space="preserve">          6309 - TELEPHONE</v>
      </c>
      <c r="C67" s="11"/>
      <c r="D67" s="7">
        <v>353.3</v>
      </c>
      <c r="E67" s="2"/>
      <c r="F67" s="6">
        <f t="shared" si="48"/>
        <v>0</v>
      </c>
      <c r="G67" s="2"/>
      <c r="H67" s="7">
        <v>38.5</v>
      </c>
      <c r="I67" s="2"/>
      <c r="J67" s="6">
        <f t="shared" si="49"/>
        <v>0</v>
      </c>
      <c r="K67" s="2"/>
      <c r="L67" s="7">
        <f t="shared" si="50"/>
        <v>314.8</v>
      </c>
      <c r="M67" s="2"/>
      <c r="N67" s="6">
        <f t="shared" si="51"/>
        <v>8.1766233766233771</v>
      </c>
      <c r="O67" s="11"/>
      <c r="P67" s="7">
        <v>779.3</v>
      </c>
      <c r="Q67" s="2"/>
      <c r="R67" s="6">
        <f t="shared" si="52"/>
        <v>0</v>
      </c>
      <c r="S67" s="2"/>
      <c r="T67" s="7">
        <v>472.55</v>
      </c>
      <c r="U67" s="2"/>
      <c r="V67" s="6">
        <f t="shared" si="53"/>
        <v>0</v>
      </c>
      <c r="W67" s="2"/>
      <c r="X67" s="7">
        <f t="shared" si="54"/>
        <v>306.74999999999994</v>
      </c>
      <c r="Y67" s="2"/>
      <c r="Z67" s="6">
        <f t="shared" si="55"/>
        <v>0.64913765739075213</v>
      </c>
    </row>
    <row r="68" spans="1:26" s="28" customFormat="1" outlineLevel="1" collapsed="1" x14ac:dyDescent="0.25">
      <c r="A68" s="27"/>
      <c r="B68" s="14" t="str">
        <f>CONCATENATE("     ","Training                                          ")</f>
        <v xml:space="preserve">     Training                                          </v>
      </c>
      <c r="C68" s="14"/>
      <c r="D68" s="1">
        <f>SUM(OSRRefD22_13x_0)</f>
        <v>0</v>
      </c>
      <c r="E68" s="1"/>
      <c r="F68" s="5">
        <f t="shared" si="48"/>
        <v>0</v>
      </c>
      <c r="G68" s="1"/>
      <c r="H68" s="1">
        <f>SUM(OSRRefH22_13x_0)</f>
        <v>0</v>
      </c>
      <c r="I68" s="1"/>
      <c r="J68" s="5">
        <f t="shared" si="49"/>
        <v>0</v>
      </c>
      <c r="K68" s="1"/>
      <c r="L68" s="1">
        <f t="shared" si="50"/>
        <v>0</v>
      </c>
      <c r="M68" s="1"/>
      <c r="N68" s="5">
        <f t="shared" si="51"/>
        <v>0</v>
      </c>
      <c r="O68" s="14"/>
      <c r="P68" s="1">
        <f>SUM(OSRRefP22_13x_0)</f>
        <v>0</v>
      </c>
      <c r="Q68" s="1"/>
      <c r="R68" s="5">
        <f t="shared" si="52"/>
        <v>0</v>
      </c>
      <c r="S68" s="1"/>
      <c r="T68" s="1">
        <f>SUM(OSRRefT22_13x_0)</f>
        <v>240</v>
      </c>
      <c r="U68" s="1"/>
      <c r="V68" s="5">
        <f t="shared" si="53"/>
        <v>0</v>
      </c>
      <c r="W68" s="1"/>
      <c r="X68" s="1">
        <f t="shared" si="54"/>
        <v>-240</v>
      </c>
      <c r="Y68" s="1"/>
      <c r="Z68" s="5">
        <f t="shared" si="55"/>
        <v>-1</v>
      </c>
    </row>
    <row r="69" spans="1:26" s="24" customFormat="1" hidden="1" outlineLevel="2" x14ac:dyDescent="0.25">
      <c r="A69" s="29"/>
      <c r="B69" s="11" t="str">
        <f>CONCATENATE("          ", "6376", " - ", "TRAINING")</f>
        <v xml:space="preserve">          6376 - TRAINING</v>
      </c>
      <c r="C69" s="11"/>
      <c r="D69" s="7"/>
      <c r="E69" s="2"/>
      <c r="F69" s="6">
        <f t="shared" si="48"/>
        <v>0</v>
      </c>
      <c r="G69" s="2"/>
      <c r="H69" s="7"/>
      <c r="I69" s="2"/>
      <c r="J69" s="6">
        <f t="shared" si="49"/>
        <v>0</v>
      </c>
      <c r="K69" s="2"/>
      <c r="L69" s="7">
        <f t="shared" si="50"/>
        <v>0</v>
      </c>
      <c r="M69" s="2"/>
      <c r="N69" s="6">
        <f t="shared" si="51"/>
        <v>0</v>
      </c>
      <c r="O69" s="11"/>
      <c r="P69" s="7"/>
      <c r="Q69" s="2"/>
      <c r="R69" s="6">
        <f t="shared" si="52"/>
        <v>0</v>
      </c>
      <c r="S69" s="2"/>
      <c r="T69" s="7">
        <v>240</v>
      </c>
      <c r="U69" s="2"/>
      <c r="V69" s="6">
        <f t="shared" si="53"/>
        <v>0</v>
      </c>
      <c r="W69" s="2"/>
      <c r="X69" s="7">
        <f t="shared" si="54"/>
        <v>-240</v>
      </c>
      <c r="Y69" s="2"/>
      <c r="Z69" s="6">
        <f t="shared" si="55"/>
        <v>-1</v>
      </c>
    </row>
    <row r="70" spans="1:26" s="28" customFormat="1" outlineLevel="1" collapsed="1" x14ac:dyDescent="0.25">
      <c r="A70" s="27"/>
      <c r="B70" s="14" t="str">
        <f>CONCATENATE("     ","Travel                                            ")</f>
        <v xml:space="preserve">     Travel                                            </v>
      </c>
      <c r="C70" s="14"/>
      <c r="D70" s="1">
        <f>SUM(OSRRefD22_14x_0)</f>
        <v>0</v>
      </c>
      <c r="E70" s="1"/>
      <c r="F70" s="5">
        <f t="shared" si="48"/>
        <v>0</v>
      </c>
      <c r="G70" s="1"/>
      <c r="H70" s="1">
        <f>SUM(OSRRefH22_14x_0)</f>
        <v>87.039999999999992</v>
      </c>
      <c r="I70" s="1"/>
      <c r="J70" s="5">
        <f t="shared" si="49"/>
        <v>0</v>
      </c>
      <c r="K70" s="1"/>
      <c r="L70" s="1">
        <f t="shared" si="50"/>
        <v>-87.039999999999992</v>
      </c>
      <c r="M70" s="1"/>
      <c r="N70" s="5">
        <f t="shared" si="51"/>
        <v>-1</v>
      </c>
      <c r="O70" s="14"/>
      <c r="P70" s="1">
        <f>SUM(OSRRefP22_14x_0)</f>
        <v>179.69</v>
      </c>
      <c r="Q70" s="1"/>
      <c r="R70" s="5">
        <f t="shared" si="52"/>
        <v>0</v>
      </c>
      <c r="S70" s="1"/>
      <c r="T70" s="1">
        <f>SUM(OSRRefT22_14x_0)</f>
        <v>851.36000000000013</v>
      </c>
      <c r="U70" s="1"/>
      <c r="V70" s="5">
        <f t="shared" si="53"/>
        <v>0</v>
      </c>
      <c r="W70" s="1"/>
      <c r="X70" s="1">
        <f t="shared" si="54"/>
        <v>-671.67000000000007</v>
      </c>
      <c r="Y70" s="1"/>
      <c r="Z70" s="5">
        <f t="shared" si="55"/>
        <v>-0.7889376996805112</v>
      </c>
    </row>
    <row r="71" spans="1:26" s="24" customFormat="1" hidden="1" outlineLevel="2" x14ac:dyDescent="0.25">
      <c r="A71" s="29"/>
      <c r="B71" s="11" t="str">
        <f>CONCATENATE("          ", "6292", " - ", "TRAVEL/CONFERENCE")</f>
        <v xml:space="preserve">          6292 - TRAVEL/CONFERENCE</v>
      </c>
      <c r="C71" s="11"/>
      <c r="D71" s="7"/>
      <c r="E71" s="2"/>
      <c r="F71" s="6">
        <f t="shared" si="48"/>
        <v>0</v>
      </c>
      <c r="G71" s="2"/>
      <c r="H71" s="7">
        <v>40.46</v>
      </c>
      <c r="I71" s="2"/>
      <c r="J71" s="6">
        <f t="shared" si="49"/>
        <v>0</v>
      </c>
      <c r="K71" s="2"/>
      <c r="L71" s="7">
        <f t="shared" si="50"/>
        <v>-40.46</v>
      </c>
      <c r="M71" s="2"/>
      <c r="N71" s="6">
        <f t="shared" si="51"/>
        <v>-1</v>
      </c>
      <c r="O71" s="11"/>
      <c r="P71" s="7"/>
      <c r="Q71" s="2"/>
      <c r="R71" s="6">
        <f t="shared" si="52"/>
        <v>0</v>
      </c>
      <c r="S71" s="2"/>
      <c r="T71" s="7">
        <v>545.69000000000005</v>
      </c>
      <c r="U71" s="2"/>
      <c r="V71" s="6">
        <f t="shared" si="53"/>
        <v>0</v>
      </c>
      <c r="W71" s="2"/>
      <c r="X71" s="7">
        <f t="shared" si="54"/>
        <v>-545.69000000000005</v>
      </c>
      <c r="Y71" s="2"/>
      <c r="Z71" s="6">
        <f t="shared" si="55"/>
        <v>-1</v>
      </c>
    </row>
    <row r="72" spans="1:26" s="24" customFormat="1" hidden="1" outlineLevel="2" x14ac:dyDescent="0.25">
      <c r="A72" s="29"/>
      <c r="B72" s="11" t="str">
        <f>CONCATENATE("          ", "6294", " - ", "TRAVEL OPERATIONAL")</f>
        <v xml:space="preserve">          6294 - TRAVEL OPERATIONAL</v>
      </c>
      <c r="C72" s="11"/>
      <c r="D72" s="7"/>
      <c r="E72" s="2"/>
      <c r="F72" s="6">
        <f t="shared" si="48"/>
        <v>0</v>
      </c>
      <c r="G72" s="2"/>
      <c r="H72" s="7"/>
      <c r="I72" s="2"/>
      <c r="J72" s="6">
        <f t="shared" si="49"/>
        <v>0</v>
      </c>
      <c r="K72" s="2"/>
      <c r="L72" s="7">
        <f t="shared" si="50"/>
        <v>0</v>
      </c>
      <c r="M72" s="2"/>
      <c r="N72" s="6">
        <f t="shared" si="51"/>
        <v>0</v>
      </c>
      <c r="O72" s="11"/>
      <c r="P72" s="7"/>
      <c r="Q72" s="2"/>
      <c r="R72" s="6">
        <f t="shared" si="52"/>
        <v>0</v>
      </c>
      <c r="S72" s="2"/>
      <c r="T72" s="7">
        <v>45.49</v>
      </c>
      <c r="U72" s="2"/>
      <c r="V72" s="6">
        <f t="shared" si="53"/>
        <v>0</v>
      </c>
      <c r="W72" s="2"/>
      <c r="X72" s="7">
        <f t="shared" si="54"/>
        <v>-45.49</v>
      </c>
      <c r="Y72" s="2"/>
      <c r="Z72" s="6">
        <f t="shared" si="55"/>
        <v>-1</v>
      </c>
    </row>
    <row r="73" spans="1:26" s="24" customFormat="1" hidden="1" outlineLevel="2" x14ac:dyDescent="0.25">
      <c r="A73" s="29"/>
      <c r="B73" s="11" t="str">
        <f>CONCATENATE("          ", "6298", " - ", "VEHICLE MILEAGE")</f>
        <v xml:space="preserve">          6298 - VEHICLE MILEAGE</v>
      </c>
      <c r="C73" s="11"/>
      <c r="D73" s="7"/>
      <c r="E73" s="2"/>
      <c r="F73" s="6">
        <f t="shared" si="48"/>
        <v>0</v>
      </c>
      <c r="G73" s="2"/>
      <c r="H73" s="7">
        <v>46.58</v>
      </c>
      <c r="I73" s="2"/>
      <c r="J73" s="6">
        <f t="shared" si="49"/>
        <v>0</v>
      </c>
      <c r="K73" s="2"/>
      <c r="L73" s="7">
        <f t="shared" si="50"/>
        <v>-46.58</v>
      </c>
      <c r="M73" s="2"/>
      <c r="N73" s="6">
        <f t="shared" si="51"/>
        <v>-1</v>
      </c>
      <c r="O73" s="11"/>
      <c r="P73" s="7">
        <v>179.69</v>
      </c>
      <c r="Q73" s="2"/>
      <c r="R73" s="6">
        <f t="shared" si="52"/>
        <v>0</v>
      </c>
      <c r="S73" s="2"/>
      <c r="T73" s="7">
        <v>260.18</v>
      </c>
      <c r="U73" s="2"/>
      <c r="V73" s="6">
        <f t="shared" si="53"/>
        <v>0</v>
      </c>
      <c r="W73" s="2"/>
      <c r="X73" s="7">
        <f t="shared" si="54"/>
        <v>-80.490000000000009</v>
      </c>
      <c r="Y73" s="2"/>
      <c r="Z73" s="6">
        <f t="shared" si="55"/>
        <v>-0.3093627488661696</v>
      </c>
    </row>
    <row r="74" spans="1:26" s="28" customFormat="1" outlineLevel="1" collapsed="1" x14ac:dyDescent="0.25">
      <c r="A74" s="27"/>
      <c r="B74" s="14" t="str">
        <f>CONCATENATE("     ","Utilities                                         ")</f>
        <v xml:space="preserve">     Utilities                                         </v>
      </c>
      <c r="C74" s="14"/>
      <c r="D74" s="1">
        <f>SUM(OSRRefD22_15x_0)</f>
        <v>0</v>
      </c>
      <c r="E74" s="1"/>
      <c r="F74" s="5">
        <f t="shared" ref="F74:F75" si="56">IF(D$12=0,0,D74/D$12)</f>
        <v>0</v>
      </c>
      <c r="G74" s="1"/>
      <c r="H74" s="1">
        <f>SUM(OSRRefH22_15x_0)</f>
        <v>0</v>
      </c>
      <c r="I74" s="1"/>
      <c r="J74" s="5">
        <f t="shared" ref="J74:J75" si="57">IF(H$12=0,0,H74/H$12)</f>
        <v>0</v>
      </c>
      <c r="K74" s="1"/>
      <c r="L74" s="1">
        <f t="shared" ref="L74:L75" si="58">+D74-H74</f>
        <v>0</v>
      </c>
      <c r="M74" s="1"/>
      <c r="N74" s="5">
        <f t="shared" ref="N74:N75" si="59">IF(H74=0,0,L74/H74)</f>
        <v>0</v>
      </c>
      <c r="O74" s="14"/>
      <c r="P74" s="1">
        <f>SUM(OSRRefP22_15x_0)</f>
        <v>0</v>
      </c>
      <c r="Q74" s="1"/>
      <c r="R74" s="5">
        <f t="shared" ref="R74:R75" si="60">IF(P$12=0,0,P74/P$12)</f>
        <v>0</v>
      </c>
      <c r="S74" s="1"/>
      <c r="T74" s="1">
        <f>SUM(OSRRefT22_15x_0)</f>
        <v>11354</v>
      </c>
      <c r="U74" s="1"/>
      <c r="V74" s="5">
        <f t="shared" ref="V74:V75" si="61">IF(T$12=0,0,T74/T$12)</f>
        <v>0</v>
      </c>
      <c r="W74" s="1"/>
      <c r="X74" s="1">
        <f t="shared" ref="X74:X75" si="62">+P74-T74</f>
        <v>-11354</v>
      </c>
      <c r="Y74" s="1"/>
      <c r="Z74" s="5">
        <f t="shared" ref="Z74:Z75" si="63">IF(T74=0,0,X74/T74)</f>
        <v>-1</v>
      </c>
    </row>
    <row r="75" spans="1:26" s="24" customFormat="1" hidden="1" outlineLevel="2" x14ac:dyDescent="0.25">
      <c r="A75" s="29"/>
      <c r="B75" s="11" t="str">
        <f>CONCATENATE("          ", "6274", " - ", "UTILITIES")</f>
        <v xml:space="preserve">          6274 - UTILITIES</v>
      </c>
      <c r="C75" s="11"/>
      <c r="D75" s="7"/>
      <c r="E75" s="2"/>
      <c r="F75" s="6">
        <f t="shared" si="56"/>
        <v>0</v>
      </c>
      <c r="G75" s="2"/>
      <c r="H75" s="7"/>
      <c r="I75" s="2"/>
      <c r="J75" s="6">
        <f t="shared" si="57"/>
        <v>0</v>
      </c>
      <c r="K75" s="2"/>
      <c r="L75" s="7">
        <f t="shared" si="58"/>
        <v>0</v>
      </c>
      <c r="M75" s="2"/>
      <c r="N75" s="6">
        <f t="shared" si="59"/>
        <v>0</v>
      </c>
      <c r="O75" s="11"/>
      <c r="P75" s="7"/>
      <c r="Q75" s="2"/>
      <c r="R75" s="6">
        <f t="shared" si="60"/>
        <v>0</v>
      </c>
      <c r="S75" s="2"/>
      <c r="T75" s="7">
        <v>11354</v>
      </c>
      <c r="U75" s="2"/>
      <c r="V75" s="6">
        <f t="shared" si="61"/>
        <v>0</v>
      </c>
      <c r="W75" s="2"/>
      <c r="X75" s="7">
        <f t="shared" si="62"/>
        <v>-11354</v>
      </c>
      <c r="Y75" s="2"/>
      <c r="Z75" s="6">
        <f t="shared" si="63"/>
        <v>-1</v>
      </c>
    </row>
    <row r="76" spans="1:26" s="52" customFormat="1" x14ac:dyDescent="0.25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collapsed="1" x14ac:dyDescent="0.25">
      <c r="A77" s="10"/>
      <c r="B77" s="25" t="s">
        <v>0</v>
      </c>
      <c r="C77" s="10"/>
      <c r="D77" s="4">
        <f>SUM(OSRRefD25x_0)</f>
        <v>626.42999999999995</v>
      </c>
      <c r="E77" s="4"/>
      <c r="F77" s="12">
        <f t="shared" ref="F77:F79" si="64">IF(D$12=0,0,D77/D$12)</f>
        <v>0</v>
      </c>
      <c r="G77" s="4"/>
      <c r="H77" s="4">
        <f>SUM(OSRRefH25x_0)</f>
        <v>402.28</v>
      </c>
      <c r="I77" s="4"/>
      <c r="J77" s="12">
        <f t="shared" ref="J77:J79" si="65">IF(H$12=0,0,H77/H$12)</f>
        <v>0</v>
      </c>
      <c r="K77" s="4"/>
      <c r="L77" s="4">
        <f t="shared" ref="L77:L79" si="66">+D77-H77</f>
        <v>224.14999999999998</v>
      </c>
      <c r="M77" s="4"/>
      <c r="N77" s="12">
        <f t="shared" ref="N77:N79" si="67">IF(H77=0,0,L77/H77)</f>
        <v>0.55719896589440188</v>
      </c>
      <c r="O77" s="10"/>
      <c r="P77" s="4">
        <f>SUM(OSRRefP25x_0)</f>
        <v>1138.8399999999999</v>
      </c>
      <c r="Q77" s="4"/>
      <c r="R77" s="12">
        <f t="shared" ref="R77:R79" si="68">IF(P$12=0,0,P77/P$12)</f>
        <v>0</v>
      </c>
      <c r="S77" s="4"/>
      <c r="T77" s="4">
        <f>SUM(OSRRefT25x_0)</f>
        <v>2815.14</v>
      </c>
      <c r="U77" s="4"/>
      <c r="V77" s="12">
        <f t="shared" ref="V77:V79" si="69">IF(T$12=0,0,T77/T$12)</f>
        <v>0</v>
      </c>
      <c r="W77" s="4"/>
      <c r="X77" s="4">
        <f t="shared" ref="X77:X79" si="70">+P77-T77</f>
        <v>-1676.3</v>
      </c>
      <c r="Y77" s="4"/>
      <c r="Z77" s="12">
        <f t="shared" ref="Z77:Z79" si="71">IF(T77=0,0,X77/T77)</f>
        <v>-0.5954588404129102</v>
      </c>
    </row>
    <row r="78" spans="1:26" s="24" customFormat="1" hidden="1" outlineLevel="1" x14ac:dyDescent="0.25">
      <c r="A78" s="44"/>
      <c r="B78" s="11" t="str">
        <f>CONCATENATE("          ", "9150", " - ", "MISC. INCOME")</f>
        <v xml:space="preserve">          9150 - MISC. INCOME</v>
      </c>
      <c r="C78" s="11"/>
      <c r="D78" s="2">
        <f>0</f>
        <v>0</v>
      </c>
      <c r="E78" s="2"/>
      <c r="F78" s="19">
        <f t="shared" si="64"/>
        <v>0</v>
      </c>
      <c r="G78" s="2"/>
      <c r="H78" s="2">
        <f>--402.28</f>
        <v>402.28</v>
      </c>
      <c r="I78" s="2"/>
      <c r="J78" s="19">
        <f t="shared" si="65"/>
        <v>0</v>
      </c>
      <c r="K78" s="2"/>
      <c r="L78" s="2">
        <f t="shared" si="66"/>
        <v>-402.28</v>
      </c>
      <c r="M78" s="2"/>
      <c r="N78" s="19">
        <f t="shared" si="67"/>
        <v>-1</v>
      </c>
      <c r="O78" s="11"/>
      <c r="P78" s="2">
        <f>--512.41</f>
        <v>512.41</v>
      </c>
      <c r="Q78" s="2"/>
      <c r="R78" s="19">
        <f t="shared" si="68"/>
        <v>0</v>
      </c>
      <c r="S78" s="2"/>
      <c r="T78" s="2">
        <f>--1804.21</f>
        <v>1804.21</v>
      </c>
      <c r="U78" s="2"/>
      <c r="V78" s="19">
        <f t="shared" si="69"/>
        <v>0</v>
      </c>
      <c r="W78" s="2"/>
      <c r="X78" s="2">
        <f t="shared" si="70"/>
        <v>-1291.8000000000002</v>
      </c>
      <c r="Y78" s="2"/>
      <c r="Z78" s="19">
        <f t="shared" si="71"/>
        <v>-0.71599204083781831</v>
      </c>
    </row>
    <row r="79" spans="1:26" s="24" customFormat="1" hidden="1" outlineLevel="1" x14ac:dyDescent="0.25">
      <c r="A79" s="44"/>
      <c r="B79" s="11" t="str">
        <f>CONCATENATE("          ", "9160", " - ", "MISC. INCOME")</f>
        <v xml:space="preserve">          9160 - MISC. INCOME</v>
      </c>
      <c r="C79" s="11"/>
      <c r="D79" s="2">
        <f>--626.43</f>
        <v>626.42999999999995</v>
      </c>
      <c r="E79" s="2"/>
      <c r="F79" s="19">
        <f t="shared" si="64"/>
        <v>0</v>
      </c>
      <c r="G79" s="2"/>
      <c r="H79" s="2">
        <f>0</f>
        <v>0</v>
      </c>
      <c r="I79" s="2"/>
      <c r="J79" s="19">
        <f t="shared" si="65"/>
        <v>0</v>
      </c>
      <c r="K79" s="2"/>
      <c r="L79" s="2">
        <f t="shared" si="66"/>
        <v>626.42999999999995</v>
      </c>
      <c r="M79" s="2"/>
      <c r="N79" s="19">
        <f t="shared" si="67"/>
        <v>0</v>
      </c>
      <c r="O79" s="11"/>
      <c r="P79" s="2">
        <f>--626.43</f>
        <v>626.42999999999995</v>
      </c>
      <c r="Q79" s="2"/>
      <c r="R79" s="19">
        <f t="shared" si="68"/>
        <v>0</v>
      </c>
      <c r="S79" s="2"/>
      <c r="T79" s="2">
        <f>--1010.93</f>
        <v>1010.93</v>
      </c>
      <c r="U79" s="2"/>
      <c r="V79" s="19">
        <f t="shared" si="69"/>
        <v>0</v>
      </c>
      <c r="W79" s="2"/>
      <c r="X79" s="2">
        <f t="shared" si="70"/>
        <v>-384.5</v>
      </c>
      <c r="Y79" s="2"/>
      <c r="Z79" s="19">
        <f t="shared" si="71"/>
        <v>-0.3803428526208541</v>
      </c>
    </row>
    <row r="80" spans="1:26" x14ac:dyDescent="0.25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25">
      <c r="A81" s="10"/>
      <c r="B81" s="26" t="s">
        <v>3</v>
      </c>
      <c r="C81" s="26"/>
      <c r="D81" s="22">
        <f>+D16-D18+D77</f>
        <v>956.42999999999915</v>
      </c>
      <c r="E81" s="13"/>
      <c r="F81" s="21">
        <f>IF(D$12=0,0,D81/D$12)</f>
        <v>0</v>
      </c>
      <c r="G81" s="13"/>
      <c r="H81" s="22">
        <f>+H16-H18+H77</f>
        <v>-74946.680000000008</v>
      </c>
      <c r="I81" s="13"/>
      <c r="J81" s="21">
        <f>IF(H$12=0,0,H81/H$12)</f>
        <v>0</v>
      </c>
      <c r="K81" s="16"/>
      <c r="L81" s="22">
        <f>+D81-H81</f>
        <v>75903.11</v>
      </c>
      <c r="M81" s="16"/>
      <c r="N81" s="21">
        <f>IF(H81=0,0,L81/H81)</f>
        <v>-1.0127614725562226</v>
      </c>
      <c r="O81" s="25"/>
      <c r="P81" s="22">
        <f>+P16-P18+P77</f>
        <v>-29183.369999999992</v>
      </c>
      <c r="Q81" s="13"/>
      <c r="R81" s="21">
        <f>IF(P$12=0,0,P81/P$12)</f>
        <v>0</v>
      </c>
      <c r="S81" s="13"/>
      <c r="T81" s="22">
        <f>+T16-T18+T77</f>
        <v>-168905.79999999996</v>
      </c>
      <c r="U81" s="13"/>
      <c r="V81" s="21">
        <f>IF(T$12=0,0,T81/T$12)</f>
        <v>0</v>
      </c>
      <c r="W81" s="16"/>
      <c r="X81" s="22">
        <f>+P81-T81</f>
        <v>139722.42999999996</v>
      </c>
      <c r="Y81" s="16"/>
      <c r="Z81" s="21">
        <f>IF(T81=0,0,X81/T81)</f>
        <v>-0.82722103089414334</v>
      </c>
    </row>
    <row r="82" spans="1:26" x14ac:dyDescent="0.25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51"/>
      <c r="B83" s="10" t="s">
        <v>13</v>
      </c>
      <c r="C83" s="10"/>
      <c r="D83" s="4"/>
      <c r="E83" s="4"/>
      <c r="F83" s="12">
        <f>IF(D$12=0,0,D83/D$12)</f>
        <v>0</v>
      </c>
      <c r="G83" s="4"/>
      <c r="H83" s="4"/>
      <c r="I83" s="4"/>
      <c r="J83" s="12">
        <f>IF(H$12=0,0,H83/H$12)</f>
        <v>0</v>
      </c>
      <c r="K83" s="4"/>
      <c r="L83" s="4">
        <f>+D83-H83</f>
        <v>0</v>
      </c>
      <c r="M83" s="4"/>
      <c r="N83" s="12">
        <f>IF(H83=0,0,L83/H83)</f>
        <v>0</v>
      </c>
      <c r="O83" s="10"/>
      <c r="P83" s="4"/>
      <c r="Q83" s="4"/>
      <c r="R83" s="12">
        <f>IF(P$12=0,0,P83/P$12)</f>
        <v>0</v>
      </c>
      <c r="S83" s="4"/>
      <c r="T83" s="4"/>
      <c r="U83" s="4"/>
      <c r="V83" s="12">
        <f>IF(T$12=0,0,T83/T$12)</f>
        <v>0</v>
      </c>
      <c r="W83" s="4"/>
      <c r="X83" s="4">
        <f>+P83-T83</f>
        <v>0</v>
      </c>
      <c r="Y83" s="4"/>
      <c r="Z83" s="12">
        <f>IF(T83=0,0,X83/T83)</f>
        <v>0</v>
      </c>
    </row>
    <row r="84" spans="1:26" x14ac:dyDescent="0.25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.75" thickBot="1" x14ac:dyDescent="0.3">
      <c r="A85" s="10"/>
      <c r="B85" s="26" t="s">
        <v>4</v>
      </c>
      <c r="C85" s="26"/>
      <c r="D85" s="36">
        <f>+D81-D83</f>
        <v>956.42999999999915</v>
      </c>
      <c r="E85" s="13"/>
      <c r="F85" s="34">
        <f>IF(D$12=0,0,D85/D$12)</f>
        <v>0</v>
      </c>
      <c r="G85" s="13"/>
      <c r="H85" s="36">
        <f>+H81-H83</f>
        <v>-74946.680000000008</v>
      </c>
      <c r="I85" s="13"/>
      <c r="J85" s="34">
        <f>IF(H$12=0,0,H85/H$12)</f>
        <v>0</v>
      </c>
      <c r="K85" s="16"/>
      <c r="L85" s="36">
        <f>D85-H85</f>
        <v>75903.11</v>
      </c>
      <c r="M85" s="16"/>
      <c r="N85" s="34">
        <f>IF(H85=0,0,L85/H85)</f>
        <v>-1.0127614725562226</v>
      </c>
      <c r="O85" s="25"/>
      <c r="P85" s="36">
        <f>+P81-P83</f>
        <v>-29183.369999999992</v>
      </c>
      <c r="Q85" s="13"/>
      <c r="R85" s="34">
        <f>IF(P$12=0,0,P85/P$12)</f>
        <v>0</v>
      </c>
      <c r="S85" s="13"/>
      <c r="T85" s="36">
        <f>+T81-T83</f>
        <v>-168905.79999999996</v>
      </c>
      <c r="U85" s="13"/>
      <c r="V85" s="34">
        <f>IF(T$12=0,0,T85/T$12)</f>
        <v>0</v>
      </c>
      <c r="W85" s="16"/>
      <c r="X85" s="36">
        <f>P85-T85</f>
        <v>139722.42999999996</v>
      </c>
      <c r="Y85" s="16"/>
      <c r="Z85" s="34">
        <f>IF(T85=0,0,X85/T85)</f>
        <v>-0.82722103089414334</v>
      </c>
    </row>
    <row r="86" spans="1:26" ht="15.75" thickTop="1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25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.75" thickBot="1" x14ac:dyDescent="0.3">
      <c r="A88" s="10"/>
      <c r="B88" s="26" t="s">
        <v>5</v>
      </c>
      <c r="C88" s="26"/>
      <c r="D88" s="30">
        <f>SUM(D85:D87)</f>
        <v>956.42999999999915</v>
      </c>
      <c r="E88" s="13"/>
      <c r="F88" s="31">
        <f>IF(D$12=0,0,D88/D$12)</f>
        <v>0</v>
      </c>
      <c r="G88" s="13"/>
      <c r="H88" s="30">
        <f>SUM(H85:H87)</f>
        <v>-74946.680000000008</v>
      </c>
      <c r="I88" s="13"/>
      <c r="J88" s="31">
        <f>IF(H$12=0,0,H88/H$12)</f>
        <v>0</v>
      </c>
      <c r="K88" s="16"/>
      <c r="L88" s="30">
        <f>+D88-H88</f>
        <v>75903.11</v>
      </c>
      <c r="M88" s="16"/>
      <c r="N88" s="31">
        <f>IF(H88=0,0,L88/H88)</f>
        <v>-1.0127614725562226</v>
      </c>
      <c r="O88" s="25"/>
      <c r="P88" s="30">
        <f>SUM(P85:P87)</f>
        <v>-29183.369999999992</v>
      </c>
      <c r="Q88" s="13"/>
      <c r="R88" s="31">
        <f>IF(P$12=0,0,P88/P$12)</f>
        <v>0</v>
      </c>
      <c r="S88" s="13"/>
      <c r="T88" s="30">
        <f>SUM(T85:T87)</f>
        <v>-168905.79999999996</v>
      </c>
      <c r="U88" s="13"/>
      <c r="V88" s="31">
        <f>IF(T$12=0,0,T88/T$12)</f>
        <v>0</v>
      </c>
      <c r="W88" s="16"/>
      <c r="X88" s="30">
        <f>+P88-T88</f>
        <v>139722.42999999996</v>
      </c>
      <c r="Y88" s="16"/>
      <c r="Z88" s="31">
        <f>IF(T88=0,0,X88/T88)</f>
        <v>-0.82722103089414334</v>
      </c>
    </row>
    <row r="89" spans="1:26" ht="15.75" thickTop="1" x14ac:dyDescent="0.25">
      <c r="A89" s="9"/>
      <c r="C89" s="9"/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61">
        <v>44113.69658434028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6" t="s">
        <v>313</v>
      </c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58"/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","412", " - ", "Chartroom")</f>
        <v>Department 412 - Chartroom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65473.24</v>
      </c>
      <c r="I12" s="4"/>
      <c r="J12" s="12"/>
      <c r="K12" s="4"/>
      <c r="L12" s="4">
        <f t="shared" ref="L12:L14" si="0">+D12-H12</f>
        <v>-65473.24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112682.89</v>
      </c>
      <c r="U12" s="4"/>
      <c r="V12" s="12"/>
      <c r="W12" s="4"/>
      <c r="X12" s="4">
        <f t="shared" ref="X12:X14" si="2">+P12-T12</f>
        <v>-112682.89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--61482.81</f>
        <v>61482.81</v>
      </c>
      <c r="I13" s="2"/>
      <c r="J13" s="19"/>
      <c r="K13" s="2"/>
      <c r="L13" s="2">
        <f t="shared" si="0"/>
        <v>-61482.81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--105025.37</f>
        <v>105025.37</v>
      </c>
      <c r="U13" s="2"/>
      <c r="V13" s="19"/>
      <c r="W13" s="2"/>
      <c r="X13" s="2">
        <f t="shared" si="2"/>
        <v>-105025.37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"4152", " - ", "NON-TAXABLE SALES-FOOD")</f>
        <v xml:space="preserve">          4152 - NON-TAXABLE SALES-FOOD</v>
      </c>
      <c r="C14" s="11"/>
      <c r="D14" s="2">
        <f t="shared" si="4"/>
        <v>0</v>
      </c>
      <c r="E14" s="2"/>
      <c r="F14" s="19"/>
      <c r="G14" s="2"/>
      <c r="H14" s="2">
        <f>--3990.43</f>
        <v>3990.43</v>
      </c>
      <c r="I14" s="2"/>
      <c r="J14" s="19"/>
      <c r="K14" s="2"/>
      <c r="L14" s="2">
        <f t="shared" si="0"/>
        <v>-3990.43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--7657.52</f>
        <v>7657.52</v>
      </c>
      <c r="U14" s="2"/>
      <c r="V14" s="19"/>
      <c r="W14" s="2"/>
      <c r="X14" s="2">
        <f t="shared" si="2"/>
        <v>-7657.52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7" si="6">IF(D$12=0,0,D16/D$12)</f>
        <v>0</v>
      </c>
      <c r="G16" s="4"/>
      <c r="H16" s="4">
        <f>SUM(OSRRefH16x_0)</f>
        <v>19230.080000000002</v>
      </c>
      <c r="I16" s="4"/>
      <c r="J16" s="12">
        <f t="shared" ref="J16:J17" si="7">IF(H$12=0,0,H16/H$12)</f>
        <v>0.29370900233438885</v>
      </c>
      <c r="K16" s="4"/>
      <c r="L16" s="4">
        <f t="shared" ref="L16:L17" si="8">+D16-H16</f>
        <v>-19230.080000000002</v>
      </c>
      <c r="M16" s="4"/>
      <c r="N16" s="12">
        <f t="shared" ref="N16:N17" si="9">IF(H16=0,0,L16/H16)</f>
        <v>-1</v>
      </c>
      <c r="O16" s="10"/>
      <c r="P16" s="4">
        <f>SUM(OSRRefP16x_0)</f>
        <v>0</v>
      </c>
      <c r="Q16" s="4"/>
      <c r="R16" s="12">
        <f t="shared" ref="R16:R17" si="10">IF(P$12=0,0,P16/P$12)</f>
        <v>0</v>
      </c>
      <c r="S16" s="4"/>
      <c r="T16" s="4">
        <f>SUM(OSRRefT16x_0)</f>
        <v>39004.36</v>
      </c>
      <c r="U16" s="4"/>
      <c r="V16" s="12">
        <f t="shared" ref="V16:V17" si="11">IF(T$12=0,0,T16/T$12)</f>
        <v>0.34614270187780949</v>
      </c>
      <c r="W16" s="4"/>
      <c r="X16" s="4">
        <f t="shared" ref="X16:X17" si="12">+P16-T16</f>
        <v>-39004.36</v>
      </c>
      <c r="Y16" s="4"/>
      <c r="Z16" s="12">
        <f t="shared" ref="Z16:Z17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19230.080000000002</v>
      </c>
      <c r="I17" s="2"/>
      <c r="J17" s="19">
        <f t="shared" si="7"/>
        <v>0.29370900233438885</v>
      </c>
      <c r="K17" s="2"/>
      <c r="L17" s="2">
        <f t="shared" si="8"/>
        <v>-19230.080000000002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39004.36</v>
      </c>
      <c r="U17" s="2"/>
      <c r="V17" s="19">
        <f t="shared" si="11"/>
        <v>0.34614270187780949</v>
      </c>
      <c r="W17" s="2"/>
      <c r="X17" s="2">
        <f t="shared" si="12"/>
        <v>-39004.36</v>
      </c>
      <c r="Y17" s="2"/>
      <c r="Z17" s="19">
        <f t="shared" si="13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2">
        <f>D12-D16</f>
        <v>0</v>
      </c>
      <c r="E19" s="13"/>
      <c r="F19" s="21">
        <f>IF(D$12=0,0,D19/D$12)</f>
        <v>0</v>
      </c>
      <c r="G19" s="13"/>
      <c r="H19" s="22">
        <f>H12-H16</f>
        <v>46243.159999999996</v>
      </c>
      <c r="I19" s="13"/>
      <c r="J19" s="21">
        <f>IF(H$12=0,0,H19/H$12)</f>
        <v>0.7062909976656111</v>
      </c>
      <c r="K19" s="16"/>
      <c r="L19" s="22">
        <f>+D19-H19</f>
        <v>-46243.159999999996</v>
      </c>
      <c r="M19" s="16"/>
      <c r="N19" s="21">
        <f>IF(H19=0,0,L19/H19)</f>
        <v>-1</v>
      </c>
      <c r="O19" s="25"/>
      <c r="P19" s="22">
        <f>P12-P16</f>
        <v>0</v>
      </c>
      <c r="Q19" s="13"/>
      <c r="R19" s="21">
        <f>IF(P$12=0,0,P19/P$12)</f>
        <v>0</v>
      </c>
      <c r="S19" s="13"/>
      <c r="T19" s="22">
        <f>T12-T16</f>
        <v>73678.53</v>
      </c>
      <c r="U19" s="13"/>
      <c r="V19" s="21">
        <f>IF(T$12=0,0,T19/T$12)</f>
        <v>0.65385729812219051</v>
      </c>
      <c r="W19" s="16"/>
      <c r="X19" s="22">
        <f>+P19-T19</f>
        <v>-73678.53</v>
      </c>
      <c r="Y19" s="16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0">
        <f>SUM(OSRRefD22x_0)</f>
        <v>976.21999999999991</v>
      </c>
      <c r="E21" s="20"/>
      <c r="F21" s="35">
        <f t="shared" ref="F21:F30" si="14">IF(D$12=0,0,D21/D$12)</f>
        <v>0</v>
      </c>
      <c r="G21" s="20"/>
      <c r="H21" s="20">
        <f>SUM(OSRRefH22x_0)</f>
        <v>52101.979999999996</v>
      </c>
      <c r="I21" s="20"/>
      <c r="J21" s="35">
        <f t="shared" ref="J21:J30" si="15">IF(H$12=0,0,H21/H$12)</f>
        <v>0.7957751899860156</v>
      </c>
      <c r="K21" s="4"/>
      <c r="L21" s="20">
        <f t="shared" ref="L21:L30" si="16">+D21-H21</f>
        <v>-51125.759999999995</v>
      </c>
      <c r="M21" s="4"/>
      <c r="N21" s="35">
        <f t="shared" ref="N21:N30" si="17">IF(H21=0,0,L21/H21)</f>
        <v>-0.98126328404409968</v>
      </c>
      <c r="O21" s="10"/>
      <c r="P21" s="20">
        <f>SUM(OSRRefP22x_0)</f>
        <v>2057.21</v>
      </c>
      <c r="Q21" s="20"/>
      <c r="R21" s="35">
        <f t="shared" ref="R21:R30" si="18">IF(P$12=0,0,P21/P$12)</f>
        <v>0</v>
      </c>
      <c r="S21" s="20"/>
      <c r="T21" s="20">
        <f>SUM(OSRRefT22x_0)</f>
        <v>107142.12999999998</v>
      </c>
      <c r="U21" s="20"/>
      <c r="V21" s="35">
        <f t="shared" ref="V21:V30" si="19">IF(T$12=0,0,T21/T$12)</f>
        <v>0.95082873717562599</v>
      </c>
      <c r="W21" s="4"/>
      <c r="X21" s="20">
        <f t="shared" ref="X21:X30" si="20">+P21-T21</f>
        <v>-105084.91999999997</v>
      </c>
      <c r="Y21" s="4"/>
      <c r="Z21" s="35">
        <f t="shared" ref="Z21:Z30" si="21">IF(T21=0,0,X21/T21)</f>
        <v>-0.98079924302419597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4"/>
        <v>0</v>
      </c>
      <c r="G22" s="1"/>
      <c r="H22" s="1">
        <f>SUM(OSRRefH22_0x_0)</f>
        <v>12581.25</v>
      </c>
      <c r="I22" s="1"/>
      <c r="J22" s="5">
        <f t="shared" si="15"/>
        <v>0.19215865901855475</v>
      </c>
      <c r="K22" s="1"/>
      <c r="L22" s="1">
        <f t="shared" si="16"/>
        <v>-12581.25</v>
      </c>
      <c r="M22" s="1"/>
      <c r="N22" s="5">
        <f t="shared" si="17"/>
        <v>-1</v>
      </c>
      <c r="O22" s="14"/>
      <c r="P22" s="1">
        <f>SUM(OSRRefP22_0x_0)</f>
        <v>0</v>
      </c>
      <c r="Q22" s="1"/>
      <c r="R22" s="5">
        <f t="shared" si="18"/>
        <v>0</v>
      </c>
      <c r="S22" s="1"/>
      <c r="T22" s="1">
        <f>SUM(OSRRefT22_0x_0)</f>
        <v>26473.19</v>
      </c>
      <c r="U22" s="1"/>
      <c r="V22" s="5">
        <f t="shared" si="19"/>
        <v>0.23493531271695284</v>
      </c>
      <c r="W22" s="1"/>
      <c r="X22" s="1">
        <f t="shared" si="20"/>
        <v>-26473.19</v>
      </c>
      <c r="Y22" s="1"/>
      <c r="Z22" s="5">
        <f t="shared" si="21"/>
        <v>-1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4"/>
        <v>0</v>
      </c>
      <c r="G23" s="2"/>
      <c r="H23" s="7">
        <v>2629.07</v>
      </c>
      <c r="I23" s="2"/>
      <c r="J23" s="6">
        <f t="shared" si="15"/>
        <v>4.0154878542745104E-2</v>
      </c>
      <c r="K23" s="2"/>
      <c r="L23" s="7">
        <f t="shared" si="16"/>
        <v>-2629.07</v>
      </c>
      <c r="M23" s="2"/>
      <c r="N23" s="6">
        <f t="shared" si="17"/>
        <v>-1</v>
      </c>
      <c r="O23" s="11"/>
      <c r="P23" s="7"/>
      <c r="Q23" s="2"/>
      <c r="R23" s="6">
        <f t="shared" si="18"/>
        <v>0</v>
      </c>
      <c r="S23" s="2"/>
      <c r="T23" s="7">
        <v>4973.53</v>
      </c>
      <c r="U23" s="2"/>
      <c r="V23" s="6">
        <f t="shared" si="19"/>
        <v>4.4137401871748229E-2</v>
      </c>
      <c r="W23" s="2"/>
      <c r="X23" s="7">
        <f t="shared" si="20"/>
        <v>-4973.53</v>
      </c>
      <c r="Y23" s="2"/>
      <c r="Z23" s="6">
        <f t="shared" si="21"/>
        <v>-1</v>
      </c>
    </row>
    <row r="24" spans="1:26" s="24" customFormat="1" hidden="1" outlineLevel="2" x14ac:dyDescent="0.25">
      <c r="A24" s="29"/>
      <c r="B24" s="11" t="str">
        <f>CONCATENATE("          ", "6112", " - ", "COMPENSATION INSURANCE")</f>
        <v xml:space="preserve">          6112 - COMPENSATION INSURANCE</v>
      </c>
      <c r="C24" s="11"/>
      <c r="D24" s="7"/>
      <c r="E24" s="2"/>
      <c r="F24" s="6">
        <f t="shared" si="14"/>
        <v>0</v>
      </c>
      <c r="G24" s="2"/>
      <c r="H24" s="7">
        <v>1118.72</v>
      </c>
      <c r="I24" s="2"/>
      <c r="J24" s="6">
        <f t="shared" si="15"/>
        <v>1.7086675411206165E-2</v>
      </c>
      <c r="K24" s="2"/>
      <c r="L24" s="7">
        <f t="shared" si="16"/>
        <v>-1118.72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2109.91</v>
      </c>
      <c r="U24" s="2"/>
      <c r="V24" s="6">
        <f t="shared" si="19"/>
        <v>1.8724315643661605E-2</v>
      </c>
      <c r="W24" s="2"/>
      <c r="X24" s="7">
        <f t="shared" si="20"/>
        <v>-2109.91</v>
      </c>
      <c r="Y24" s="2"/>
      <c r="Z24" s="6">
        <f t="shared" si="21"/>
        <v>-1</v>
      </c>
    </row>
    <row r="25" spans="1:26" s="24" customFormat="1" hidden="1" outlineLevel="2" x14ac:dyDescent="0.25">
      <c r="A25" s="29"/>
      <c r="B25" s="11" t="str">
        <f>CONCATENATE("          ", "6113", " - ", "GROUP INSURANCE")</f>
        <v xml:space="preserve">          6113 - GROUP INSURANCE</v>
      </c>
      <c r="C25" s="11"/>
      <c r="D25" s="7"/>
      <c r="E25" s="2"/>
      <c r="F25" s="6">
        <f t="shared" si="14"/>
        <v>0</v>
      </c>
      <c r="G25" s="2"/>
      <c r="H25" s="7">
        <v>5334.36</v>
      </c>
      <c r="I25" s="2"/>
      <c r="J25" s="6">
        <f t="shared" si="15"/>
        <v>8.1473896816470354E-2</v>
      </c>
      <c r="K25" s="2"/>
      <c r="L25" s="7">
        <f t="shared" si="16"/>
        <v>-5334.36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10668.72</v>
      </c>
      <c r="U25" s="2"/>
      <c r="V25" s="6">
        <f t="shared" si="19"/>
        <v>9.4679147828033161E-2</v>
      </c>
      <c r="W25" s="2"/>
      <c r="X25" s="7">
        <f t="shared" si="20"/>
        <v>-10668.72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79.900000000000006</v>
      </c>
      <c r="I26" s="2"/>
      <c r="J26" s="6">
        <f t="shared" si="15"/>
        <v>1.2203459000959783E-3</v>
      </c>
      <c r="K26" s="2"/>
      <c r="L26" s="7">
        <f t="shared" si="16"/>
        <v>-79.900000000000006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150.83000000000001</v>
      </c>
      <c r="U26" s="2"/>
      <c r="V26" s="6">
        <f t="shared" si="19"/>
        <v>1.3385350695212025E-3</v>
      </c>
      <c r="W26" s="2"/>
      <c r="X26" s="7">
        <f t="shared" si="20"/>
        <v>-150.83000000000001</v>
      </c>
      <c r="Y26" s="2"/>
      <c r="Z26" s="6">
        <f t="shared" si="21"/>
        <v>-1</v>
      </c>
    </row>
    <row r="27" spans="1:26" s="24" customFormat="1" hidden="1" outlineLevel="2" x14ac:dyDescent="0.25">
      <c r="A27" s="29"/>
      <c r="B27" s="11" t="str">
        <f>CONCATENATE("          ", "6115", " - ", "P.E.R.S.")</f>
        <v xml:space="preserve">          6115 - P.E.R.S.</v>
      </c>
      <c r="C27" s="11"/>
      <c r="D27" s="7"/>
      <c r="E27" s="2"/>
      <c r="F27" s="6">
        <f t="shared" si="14"/>
        <v>0</v>
      </c>
      <c r="G27" s="2"/>
      <c r="H27" s="7">
        <v>1165.79</v>
      </c>
      <c r="I27" s="2"/>
      <c r="J27" s="6">
        <f t="shared" si="15"/>
        <v>1.780559507976083E-2</v>
      </c>
      <c r="K27" s="2"/>
      <c r="L27" s="7">
        <f t="shared" si="16"/>
        <v>-1165.79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2331.58</v>
      </c>
      <c r="U27" s="2"/>
      <c r="V27" s="6">
        <f t="shared" si="19"/>
        <v>2.0691517585322845E-2</v>
      </c>
      <c r="W27" s="2"/>
      <c r="X27" s="7">
        <f t="shared" si="20"/>
        <v>-2331.58</v>
      </c>
      <c r="Y27" s="2"/>
      <c r="Z27" s="6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4"/>
        <v>0</v>
      </c>
      <c r="G28" s="2"/>
      <c r="H28" s="7">
        <v>955.42</v>
      </c>
      <c r="I28" s="2"/>
      <c r="J28" s="6">
        <f t="shared" si="15"/>
        <v>1.4592526656692108E-2</v>
      </c>
      <c r="K28" s="2"/>
      <c r="L28" s="7">
        <f t="shared" si="16"/>
        <v>-955.42</v>
      </c>
      <c r="M28" s="2"/>
      <c r="N28" s="6">
        <f t="shared" si="17"/>
        <v>-1</v>
      </c>
      <c r="O28" s="11"/>
      <c r="P28" s="7"/>
      <c r="Q28" s="2"/>
      <c r="R28" s="6">
        <f t="shared" si="18"/>
        <v>0</v>
      </c>
      <c r="S28" s="2"/>
      <c r="T28" s="7">
        <v>2387.4899999999998</v>
      </c>
      <c r="U28" s="2"/>
      <c r="V28" s="6">
        <f t="shared" si="19"/>
        <v>2.1187688743162337E-2</v>
      </c>
      <c r="W28" s="2"/>
      <c r="X28" s="7">
        <f t="shared" si="20"/>
        <v>-2387.4899999999998</v>
      </c>
      <c r="Y28" s="2"/>
      <c r="Z28" s="6">
        <f t="shared" si="21"/>
        <v>-1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4"/>
        <v>0</v>
      </c>
      <c r="G29" s="2"/>
      <c r="H29" s="7">
        <v>802.42</v>
      </c>
      <c r="I29" s="2"/>
      <c r="J29" s="6">
        <f t="shared" si="15"/>
        <v>1.2255694082040235E-2</v>
      </c>
      <c r="K29" s="2"/>
      <c r="L29" s="7">
        <f t="shared" si="16"/>
        <v>-802.42</v>
      </c>
      <c r="M29" s="2"/>
      <c r="N29" s="6">
        <f t="shared" si="17"/>
        <v>-1</v>
      </c>
      <c r="O29" s="11"/>
      <c r="P29" s="7"/>
      <c r="Q29" s="2"/>
      <c r="R29" s="6">
        <f t="shared" si="18"/>
        <v>0</v>
      </c>
      <c r="S29" s="2"/>
      <c r="T29" s="7">
        <v>2866.72</v>
      </c>
      <c r="U29" s="2"/>
      <c r="V29" s="6">
        <f t="shared" si="19"/>
        <v>2.5440597059589079E-2</v>
      </c>
      <c r="W29" s="2"/>
      <c r="X29" s="7">
        <f t="shared" si="20"/>
        <v>-2866.72</v>
      </c>
      <c r="Y29" s="2"/>
      <c r="Z29" s="6">
        <f t="shared" si="21"/>
        <v>-1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14"/>
        <v>0</v>
      </c>
      <c r="G30" s="2"/>
      <c r="H30" s="7">
        <v>495.57</v>
      </c>
      <c r="I30" s="2"/>
      <c r="J30" s="6">
        <f t="shared" si="15"/>
        <v>7.5690465295439784E-3</v>
      </c>
      <c r="K30" s="2"/>
      <c r="L30" s="7">
        <f t="shared" si="16"/>
        <v>-495.57</v>
      </c>
      <c r="M30" s="2"/>
      <c r="N30" s="6">
        <f t="shared" si="17"/>
        <v>-1</v>
      </c>
      <c r="O30" s="11"/>
      <c r="P30" s="7"/>
      <c r="Q30" s="2"/>
      <c r="R30" s="6">
        <f t="shared" si="18"/>
        <v>0</v>
      </c>
      <c r="S30" s="2"/>
      <c r="T30" s="7">
        <v>984.41</v>
      </c>
      <c r="U30" s="2"/>
      <c r="V30" s="6">
        <f t="shared" si="19"/>
        <v>8.7361089159143854E-3</v>
      </c>
      <c r="W30" s="2"/>
      <c r="X30" s="7">
        <f t="shared" si="20"/>
        <v>-984.41</v>
      </c>
      <c r="Y30" s="2"/>
      <c r="Z30" s="6">
        <f t="shared" si="21"/>
        <v>-1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7" si="22">IF(D$12=0,0,D31/D$12)</f>
        <v>0</v>
      </c>
      <c r="G31" s="1"/>
      <c r="H31" s="1">
        <f>SUM(OSRRefH22_1x_0)</f>
        <v>34618.85</v>
      </c>
      <c r="I31" s="1"/>
      <c r="J31" s="5">
        <f t="shared" ref="J31:J37" si="23">IF(H$12=0,0,H31/H$12)</f>
        <v>0.52874808089533987</v>
      </c>
      <c r="K31" s="1"/>
      <c r="L31" s="1">
        <f t="shared" ref="L31:L37" si="24">+D31-H31</f>
        <v>-34618.85</v>
      </c>
      <c r="M31" s="1"/>
      <c r="N31" s="5">
        <f t="shared" ref="N31:N37" si="25">IF(H31=0,0,L31/H31)</f>
        <v>-1</v>
      </c>
      <c r="O31" s="14"/>
      <c r="P31" s="1">
        <f>SUM(OSRRefP22_1x_0)</f>
        <v>0</v>
      </c>
      <c r="Q31" s="1"/>
      <c r="R31" s="5">
        <f t="shared" ref="R31:R37" si="26">IF(P$12=0,0,P31/P$12)</f>
        <v>0</v>
      </c>
      <c r="S31" s="1"/>
      <c r="T31" s="1">
        <f>SUM(OSRRefT22_1x_0)</f>
        <v>69455.839999999997</v>
      </c>
      <c r="U31" s="1"/>
      <c r="V31" s="5">
        <f t="shared" ref="V31:V37" si="27">IF(T$12=0,0,T31/T$12)</f>
        <v>0.61638319712957301</v>
      </c>
      <c r="W31" s="1"/>
      <c r="X31" s="1">
        <f t="shared" ref="X31:X37" si="28">+P31-T31</f>
        <v>-69455.839999999997</v>
      </c>
      <c r="Y31" s="1"/>
      <c r="Z31" s="5">
        <f t="shared" ref="Z31:Z37" si="29">IF(T31=0,0,X31/T31)</f>
        <v>-1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/>
      <c r="E32" s="2"/>
      <c r="F32" s="6">
        <f t="shared" si="22"/>
        <v>0</v>
      </c>
      <c r="G32" s="2"/>
      <c r="H32" s="7">
        <v>14470.02</v>
      </c>
      <c r="I32" s="2"/>
      <c r="J32" s="6">
        <f t="shared" si="23"/>
        <v>0.22100662805139934</v>
      </c>
      <c r="K32" s="2"/>
      <c r="L32" s="7">
        <f t="shared" si="24"/>
        <v>-14470.02</v>
      </c>
      <c r="M32" s="2"/>
      <c r="N32" s="6">
        <f t="shared" si="25"/>
        <v>-1</v>
      </c>
      <c r="O32" s="11"/>
      <c r="P32" s="7"/>
      <c r="Q32" s="2"/>
      <c r="R32" s="6">
        <f t="shared" si="26"/>
        <v>0</v>
      </c>
      <c r="S32" s="2"/>
      <c r="T32" s="7">
        <v>30270.92</v>
      </c>
      <c r="U32" s="2"/>
      <c r="V32" s="6">
        <f t="shared" si="27"/>
        <v>0.26863812243367202</v>
      </c>
      <c r="W32" s="2"/>
      <c r="X32" s="7">
        <f t="shared" si="28"/>
        <v>-30270.92</v>
      </c>
      <c r="Y32" s="2"/>
      <c r="Z32" s="6">
        <f t="shared" si="29"/>
        <v>-1</v>
      </c>
    </row>
    <row r="33" spans="1:26" s="24" customFormat="1" hidden="1" outlineLevel="2" x14ac:dyDescent="0.25">
      <c r="A33" s="29"/>
      <c r="B33" s="11" t="str">
        <f>CONCATENATE("          ", "6004", " - ", "STAFF HOURLY")</f>
        <v xml:space="preserve">          6004 - STAFF HOURLY</v>
      </c>
      <c r="C33" s="11"/>
      <c r="D33" s="7"/>
      <c r="E33" s="2"/>
      <c r="F33" s="6">
        <f t="shared" si="22"/>
        <v>0</v>
      </c>
      <c r="G33" s="2"/>
      <c r="H33" s="7">
        <v>6301.86</v>
      </c>
      <c r="I33" s="2"/>
      <c r="J33" s="6">
        <f t="shared" si="23"/>
        <v>9.6250926332651324E-2</v>
      </c>
      <c r="K33" s="2"/>
      <c r="L33" s="7">
        <f t="shared" si="24"/>
        <v>-6301.86</v>
      </c>
      <c r="M33" s="2"/>
      <c r="N33" s="6">
        <f t="shared" si="25"/>
        <v>-1</v>
      </c>
      <c r="O33" s="11"/>
      <c r="P33" s="7"/>
      <c r="Q33" s="2"/>
      <c r="R33" s="6">
        <f t="shared" si="26"/>
        <v>0</v>
      </c>
      <c r="S33" s="2"/>
      <c r="T33" s="7">
        <v>10702.51</v>
      </c>
      <c r="U33" s="2"/>
      <c r="V33" s="6">
        <f t="shared" si="27"/>
        <v>9.497901589140996E-2</v>
      </c>
      <c r="W33" s="2"/>
      <c r="X33" s="7">
        <f t="shared" si="28"/>
        <v>-10702.51</v>
      </c>
      <c r="Y33" s="2"/>
      <c r="Z33" s="6">
        <f t="shared" si="29"/>
        <v>-1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7483.58</v>
      </c>
      <c r="I34" s="2"/>
      <c r="J34" s="6">
        <f t="shared" si="23"/>
        <v>0.11429982692165533</v>
      </c>
      <c r="K34" s="2"/>
      <c r="L34" s="7">
        <f t="shared" si="24"/>
        <v>-7483.58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13678.83</v>
      </c>
      <c r="U34" s="2"/>
      <c r="V34" s="6">
        <f t="shared" si="27"/>
        <v>0.12139225396153755</v>
      </c>
      <c r="W34" s="2"/>
      <c r="X34" s="7">
        <f t="shared" si="28"/>
        <v>-13678.83</v>
      </c>
      <c r="Y34" s="2"/>
      <c r="Z34" s="6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/>
      <c r="I35" s="2"/>
      <c r="J35" s="6">
        <f t="shared" si="23"/>
        <v>0</v>
      </c>
      <c r="K35" s="2"/>
      <c r="L35" s="7">
        <f t="shared" si="24"/>
        <v>0</v>
      </c>
      <c r="M35" s="2"/>
      <c r="N35" s="6">
        <f t="shared" si="25"/>
        <v>0</v>
      </c>
      <c r="O35" s="11"/>
      <c r="P35" s="7"/>
      <c r="Q35" s="2"/>
      <c r="R35" s="6">
        <f t="shared" si="26"/>
        <v>0</v>
      </c>
      <c r="S35" s="2"/>
      <c r="T35" s="7">
        <v>329.88</v>
      </c>
      <c r="U35" s="2"/>
      <c r="V35" s="6">
        <f t="shared" si="27"/>
        <v>2.9275074503325215E-3</v>
      </c>
      <c r="W35" s="2"/>
      <c r="X35" s="7">
        <f t="shared" si="28"/>
        <v>-329.88</v>
      </c>
      <c r="Y35" s="2"/>
      <c r="Z35" s="6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4762.6499999999996</v>
      </c>
      <c r="I36" s="2"/>
      <c r="J36" s="6">
        <f t="shared" si="23"/>
        <v>7.2741932429187861E-2</v>
      </c>
      <c r="K36" s="2"/>
      <c r="L36" s="7">
        <f t="shared" si="24"/>
        <v>-4762.6499999999996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12187.54</v>
      </c>
      <c r="U36" s="2"/>
      <c r="V36" s="6">
        <f t="shared" si="27"/>
        <v>0.10815785786111805</v>
      </c>
      <c r="W36" s="2"/>
      <c r="X36" s="7">
        <f t="shared" si="28"/>
        <v>-12187.54</v>
      </c>
      <c r="Y36" s="2"/>
      <c r="Z36" s="6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1600.74</v>
      </c>
      <c r="I37" s="2"/>
      <c r="J37" s="6">
        <f t="shared" si="23"/>
        <v>2.444876716044601E-2</v>
      </c>
      <c r="K37" s="2"/>
      <c r="L37" s="7">
        <f t="shared" si="24"/>
        <v>-1600.74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2286.16</v>
      </c>
      <c r="U37" s="2"/>
      <c r="V37" s="6">
        <f t="shared" si="27"/>
        <v>2.0288439531502962E-2</v>
      </c>
      <c r="W37" s="2"/>
      <c r="X37" s="7">
        <f t="shared" si="28"/>
        <v>-2286.16</v>
      </c>
      <c r="Y37" s="2"/>
      <c r="Z37" s="6">
        <f t="shared" si="29"/>
        <v>-1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2" si="30">IF(D$12=0,0,D38/D$12)</f>
        <v>0</v>
      </c>
      <c r="G38" s="1"/>
      <c r="H38" s="1">
        <f>SUM(OSRRefH22_2x_0)</f>
        <v>0</v>
      </c>
      <c r="I38" s="1"/>
      <c r="J38" s="5">
        <f t="shared" ref="J38:J52" si="31">IF(H$12=0,0,H38/H$12)</f>
        <v>0</v>
      </c>
      <c r="K38" s="1"/>
      <c r="L38" s="1">
        <f t="shared" ref="L38:L52" si="32">+D38-H38</f>
        <v>0</v>
      </c>
      <c r="M38" s="1"/>
      <c r="N38" s="5">
        <f t="shared" ref="N38:N52" si="33">IF(H38=0,0,L38/H38)</f>
        <v>0</v>
      </c>
      <c r="O38" s="14"/>
      <c r="P38" s="1">
        <f>SUM(OSRRefP22_2x_0)</f>
        <v>0</v>
      </c>
      <c r="Q38" s="1"/>
      <c r="R38" s="5">
        <f t="shared" ref="R38:R52" si="34">IF(P$12=0,0,P38/P$12)</f>
        <v>0</v>
      </c>
      <c r="S38" s="1"/>
      <c r="T38" s="1">
        <f>SUM(OSRRefT22_2x_0)</f>
        <v>12.52</v>
      </c>
      <c r="U38" s="1"/>
      <c r="V38" s="5">
        <f t="shared" ref="V38:V52" si="35">IF(T$12=0,0,T38/T$12)</f>
        <v>1.1110826142283003E-4</v>
      </c>
      <c r="W38" s="1"/>
      <c r="X38" s="1">
        <f t="shared" ref="X38:X52" si="36">+P38-T38</f>
        <v>-12.52</v>
      </c>
      <c r="Y38" s="1"/>
      <c r="Z38" s="5">
        <f t="shared" ref="Z38:Z52" si="37">IF(T38=0,0,X38/T38)</f>
        <v>-1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/>
      <c r="I39" s="2"/>
      <c r="J39" s="6">
        <f t="shared" si="31"/>
        <v>0</v>
      </c>
      <c r="K39" s="2"/>
      <c r="L39" s="7">
        <f t="shared" si="32"/>
        <v>0</v>
      </c>
      <c r="M39" s="2"/>
      <c r="N39" s="6">
        <f t="shared" si="33"/>
        <v>0</v>
      </c>
      <c r="O39" s="11"/>
      <c r="P39" s="7"/>
      <c r="Q39" s="2"/>
      <c r="R39" s="6">
        <f t="shared" si="34"/>
        <v>0</v>
      </c>
      <c r="S39" s="2"/>
      <c r="T39" s="7">
        <v>12.52</v>
      </c>
      <c r="U39" s="2"/>
      <c r="V39" s="6">
        <f t="shared" si="35"/>
        <v>1.1110826142283003E-4</v>
      </c>
      <c r="W39" s="2"/>
      <c r="X39" s="7">
        <f t="shared" si="36"/>
        <v>-12.52</v>
      </c>
      <c r="Y39" s="2"/>
      <c r="Z39" s="6">
        <f t="shared" si="37"/>
        <v>-1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0.24</v>
      </c>
      <c r="I40" s="1"/>
      <c r="J40" s="5">
        <f t="shared" si="31"/>
        <v>3.6656197249441144E-6</v>
      </c>
      <c r="K40" s="1"/>
      <c r="L40" s="1">
        <f t="shared" si="32"/>
        <v>-0.24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0.73</v>
      </c>
      <c r="U40" s="1"/>
      <c r="V40" s="5">
        <f t="shared" si="35"/>
        <v>6.4783570957400895E-6</v>
      </c>
      <c r="W40" s="1"/>
      <c r="X40" s="1">
        <f t="shared" si="36"/>
        <v>-0.73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0.24</v>
      </c>
      <c r="I41" s="2"/>
      <c r="J41" s="6">
        <f t="shared" si="31"/>
        <v>3.6656197249441144E-6</v>
      </c>
      <c r="K41" s="2"/>
      <c r="L41" s="7">
        <f t="shared" si="32"/>
        <v>-0.24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0.73</v>
      </c>
      <c r="U41" s="2"/>
      <c r="V41" s="6">
        <f t="shared" si="35"/>
        <v>6.4783570957400895E-6</v>
      </c>
      <c r="W41" s="2"/>
      <c r="X41" s="7">
        <f t="shared" si="36"/>
        <v>-0.73</v>
      </c>
      <c r="Y41" s="2"/>
      <c r="Z41" s="6">
        <f t="shared" si="37"/>
        <v>-1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445.95</v>
      </c>
      <c r="I42" s="1"/>
      <c r="J42" s="5">
        <f t="shared" si="31"/>
        <v>6.8111796514117827E-3</v>
      </c>
      <c r="K42" s="1"/>
      <c r="L42" s="1">
        <f t="shared" si="32"/>
        <v>-445.95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975.7</v>
      </c>
      <c r="U42" s="1"/>
      <c r="V42" s="5">
        <f t="shared" si="35"/>
        <v>8.658812353854255E-3</v>
      </c>
      <c r="W42" s="1"/>
      <c r="X42" s="1">
        <f t="shared" si="36"/>
        <v>-975.7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445.95</v>
      </c>
      <c r="I43" s="2"/>
      <c r="J43" s="6">
        <f t="shared" si="31"/>
        <v>6.8111796514117827E-3</v>
      </c>
      <c r="K43" s="2"/>
      <c r="L43" s="7">
        <f t="shared" si="32"/>
        <v>-445.95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975.7</v>
      </c>
      <c r="U43" s="2"/>
      <c r="V43" s="6">
        <f t="shared" si="35"/>
        <v>8.658812353854255E-3</v>
      </c>
      <c r="W43" s="2"/>
      <c r="X43" s="7">
        <f t="shared" si="36"/>
        <v>-975.7</v>
      </c>
      <c r="Y43" s="2"/>
      <c r="Z43" s="6">
        <f t="shared" si="37"/>
        <v>-1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690.36</v>
      </c>
      <c r="E44" s="1"/>
      <c r="F44" s="5">
        <f t="shared" si="30"/>
        <v>0</v>
      </c>
      <c r="G44" s="1"/>
      <c r="H44" s="1">
        <f>SUM(OSRRefH22_5x_0)</f>
        <v>297.99</v>
      </c>
      <c r="I44" s="1"/>
      <c r="J44" s="5">
        <f t="shared" si="31"/>
        <v>4.5513250909837363E-3</v>
      </c>
      <c r="K44" s="1"/>
      <c r="L44" s="1">
        <f t="shared" si="32"/>
        <v>392.37</v>
      </c>
      <c r="M44" s="1"/>
      <c r="N44" s="5">
        <f t="shared" si="33"/>
        <v>1.3167220376522701</v>
      </c>
      <c r="O44" s="14"/>
      <c r="P44" s="1">
        <f>SUM(OSRRefP22_5x_0)</f>
        <v>1380.72</v>
      </c>
      <c r="Q44" s="1"/>
      <c r="R44" s="5">
        <f t="shared" si="34"/>
        <v>0</v>
      </c>
      <c r="S44" s="1"/>
      <c r="T44" s="1">
        <f>SUM(OSRRefT22_5x_0)</f>
        <v>595.98</v>
      </c>
      <c r="U44" s="1"/>
      <c r="V44" s="5">
        <f t="shared" si="35"/>
        <v>5.2890017286564093E-3</v>
      </c>
      <c r="W44" s="1"/>
      <c r="X44" s="1">
        <f t="shared" si="36"/>
        <v>784.74</v>
      </c>
      <c r="Y44" s="1"/>
      <c r="Z44" s="5">
        <f t="shared" si="37"/>
        <v>1.3167220376522701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690.36</v>
      </c>
      <c r="E45" s="2"/>
      <c r="F45" s="6">
        <f t="shared" si="30"/>
        <v>0</v>
      </c>
      <c r="G45" s="2"/>
      <c r="H45" s="7">
        <v>297.99</v>
      </c>
      <c r="I45" s="2"/>
      <c r="J45" s="6">
        <f t="shared" si="31"/>
        <v>4.5513250909837363E-3</v>
      </c>
      <c r="K45" s="2"/>
      <c r="L45" s="7">
        <f t="shared" si="32"/>
        <v>392.37</v>
      </c>
      <c r="M45" s="2"/>
      <c r="N45" s="6">
        <f t="shared" si="33"/>
        <v>1.3167220376522701</v>
      </c>
      <c r="O45" s="11"/>
      <c r="P45" s="7">
        <v>1380.72</v>
      </c>
      <c r="Q45" s="2"/>
      <c r="R45" s="6">
        <f t="shared" si="34"/>
        <v>0</v>
      </c>
      <c r="S45" s="2"/>
      <c r="T45" s="7">
        <v>595.98</v>
      </c>
      <c r="U45" s="2"/>
      <c r="V45" s="6">
        <f t="shared" si="35"/>
        <v>5.2890017286564093E-3</v>
      </c>
      <c r="W45" s="2"/>
      <c r="X45" s="7">
        <f t="shared" si="36"/>
        <v>784.74</v>
      </c>
      <c r="Y45" s="2"/>
      <c r="Z45" s="6">
        <f t="shared" si="37"/>
        <v>1.3167220376522701</v>
      </c>
    </row>
    <row r="46" spans="1:26" s="28" customFormat="1" outlineLevel="1" collapsed="1" x14ac:dyDescent="0.25">
      <c r="A46" s="27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24.97</v>
      </c>
      <c r="I46" s="1"/>
      <c r="J46" s="5">
        <f t="shared" si="31"/>
        <v>3.813771855493939E-4</v>
      </c>
      <c r="K46" s="1"/>
      <c r="L46" s="1">
        <f t="shared" si="32"/>
        <v>-24.97</v>
      </c>
      <c r="M46" s="1"/>
      <c r="N46" s="5">
        <f t="shared" si="33"/>
        <v>-1</v>
      </c>
      <c r="O46" s="14"/>
      <c r="P46" s="1">
        <f>SUM(OSRRefP22_6x_0)</f>
        <v>16.239999999999998</v>
      </c>
      <c r="Q46" s="1"/>
      <c r="R46" s="5">
        <f t="shared" si="34"/>
        <v>0</v>
      </c>
      <c r="S46" s="1"/>
      <c r="T46" s="1">
        <f>SUM(OSRRefT22_6x_0)</f>
        <v>24.97</v>
      </c>
      <c r="U46" s="1"/>
      <c r="V46" s="5">
        <f t="shared" si="35"/>
        <v>2.2159531052141102E-4</v>
      </c>
      <c r="W46" s="1"/>
      <c r="X46" s="1">
        <f t="shared" si="36"/>
        <v>-8.73</v>
      </c>
      <c r="Y46" s="1"/>
      <c r="Z46" s="5">
        <f t="shared" si="37"/>
        <v>-0.34961954345214258</v>
      </c>
    </row>
    <row r="47" spans="1:26" s="24" customFormat="1" hidden="1" outlineLevel="2" x14ac:dyDescent="0.25">
      <c r="A47" s="29"/>
      <c r="B47" s="11" t="str">
        <f>CONCATENATE("          ", "6351", " - ", "EQUIPMENT RENTAL")</f>
        <v xml:space="preserve">          6351 - EQUIPMENT RENTAL</v>
      </c>
      <c r="C47" s="11"/>
      <c r="D47" s="7"/>
      <c r="E47" s="2"/>
      <c r="F47" s="6">
        <f t="shared" si="30"/>
        <v>0</v>
      </c>
      <c r="G47" s="2"/>
      <c r="H47" s="7">
        <v>24.97</v>
      </c>
      <c r="I47" s="2"/>
      <c r="J47" s="6">
        <f t="shared" si="31"/>
        <v>3.813771855493939E-4</v>
      </c>
      <c r="K47" s="2"/>
      <c r="L47" s="7">
        <f t="shared" si="32"/>
        <v>-24.97</v>
      </c>
      <c r="M47" s="2"/>
      <c r="N47" s="6">
        <f t="shared" si="33"/>
        <v>-1</v>
      </c>
      <c r="O47" s="11"/>
      <c r="P47" s="7">
        <v>16.239999999999998</v>
      </c>
      <c r="Q47" s="2"/>
      <c r="R47" s="6">
        <f t="shared" si="34"/>
        <v>0</v>
      </c>
      <c r="S47" s="2"/>
      <c r="T47" s="7">
        <v>24.97</v>
      </c>
      <c r="U47" s="2"/>
      <c r="V47" s="6">
        <f t="shared" si="35"/>
        <v>2.2159531052141102E-4</v>
      </c>
      <c r="W47" s="2"/>
      <c r="X47" s="7">
        <f t="shared" si="36"/>
        <v>-8.73</v>
      </c>
      <c r="Y47" s="2"/>
      <c r="Z47" s="6">
        <f t="shared" si="37"/>
        <v>-0.34961954345214258</v>
      </c>
    </row>
    <row r="48" spans="1:26" s="28" customFormat="1" outlineLevel="1" collapsed="1" x14ac:dyDescent="0.25">
      <c r="A48" s="27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108.98</v>
      </c>
      <c r="I48" s="1"/>
      <c r="J48" s="5">
        <f t="shared" si="31"/>
        <v>1.6644968234350401E-3</v>
      </c>
      <c r="K48" s="1"/>
      <c r="L48" s="1">
        <f t="shared" si="32"/>
        <v>-108.98</v>
      </c>
      <c r="M48" s="1"/>
      <c r="N48" s="5">
        <f t="shared" si="33"/>
        <v>-1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1903.53</v>
      </c>
      <c r="U48" s="1"/>
      <c r="V48" s="5">
        <f t="shared" si="35"/>
        <v>1.6892804222539907E-2</v>
      </c>
      <c r="W48" s="1"/>
      <c r="X48" s="1">
        <f t="shared" si="36"/>
        <v>-1903.53</v>
      </c>
      <c r="Y48" s="1"/>
      <c r="Z48" s="5">
        <f t="shared" si="37"/>
        <v>-1</v>
      </c>
    </row>
    <row r="49" spans="1:26" s="24" customFormat="1" hidden="1" outlineLevel="2" x14ac:dyDescent="0.25">
      <c r="A49" s="29"/>
      <c r="B49" s="11" t="str">
        <f>CONCATENATE("          ", "6279", " - ", "GENERAL EXPENSE")</f>
        <v xml:space="preserve">          6279 - GENERAL EXPENSE</v>
      </c>
      <c r="C49" s="11"/>
      <c r="D49" s="7"/>
      <c r="E49" s="2"/>
      <c r="F49" s="6">
        <f t="shared" si="30"/>
        <v>0</v>
      </c>
      <c r="G49" s="2"/>
      <c r="H49" s="7">
        <v>108.98</v>
      </c>
      <c r="I49" s="2"/>
      <c r="J49" s="6">
        <f t="shared" si="31"/>
        <v>1.6644968234350401E-3</v>
      </c>
      <c r="K49" s="2"/>
      <c r="L49" s="7">
        <f t="shared" si="32"/>
        <v>-108.98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1903.53</v>
      </c>
      <c r="U49" s="2"/>
      <c r="V49" s="6">
        <f t="shared" si="35"/>
        <v>1.6892804222539907E-2</v>
      </c>
      <c r="W49" s="2"/>
      <c r="X49" s="7">
        <f t="shared" si="36"/>
        <v>-1903.53</v>
      </c>
      <c r="Y49" s="2"/>
      <c r="Z49" s="6">
        <f t="shared" si="37"/>
        <v>-1</v>
      </c>
    </row>
    <row r="50" spans="1:26" s="28" customFormat="1" outlineLevel="1" collapsed="1" x14ac:dyDescent="0.25">
      <c r="A50" s="27"/>
      <c r="B50" s="14" t="str">
        <f>CONCATENATE("     ","Repair and Maintenance                            ")</f>
        <v xml:space="preserve">     Repair and Maintenance                            </v>
      </c>
      <c r="C50" s="14"/>
      <c r="D50" s="1">
        <f>SUM(OSRRefD22_8x_0)</f>
        <v>157.19999999999999</v>
      </c>
      <c r="E50" s="1"/>
      <c r="F50" s="5">
        <f t="shared" si="30"/>
        <v>0</v>
      </c>
      <c r="G50" s="1"/>
      <c r="H50" s="1">
        <f>SUM(OSRRefH22_8x_0)</f>
        <v>542.1400000000001</v>
      </c>
      <c r="I50" s="1"/>
      <c r="J50" s="5">
        <f t="shared" si="31"/>
        <v>8.280329490338344E-3</v>
      </c>
      <c r="K50" s="1"/>
      <c r="L50" s="1">
        <f t="shared" si="32"/>
        <v>-384.94000000000011</v>
      </c>
      <c r="M50" s="1"/>
      <c r="N50" s="5">
        <f t="shared" si="33"/>
        <v>-0.71003799756520458</v>
      </c>
      <c r="O50" s="14"/>
      <c r="P50" s="1">
        <f>SUM(OSRRefP22_8x_0)</f>
        <v>157.19999999999999</v>
      </c>
      <c r="Q50" s="1"/>
      <c r="R50" s="5">
        <f t="shared" si="34"/>
        <v>0</v>
      </c>
      <c r="S50" s="1"/>
      <c r="T50" s="1">
        <f>SUM(OSRRefT22_8x_0)</f>
        <v>808.01</v>
      </c>
      <c r="U50" s="1"/>
      <c r="V50" s="5">
        <f t="shared" si="35"/>
        <v>7.1706538588067808E-3</v>
      </c>
      <c r="W50" s="1"/>
      <c r="X50" s="1">
        <f t="shared" si="36"/>
        <v>-650.80999999999995</v>
      </c>
      <c r="Y50" s="1"/>
      <c r="Z50" s="5">
        <f t="shared" si="37"/>
        <v>-0.80544795237682698</v>
      </c>
    </row>
    <row r="51" spans="1:26" s="24" customFormat="1" hidden="1" outlineLevel="2" x14ac:dyDescent="0.25">
      <c r="A51" s="29"/>
      <c r="B51" s="11" t="str">
        <f>CONCATENATE("          ", "6373", " - ", "MAINTENANCE CONTRACTS")</f>
        <v xml:space="preserve">          6373 - MAINTENANCE CONTRACTS</v>
      </c>
      <c r="C51" s="11"/>
      <c r="D51" s="7">
        <v>157.19999999999999</v>
      </c>
      <c r="E51" s="2"/>
      <c r="F51" s="6">
        <f t="shared" si="30"/>
        <v>0</v>
      </c>
      <c r="G51" s="2"/>
      <c r="H51" s="7">
        <v>18.45</v>
      </c>
      <c r="I51" s="2"/>
      <c r="J51" s="6">
        <f t="shared" si="31"/>
        <v>2.8179451635507879E-4</v>
      </c>
      <c r="K51" s="2"/>
      <c r="L51" s="7">
        <f t="shared" si="32"/>
        <v>138.75</v>
      </c>
      <c r="M51" s="2"/>
      <c r="N51" s="6">
        <f t="shared" si="33"/>
        <v>7.5203252032520327</v>
      </c>
      <c r="O51" s="11"/>
      <c r="P51" s="7">
        <v>157.19999999999999</v>
      </c>
      <c r="Q51" s="2"/>
      <c r="R51" s="6">
        <f t="shared" si="34"/>
        <v>0</v>
      </c>
      <c r="S51" s="2"/>
      <c r="T51" s="7">
        <v>18.45</v>
      </c>
      <c r="U51" s="2"/>
      <c r="V51" s="6">
        <f t="shared" si="35"/>
        <v>1.6373381974849952E-4</v>
      </c>
      <c r="W51" s="2"/>
      <c r="X51" s="7">
        <f t="shared" si="36"/>
        <v>138.75</v>
      </c>
      <c r="Y51" s="2"/>
      <c r="Z51" s="6">
        <f t="shared" si="37"/>
        <v>7.5203252032520327</v>
      </c>
    </row>
    <row r="52" spans="1:26" s="24" customFormat="1" hidden="1" outlineLevel="2" x14ac:dyDescent="0.25">
      <c r="A52" s="29"/>
      <c r="B52" s="11" t="str">
        <f>CONCATENATE("          ", "6375", " - ", "OUTSIDE REPAIRS &amp; MAINTENANCE")</f>
        <v xml:space="preserve">          6375 - OUTSIDE REPAIRS &amp; MAINTENANCE</v>
      </c>
      <c r="C52" s="11"/>
      <c r="D52" s="7"/>
      <c r="E52" s="2"/>
      <c r="F52" s="6">
        <f t="shared" si="30"/>
        <v>0</v>
      </c>
      <c r="G52" s="2"/>
      <c r="H52" s="7">
        <v>523.69000000000005</v>
      </c>
      <c r="I52" s="2"/>
      <c r="J52" s="6">
        <f t="shared" si="31"/>
        <v>7.9985349739832654E-3</v>
      </c>
      <c r="K52" s="2"/>
      <c r="L52" s="7">
        <f t="shared" si="32"/>
        <v>-523.69000000000005</v>
      </c>
      <c r="M52" s="2"/>
      <c r="N52" s="6">
        <f t="shared" si="33"/>
        <v>-1</v>
      </c>
      <c r="O52" s="11"/>
      <c r="P52" s="7"/>
      <c r="Q52" s="2"/>
      <c r="R52" s="6">
        <f t="shared" si="34"/>
        <v>0</v>
      </c>
      <c r="S52" s="2"/>
      <c r="T52" s="7">
        <v>789.56</v>
      </c>
      <c r="U52" s="2"/>
      <c r="V52" s="6">
        <f t="shared" si="35"/>
        <v>7.0069200390582807E-3</v>
      </c>
      <c r="W52" s="2"/>
      <c r="X52" s="7">
        <f t="shared" si="36"/>
        <v>-789.56</v>
      </c>
      <c r="Y52" s="2"/>
      <c r="Z52" s="6">
        <f t="shared" si="37"/>
        <v>-1</v>
      </c>
    </row>
    <row r="53" spans="1:26" s="28" customFormat="1" outlineLevel="1" collapsed="1" x14ac:dyDescent="0.25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SUM(OSRRefD22_9x_0)</f>
        <v>0</v>
      </c>
      <c r="E53" s="1"/>
      <c r="F53" s="5">
        <f t="shared" ref="F53:F55" si="38">IF(D$12=0,0,D53/D$12)</f>
        <v>0</v>
      </c>
      <c r="G53" s="1"/>
      <c r="H53" s="1">
        <f>SUM(OSRRefH22_9x_0)</f>
        <v>1850.3700000000001</v>
      </c>
      <c r="I53" s="1"/>
      <c r="J53" s="5">
        <f t="shared" ref="J53:J55" si="39">IF(H$12=0,0,H53/H$12)</f>
        <v>2.8261469876853507E-2</v>
      </c>
      <c r="K53" s="1"/>
      <c r="L53" s="1">
        <f t="shared" ref="L53:L55" si="40">+D53-H53</f>
        <v>-1850.3700000000001</v>
      </c>
      <c r="M53" s="1"/>
      <c r="N53" s="5">
        <f t="shared" ref="N53:N55" si="41">IF(H53=0,0,L53/H53)</f>
        <v>-1</v>
      </c>
      <c r="O53" s="14"/>
      <c r="P53" s="1">
        <f>SUM(OSRRefP22_9x_0)</f>
        <v>320.58</v>
      </c>
      <c r="Q53" s="1"/>
      <c r="R53" s="5">
        <f t="shared" ref="R53:R55" si="42">IF(P$12=0,0,P53/P$12)</f>
        <v>0</v>
      </c>
      <c r="S53" s="1"/>
      <c r="T53" s="1">
        <f>SUM(OSRRefT22_9x_0)</f>
        <v>4284.42</v>
      </c>
      <c r="U53" s="1"/>
      <c r="V53" s="5">
        <f t="shared" ref="V53:V55" si="43">IF(T$12=0,0,T53/T$12)</f>
        <v>3.8021921517987334E-2</v>
      </c>
      <c r="W53" s="1"/>
      <c r="X53" s="1">
        <f t="shared" ref="X53:X55" si="44">+P53-T53</f>
        <v>-3963.84</v>
      </c>
      <c r="Y53" s="1"/>
      <c r="Z53" s="5">
        <f t="shared" ref="Z53:Z55" si="45">IF(T53=0,0,X53/T53)</f>
        <v>-0.92517540297169742</v>
      </c>
    </row>
    <row r="54" spans="1:26" s="24" customFormat="1" hidden="1" outlineLevel="2" x14ac:dyDescent="0.25">
      <c r="A54" s="29"/>
      <c r="B54" s="11" t="str">
        <f>CONCATENATE("          ", "6283", " - ", "PLANT SERVICE")</f>
        <v xml:space="preserve">          6283 - PLANT SERVICE</v>
      </c>
      <c r="C54" s="11"/>
      <c r="D54" s="7"/>
      <c r="E54" s="2"/>
      <c r="F54" s="6">
        <f t="shared" si="38"/>
        <v>0</v>
      </c>
      <c r="G54" s="2"/>
      <c r="H54" s="7">
        <v>62.95</v>
      </c>
      <c r="I54" s="2"/>
      <c r="J54" s="6">
        <f t="shared" si="39"/>
        <v>9.6146150702180013E-4</v>
      </c>
      <c r="K54" s="2"/>
      <c r="L54" s="7">
        <f t="shared" si="40"/>
        <v>-62.95</v>
      </c>
      <c r="M54" s="2"/>
      <c r="N54" s="6">
        <f t="shared" si="41"/>
        <v>-1</v>
      </c>
      <c r="O54" s="11"/>
      <c r="P54" s="7"/>
      <c r="Q54" s="2"/>
      <c r="R54" s="6">
        <f t="shared" si="42"/>
        <v>0</v>
      </c>
      <c r="S54" s="2"/>
      <c r="T54" s="7">
        <v>125.9</v>
      </c>
      <c r="U54" s="2"/>
      <c r="V54" s="6">
        <f t="shared" si="43"/>
        <v>1.1172947374707908E-3</v>
      </c>
      <c r="W54" s="2"/>
      <c r="X54" s="7">
        <f t="shared" si="44"/>
        <v>-125.9</v>
      </c>
      <c r="Y54" s="2"/>
      <c r="Z54" s="6">
        <f t="shared" si="45"/>
        <v>-1</v>
      </c>
    </row>
    <row r="55" spans="1:26" s="24" customFormat="1" hidden="1" outlineLevel="2" x14ac:dyDescent="0.25">
      <c r="A55" s="29"/>
      <c r="B55" s="11" t="str">
        <f>CONCATENATE("          ", "6286", " - ", "LAUNDRY EXPENSE")</f>
        <v xml:space="preserve">          6286 - LAUNDRY EXPENSE</v>
      </c>
      <c r="C55" s="11"/>
      <c r="D55" s="7"/>
      <c r="E55" s="2"/>
      <c r="F55" s="6">
        <f t="shared" si="38"/>
        <v>0</v>
      </c>
      <c r="G55" s="2"/>
      <c r="H55" s="7">
        <v>1787.42</v>
      </c>
      <c r="I55" s="2"/>
      <c r="J55" s="6">
        <f t="shared" si="39"/>
        <v>2.7300008369831708E-2</v>
      </c>
      <c r="K55" s="2"/>
      <c r="L55" s="7">
        <f t="shared" si="40"/>
        <v>-1787.42</v>
      </c>
      <c r="M55" s="2"/>
      <c r="N55" s="6">
        <f t="shared" si="41"/>
        <v>-1</v>
      </c>
      <c r="O55" s="11"/>
      <c r="P55" s="7">
        <v>320.58</v>
      </c>
      <c r="Q55" s="2"/>
      <c r="R55" s="6">
        <f t="shared" si="42"/>
        <v>0</v>
      </c>
      <c r="S55" s="2"/>
      <c r="T55" s="7">
        <v>4158.5200000000004</v>
      </c>
      <c r="U55" s="2"/>
      <c r="V55" s="6">
        <f t="shared" si="43"/>
        <v>3.690462678051655E-2</v>
      </c>
      <c r="W55" s="2"/>
      <c r="X55" s="7">
        <f t="shared" si="44"/>
        <v>-3837.9400000000005</v>
      </c>
      <c r="Y55" s="2"/>
      <c r="Z55" s="6">
        <f t="shared" si="45"/>
        <v>-0.92291007377624734</v>
      </c>
    </row>
    <row r="56" spans="1:26" s="28" customFormat="1" outlineLevel="1" collapsed="1" x14ac:dyDescent="0.25">
      <c r="A56" s="27"/>
      <c r="B56" s="14" t="str">
        <f>CONCATENATE("     ","Supplies                                          ")</f>
        <v xml:space="preserve">     Supplies                                          </v>
      </c>
      <c r="C56" s="14"/>
      <c r="D56" s="1">
        <f>SUM(OSRRefD22_10x_0)</f>
        <v>0</v>
      </c>
      <c r="E56" s="1"/>
      <c r="F56" s="5">
        <f t="shared" ref="F56:F61" si="46">IF(D$12=0,0,D56/D$12)</f>
        <v>0</v>
      </c>
      <c r="G56" s="1"/>
      <c r="H56" s="1">
        <f>SUM(OSRRefH22_10x_0)</f>
        <v>1263.94</v>
      </c>
      <c r="I56" s="1"/>
      <c r="J56" s="5">
        <f t="shared" ref="J56:J61" si="47">IF(H$12=0,0,H56/H$12)</f>
        <v>1.930468081310777E-2</v>
      </c>
      <c r="K56" s="1"/>
      <c r="L56" s="1">
        <f t="shared" ref="L56:L61" si="48">+D56-H56</f>
        <v>-1263.94</v>
      </c>
      <c r="M56" s="1"/>
      <c r="N56" s="5">
        <f t="shared" ref="N56:N61" si="49">IF(H56=0,0,L56/H56)</f>
        <v>-1</v>
      </c>
      <c r="O56" s="14"/>
      <c r="P56" s="1">
        <f>SUM(OSRRefP22_10x_0)</f>
        <v>0</v>
      </c>
      <c r="Q56" s="1"/>
      <c r="R56" s="5">
        <f t="shared" ref="R56:R61" si="50">IF(P$12=0,0,P56/P$12)</f>
        <v>0</v>
      </c>
      <c r="S56" s="1"/>
      <c r="T56" s="1">
        <f>SUM(OSRRefT22_10x_0)</f>
        <v>2209.6899999999996</v>
      </c>
      <c r="U56" s="1"/>
      <c r="V56" s="5">
        <f t="shared" ref="V56:V61" si="51">IF(T$12=0,0,T56/T$12)</f>
        <v>1.9609809439569748E-2</v>
      </c>
      <c r="W56" s="1"/>
      <c r="X56" s="1">
        <f t="shared" ref="X56:X61" si="52">+P56-T56</f>
        <v>-2209.6899999999996</v>
      </c>
      <c r="Y56" s="1"/>
      <c r="Z56" s="5">
        <f t="shared" ref="Z56:Z61" si="53">IF(T56=0,0,X56/T56)</f>
        <v>-1</v>
      </c>
    </row>
    <row r="57" spans="1:26" s="24" customFormat="1" hidden="1" outlineLevel="2" x14ac:dyDescent="0.25">
      <c r="A57" s="29"/>
      <c r="B57" s="11" t="str">
        <f>CONCATENATE("          ", "6239", " - ", "KITCHEN SUPPLIES")</f>
        <v xml:space="preserve">          6239 - KITCHEN SUPPLIES</v>
      </c>
      <c r="C57" s="11"/>
      <c r="D57" s="7"/>
      <c r="E57" s="2"/>
      <c r="F57" s="6">
        <f t="shared" si="46"/>
        <v>0</v>
      </c>
      <c r="G57" s="2"/>
      <c r="H57" s="7"/>
      <c r="I57" s="2"/>
      <c r="J57" s="6">
        <f t="shared" si="47"/>
        <v>0</v>
      </c>
      <c r="K57" s="2"/>
      <c r="L57" s="7">
        <f t="shared" si="48"/>
        <v>0</v>
      </c>
      <c r="M57" s="2"/>
      <c r="N57" s="6">
        <f t="shared" si="49"/>
        <v>0</v>
      </c>
      <c r="O57" s="11"/>
      <c r="P57" s="7"/>
      <c r="Q57" s="2"/>
      <c r="R57" s="6">
        <f t="shared" si="50"/>
        <v>0</v>
      </c>
      <c r="S57" s="2"/>
      <c r="T57" s="7">
        <v>116.54</v>
      </c>
      <c r="U57" s="2"/>
      <c r="V57" s="6">
        <f t="shared" si="51"/>
        <v>1.0342297752569179E-3</v>
      </c>
      <c r="W57" s="2"/>
      <c r="X57" s="7">
        <f t="shared" si="52"/>
        <v>-116.54</v>
      </c>
      <c r="Y57" s="2"/>
      <c r="Z57" s="6">
        <f t="shared" si="53"/>
        <v>-1</v>
      </c>
    </row>
    <row r="58" spans="1:26" s="24" customFormat="1" hidden="1" outlineLevel="2" x14ac:dyDescent="0.25">
      <c r="A58" s="29"/>
      <c r="B58" s="11" t="str">
        <f>CONCATENATE("          ", "6241", " - ", "OFFICE EXPENSE")</f>
        <v xml:space="preserve">          6241 - OFFICE EXPENSE</v>
      </c>
      <c r="C58" s="11"/>
      <c r="D58" s="7"/>
      <c r="E58" s="2"/>
      <c r="F58" s="6">
        <f t="shared" si="46"/>
        <v>0</v>
      </c>
      <c r="G58" s="2"/>
      <c r="H58" s="7">
        <v>12.81</v>
      </c>
      <c r="I58" s="2"/>
      <c r="J58" s="6">
        <f t="shared" si="47"/>
        <v>1.9565245281889213E-4</v>
      </c>
      <c r="K58" s="2"/>
      <c r="L58" s="7">
        <f t="shared" si="48"/>
        <v>-12.81</v>
      </c>
      <c r="M58" s="2"/>
      <c r="N58" s="6">
        <f t="shared" si="49"/>
        <v>-1</v>
      </c>
      <c r="O58" s="11"/>
      <c r="P58" s="7"/>
      <c r="Q58" s="2"/>
      <c r="R58" s="6">
        <f t="shared" si="50"/>
        <v>0</v>
      </c>
      <c r="S58" s="2"/>
      <c r="T58" s="7">
        <v>117.73</v>
      </c>
      <c r="U58" s="2"/>
      <c r="V58" s="6">
        <f t="shared" si="51"/>
        <v>1.0447903847691517E-3</v>
      </c>
      <c r="W58" s="2"/>
      <c r="X58" s="7">
        <f t="shared" si="52"/>
        <v>-117.73</v>
      </c>
      <c r="Y58" s="2"/>
      <c r="Z58" s="6">
        <f t="shared" si="53"/>
        <v>-1</v>
      </c>
    </row>
    <row r="59" spans="1:26" s="24" customFormat="1" hidden="1" outlineLevel="2" x14ac:dyDescent="0.25">
      <c r="A59" s="29"/>
      <c r="B59" s="11" t="str">
        <f>CONCATENATE("          ", "6243", " - ", "PAPER SUPPLIES")</f>
        <v xml:space="preserve">          6243 - PAPER SUPPLIES</v>
      </c>
      <c r="C59" s="11"/>
      <c r="D59" s="7"/>
      <c r="E59" s="2"/>
      <c r="F59" s="6">
        <f t="shared" si="46"/>
        <v>0</v>
      </c>
      <c r="G59" s="2"/>
      <c r="H59" s="7">
        <v>874.87</v>
      </c>
      <c r="I59" s="2"/>
      <c r="J59" s="6">
        <f t="shared" si="47"/>
        <v>1.3362253036507741E-2</v>
      </c>
      <c r="K59" s="2"/>
      <c r="L59" s="7">
        <f t="shared" si="48"/>
        <v>-874.87</v>
      </c>
      <c r="M59" s="2"/>
      <c r="N59" s="6">
        <f t="shared" si="49"/>
        <v>-1</v>
      </c>
      <c r="O59" s="11"/>
      <c r="P59" s="7"/>
      <c r="Q59" s="2"/>
      <c r="R59" s="6">
        <f t="shared" si="50"/>
        <v>0</v>
      </c>
      <c r="S59" s="2"/>
      <c r="T59" s="7">
        <v>1388.62</v>
      </c>
      <c r="U59" s="2"/>
      <c r="V59" s="6">
        <f t="shared" si="51"/>
        <v>1.2323255109981647E-2</v>
      </c>
      <c r="W59" s="2"/>
      <c r="X59" s="7">
        <f t="shared" si="52"/>
        <v>-1388.62</v>
      </c>
      <c r="Y59" s="2"/>
      <c r="Z59" s="6">
        <f t="shared" si="53"/>
        <v>-1</v>
      </c>
    </row>
    <row r="60" spans="1:26" s="24" customFormat="1" hidden="1" outlineLevel="2" x14ac:dyDescent="0.25">
      <c r="A60" s="29"/>
      <c r="B60" s="11" t="str">
        <f>CONCATENATE("          ", "6247", " - ", "STORE SUPPLIES")</f>
        <v xml:space="preserve">          6247 - STORE SUPPLIES</v>
      </c>
      <c r="C60" s="11"/>
      <c r="D60" s="7"/>
      <c r="E60" s="2"/>
      <c r="F60" s="6">
        <f t="shared" si="46"/>
        <v>0</v>
      </c>
      <c r="G60" s="2"/>
      <c r="H60" s="7">
        <v>155.55000000000001</v>
      </c>
      <c r="I60" s="2"/>
      <c r="J60" s="6">
        <f t="shared" si="47"/>
        <v>2.3757797842294047E-3</v>
      </c>
      <c r="K60" s="2"/>
      <c r="L60" s="7">
        <f t="shared" si="48"/>
        <v>-155.55000000000001</v>
      </c>
      <c r="M60" s="2"/>
      <c r="N60" s="6">
        <f t="shared" si="49"/>
        <v>-1</v>
      </c>
      <c r="O60" s="11"/>
      <c r="P60" s="7"/>
      <c r="Q60" s="2"/>
      <c r="R60" s="6">
        <f t="shared" si="50"/>
        <v>0</v>
      </c>
      <c r="S60" s="2"/>
      <c r="T60" s="7">
        <v>366.09</v>
      </c>
      <c r="U60" s="2"/>
      <c r="V60" s="6">
        <f t="shared" si="51"/>
        <v>3.24885171120478E-3</v>
      </c>
      <c r="W60" s="2"/>
      <c r="X60" s="7">
        <f t="shared" si="52"/>
        <v>-366.09</v>
      </c>
      <c r="Y60" s="2"/>
      <c r="Z60" s="6">
        <f t="shared" si="53"/>
        <v>-1</v>
      </c>
    </row>
    <row r="61" spans="1:26" s="24" customFormat="1" hidden="1" outlineLevel="2" x14ac:dyDescent="0.25">
      <c r="A61" s="29"/>
      <c r="B61" s="11" t="str">
        <f>CONCATENATE("          ", "6248", " - ", "UNIFORMS")</f>
        <v xml:space="preserve">          6248 - UNIFORMS</v>
      </c>
      <c r="C61" s="11"/>
      <c r="D61" s="7"/>
      <c r="E61" s="2"/>
      <c r="F61" s="6">
        <f t="shared" si="46"/>
        <v>0</v>
      </c>
      <c r="G61" s="2"/>
      <c r="H61" s="7">
        <v>220.71</v>
      </c>
      <c r="I61" s="2"/>
      <c r="J61" s="6">
        <f t="shared" si="47"/>
        <v>3.3709955395517317E-3</v>
      </c>
      <c r="K61" s="2"/>
      <c r="L61" s="7">
        <f t="shared" si="48"/>
        <v>-220.71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220.71</v>
      </c>
      <c r="U61" s="2"/>
      <c r="V61" s="6">
        <f t="shared" si="51"/>
        <v>1.9586824583572538E-3</v>
      </c>
      <c r="W61" s="2"/>
      <c r="X61" s="7">
        <f t="shared" si="52"/>
        <v>-220.71</v>
      </c>
      <c r="Y61" s="2"/>
      <c r="Z61" s="6">
        <f t="shared" si="53"/>
        <v>-1</v>
      </c>
    </row>
    <row r="62" spans="1:26" s="28" customFormat="1" outlineLevel="1" collapsed="1" x14ac:dyDescent="0.25">
      <c r="A62" s="27"/>
      <c r="B62" s="14" t="str">
        <f>CONCATENATE("     ","Telephone/Data Lines                              ")</f>
        <v xml:space="preserve">     Telephone/Data Lines                              </v>
      </c>
      <c r="C62" s="14"/>
      <c r="D62" s="1">
        <f>SUM(OSRRefD22_11x_0)</f>
        <v>128.66</v>
      </c>
      <c r="E62" s="1"/>
      <c r="F62" s="5">
        <f t="shared" ref="F62:F65" si="54">IF(D$12=0,0,D62/D$12)</f>
        <v>0</v>
      </c>
      <c r="G62" s="1"/>
      <c r="H62" s="1">
        <f>SUM(OSRRefH22_11x_0)</f>
        <v>192.3</v>
      </c>
      <c r="I62" s="1"/>
      <c r="J62" s="5">
        <f t="shared" ref="J62:J65" si="55">IF(H$12=0,0,H62/H$12)</f>
        <v>2.9370778046114722E-3</v>
      </c>
      <c r="K62" s="1"/>
      <c r="L62" s="1">
        <f t="shared" ref="L62:L65" si="56">+D62-H62</f>
        <v>-63.640000000000015</v>
      </c>
      <c r="M62" s="1"/>
      <c r="N62" s="5">
        <f t="shared" ref="N62:N65" si="57">IF(H62=0,0,L62/H62)</f>
        <v>-0.33094123764950606</v>
      </c>
      <c r="O62" s="14"/>
      <c r="P62" s="1">
        <f>SUM(OSRRefP22_11x_0)</f>
        <v>182.47</v>
      </c>
      <c r="Q62" s="1"/>
      <c r="R62" s="5">
        <f t="shared" ref="R62:R65" si="58">IF(P$12=0,0,P62/P$12)</f>
        <v>0</v>
      </c>
      <c r="S62" s="1"/>
      <c r="T62" s="1">
        <f>SUM(OSRRefT22_11x_0)</f>
        <v>222.55</v>
      </c>
      <c r="U62" s="1"/>
      <c r="V62" s="5">
        <f t="shared" ref="V62:V65" si="59">IF(T$12=0,0,T62/T$12)</f>
        <v>1.9750114680232287E-3</v>
      </c>
      <c r="W62" s="1"/>
      <c r="X62" s="1">
        <f t="shared" ref="X62:X65" si="60">+P62-T62</f>
        <v>-40.080000000000013</v>
      </c>
      <c r="Y62" s="1"/>
      <c r="Z62" s="5">
        <f t="shared" ref="Z62:Z65" si="61">IF(T62=0,0,X62/T62)</f>
        <v>-0.18009436081779381</v>
      </c>
    </row>
    <row r="63" spans="1:26" s="24" customFormat="1" hidden="1" outlineLevel="2" x14ac:dyDescent="0.25">
      <c r="A63" s="29"/>
      <c r="B63" s="11" t="str">
        <f>CONCATENATE("          ", "6309", " - ", "TELEPHONE")</f>
        <v xml:space="preserve">          6309 - TELEPHONE</v>
      </c>
      <c r="C63" s="11"/>
      <c r="D63" s="7">
        <v>128.66</v>
      </c>
      <c r="E63" s="2"/>
      <c r="F63" s="6">
        <f t="shared" si="54"/>
        <v>0</v>
      </c>
      <c r="G63" s="2"/>
      <c r="H63" s="7">
        <v>192.3</v>
      </c>
      <c r="I63" s="2"/>
      <c r="J63" s="6">
        <f t="shared" si="55"/>
        <v>2.9370778046114722E-3</v>
      </c>
      <c r="K63" s="2"/>
      <c r="L63" s="7">
        <f t="shared" si="56"/>
        <v>-63.640000000000015</v>
      </c>
      <c r="M63" s="2"/>
      <c r="N63" s="6">
        <f t="shared" si="57"/>
        <v>-0.33094123764950606</v>
      </c>
      <c r="O63" s="11"/>
      <c r="P63" s="7">
        <v>182.47</v>
      </c>
      <c r="Q63" s="2"/>
      <c r="R63" s="6">
        <f t="shared" si="58"/>
        <v>0</v>
      </c>
      <c r="S63" s="2"/>
      <c r="T63" s="7">
        <v>222.55</v>
      </c>
      <c r="U63" s="2"/>
      <c r="V63" s="6">
        <f t="shared" si="59"/>
        <v>1.9750114680232287E-3</v>
      </c>
      <c r="W63" s="2"/>
      <c r="X63" s="7">
        <f t="shared" si="60"/>
        <v>-40.080000000000013</v>
      </c>
      <c r="Y63" s="2"/>
      <c r="Z63" s="6">
        <f t="shared" si="61"/>
        <v>-0.18009436081779381</v>
      </c>
    </row>
    <row r="64" spans="1:26" s="28" customFormat="1" outlineLevel="1" collapsed="1" x14ac:dyDescent="0.25">
      <c r="A64" s="27"/>
      <c r="B64" s="14" t="str">
        <f>CONCATENATE("     ","Training                                          ")</f>
        <v xml:space="preserve">     Training                                          </v>
      </c>
      <c r="C64" s="14"/>
      <c r="D64" s="1">
        <f>SUM(OSRRefD22_12x_0)</f>
        <v>0</v>
      </c>
      <c r="E64" s="1"/>
      <c r="F64" s="5">
        <f t="shared" si="54"/>
        <v>0</v>
      </c>
      <c r="G64" s="1"/>
      <c r="H64" s="1">
        <f>SUM(OSRRefH22_12x_0)</f>
        <v>175</v>
      </c>
      <c r="I64" s="1"/>
      <c r="J64" s="5">
        <f t="shared" si="55"/>
        <v>2.6728477161050835E-3</v>
      </c>
      <c r="K64" s="1"/>
      <c r="L64" s="1">
        <f t="shared" si="56"/>
        <v>-175</v>
      </c>
      <c r="M64" s="1"/>
      <c r="N64" s="5">
        <f t="shared" si="57"/>
        <v>-1</v>
      </c>
      <c r="O64" s="14"/>
      <c r="P64" s="1">
        <f>SUM(OSRRefP22_12x_0)</f>
        <v>0</v>
      </c>
      <c r="Q64" s="1"/>
      <c r="R64" s="5">
        <f t="shared" si="58"/>
        <v>0</v>
      </c>
      <c r="S64" s="1"/>
      <c r="T64" s="1">
        <f>SUM(OSRRefT22_12x_0)</f>
        <v>175</v>
      </c>
      <c r="U64" s="1"/>
      <c r="V64" s="5">
        <f t="shared" si="59"/>
        <v>1.5530308106226243E-3</v>
      </c>
      <c r="W64" s="1"/>
      <c r="X64" s="1">
        <f t="shared" si="60"/>
        <v>-175</v>
      </c>
      <c r="Y64" s="1"/>
      <c r="Z64" s="5">
        <f t="shared" si="61"/>
        <v>-1</v>
      </c>
    </row>
    <row r="65" spans="1:26" s="24" customFormat="1" hidden="1" outlineLevel="2" x14ac:dyDescent="0.25">
      <c r="A65" s="29"/>
      <c r="B65" s="11" t="str">
        <f>CONCATENATE("          ", "6376", " - ", "TRAINING")</f>
        <v xml:space="preserve">          6376 - TRAINING</v>
      </c>
      <c r="C65" s="11"/>
      <c r="D65" s="7"/>
      <c r="E65" s="2"/>
      <c r="F65" s="6">
        <f t="shared" si="54"/>
        <v>0</v>
      </c>
      <c r="G65" s="2"/>
      <c r="H65" s="7">
        <v>175</v>
      </c>
      <c r="I65" s="2"/>
      <c r="J65" s="6">
        <f t="shared" si="55"/>
        <v>2.6728477161050835E-3</v>
      </c>
      <c r="K65" s="2"/>
      <c r="L65" s="7">
        <f t="shared" si="56"/>
        <v>-175</v>
      </c>
      <c r="M65" s="2"/>
      <c r="N65" s="6">
        <f t="shared" si="57"/>
        <v>-1</v>
      </c>
      <c r="O65" s="11"/>
      <c r="P65" s="7"/>
      <c r="Q65" s="2"/>
      <c r="R65" s="6">
        <f t="shared" si="58"/>
        <v>0</v>
      </c>
      <c r="S65" s="2"/>
      <c r="T65" s="7">
        <v>175</v>
      </c>
      <c r="U65" s="2"/>
      <c r="V65" s="6">
        <f t="shared" si="59"/>
        <v>1.5530308106226243E-3</v>
      </c>
      <c r="W65" s="2"/>
      <c r="X65" s="7">
        <f t="shared" si="60"/>
        <v>-175</v>
      </c>
      <c r="Y65" s="2"/>
      <c r="Z65" s="6">
        <f t="shared" si="61"/>
        <v>-1</v>
      </c>
    </row>
    <row r="66" spans="1:26" s="52" customFormat="1" x14ac:dyDescent="0.25">
      <c r="A66" s="37"/>
      <c r="B66" s="37"/>
      <c r="C66" s="37"/>
      <c r="D66" s="1"/>
      <c r="E66" s="1"/>
      <c r="F66" s="5"/>
      <c r="G66" s="1"/>
      <c r="H66" s="1"/>
      <c r="I66" s="1"/>
      <c r="J66" s="5"/>
      <c r="K66" s="1"/>
      <c r="L66" s="1"/>
      <c r="M66" s="1"/>
      <c r="N66" s="5"/>
      <c r="O66" s="37"/>
      <c r="P66" s="1"/>
      <c r="Q66" s="1"/>
      <c r="R66" s="5"/>
      <c r="S66" s="1"/>
      <c r="T66" s="1"/>
      <c r="U66" s="1"/>
      <c r="V66" s="5"/>
      <c r="W66" s="1"/>
      <c r="X66" s="1"/>
      <c r="Y66" s="1"/>
      <c r="Z66" s="5"/>
    </row>
    <row r="67" spans="1:26" s="23" customFormat="1" x14ac:dyDescent="0.25">
      <c r="A67" s="10"/>
      <c r="B67" s="25" t="s">
        <v>0</v>
      </c>
      <c r="C67" s="10"/>
      <c r="D67" s="4">
        <f>SUM(0)</f>
        <v>0</v>
      </c>
      <c r="E67" s="4"/>
      <c r="F67" s="12">
        <f>IF(D$12=0,0,D67/D$12)</f>
        <v>0</v>
      </c>
      <c r="G67" s="4"/>
      <c r="H67" s="4">
        <f>SUM(0)</f>
        <v>0</v>
      </c>
      <c r="I67" s="4"/>
      <c r="J67" s="12">
        <f>IF(H$12=0,0,H67/H$12)</f>
        <v>0</v>
      </c>
      <c r="K67" s="4"/>
      <c r="L67" s="4">
        <f>+D67-H67</f>
        <v>0</v>
      </c>
      <c r="M67" s="4"/>
      <c r="N67" s="12">
        <f>IF(H67=0,0,L67/H67)</f>
        <v>0</v>
      </c>
      <c r="O67" s="10"/>
      <c r="P67" s="4">
        <f>SUM(0)</f>
        <v>0</v>
      </c>
      <c r="Q67" s="4"/>
      <c r="R67" s="12">
        <f>IF(P$12=0,0,P67/P$12)</f>
        <v>0</v>
      </c>
      <c r="S67" s="4"/>
      <c r="T67" s="4">
        <f>SUM(0)</f>
        <v>0</v>
      </c>
      <c r="U67" s="4"/>
      <c r="V67" s="12">
        <f>IF(T$12=0,0,T67/T$12)</f>
        <v>0</v>
      </c>
      <c r="W67" s="4"/>
      <c r="X67" s="4">
        <f>+P67-T67</f>
        <v>0</v>
      </c>
      <c r="Y67" s="4"/>
      <c r="Z67" s="12">
        <f>IF(T67=0,0,X67/T67)</f>
        <v>0</v>
      </c>
    </row>
    <row r="68" spans="1:26" x14ac:dyDescent="0.25">
      <c r="A68" s="9"/>
      <c r="B68" s="10"/>
      <c r="C68" s="10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O68" s="10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25">
      <c r="A69" s="10"/>
      <c r="B69" s="26" t="s">
        <v>3</v>
      </c>
      <c r="C69" s="26"/>
      <c r="D69" s="22">
        <f>+D19-D21+D67</f>
        <v>-976.21999999999991</v>
      </c>
      <c r="E69" s="13"/>
      <c r="F69" s="21">
        <f>IF(D$12=0,0,D69/D$12)</f>
        <v>0</v>
      </c>
      <c r="G69" s="13"/>
      <c r="H69" s="22">
        <f>+H19-H21+H67</f>
        <v>-5858.82</v>
      </c>
      <c r="I69" s="13"/>
      <c r="J69" s="21">
        <f>IF(H$12=0,0,H69/H$12)</f>
        <v>-8.9484192320404485E-2</v>
      </c>
      <c r="K69" s="16"/>
      <c r="L69" s="22">
        <f>+D69-H69</f>
        <v>4882.5999999999995</v>
      </c>
      <c r="M69" s="16"/>
      <c r="N69" s="21">
        <f>IF(H69=0,0,L69/H69)</f>
        <v>-0.83337600404176948</v>
      </c>
      <c r="O69" s="25"/>
      <c r="P69" s="22">
        <f>+P19-P21+P67</f>
        <v>-2057.21</v>
      </c>
      <c r="Q69" s="13"/>
      <c r="R69" s="21">
        <f>IF(P$12=0,0,P69/P$12)</f>
        <v>0</v>
      </c>
      <c r="S69" s="13"/>
      <c r="T69" s="22">
        <f>+T19-T21+T67</f>
        <v>-33463.599999999977</v>
      </c>
      <c r="U69" s="13"/>
      <c r="V69" s="21">
        <f>IF(T$12=0,0,T69/T$12)</f>
        <v>-0.29697143905343548</v>
      </c>
      <c r="W69" s="16"/>
      <c r="X69" s="22">
        <f>+P69-T69</f>
        <v>31406.389999999978</v>
      </c>
      <c r="Y69" s="16"/>
      <c r="Z69" s="21">
        <f>IF(T69=0,0,X69/T69)</f>
        <v>-0.93852394840961517</v>
      </c>
    </row>
    <row r="70" spans="1:26" x14ac:dyDescent="0.25">
      <c r="A70" s="9"/>
      <c r="B70" s="10"/>
      <c r="C70" s="9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25">
      <c r="A71" s="51"/>
      <c r="B71" s="10" t="s">
        <v>13</v>
      </c>
      <c r="C71" s="10"/>
      <c r="D71" s="4"/>
      <c r="E71" s="4"/>
      <c r="F71" s="12">
        <f>IF(D$12=0,0,D71/D$12)</f>
        <v>0</v>
      </c>
      <c r="G71" s="4"/>
      <c r="H71" s="4">
        <v>4233.22</v>
      </c>
      <c r="I71" s="4"/>
      <c r="J71" s="12">
        <f>IF(H$12=0,0,H71/H$12)</f>
        <v>6.4655728050116365E-2</v>
      </c>
      <c r="K71" s="4"/>
      <c r="L71" s="4">
        <f>+D71-H71</f>
        <v>-4233.22</v>
      </c>
      <c r="M71" s="4"/>
      <c r="N71" s="12">
        <f>IF(H71=0,0,L71/H71)</f>
        <v>-1</v>
      </c>
      <c r="O71" s="10"/>
      <c r="P71" s="4"/>
      <c r="Q71" s="4"/>
      <c r="R71" s="12">
        <f>IF(P$12=0,0,P71/P$12)</f>
        <v>0</v>
      </c>
      <c r="S71" s="4"/>
      <c r="T71" s="4">
        <v>14049.5</v>
      </c>
      <c r="U71" s="4"/>
      <c r="V71" s="12">
        <f>IF(T$12=0,0,T71/T$12)</f>
        <v>0.12468175070767176</v>
      </c>
      <c r="W71" s="4"/>
      <c r="X71" s="4">
        <f>+P71-T71</f>
        <v>-14049.5</v>
      </c>
      <c r="Y71" s="4"/>
      <c r="Z71" s="12">
        <f>IF(T71=0,0,X71/T71)</f>
        <v>-1</v>
      </c>
    </row>
    <row r="72" spans="1:26" x14ac:dyDescent="0.25">
      <c r="A72" s="9"/>
      <c r="B72" s="10"/>
      <c r="C72" s="10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O72" s="10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.75" thickBot="1" x14ac:dyDescent="0.3">
      <c r="A73" s="10"/>
      <c r="B73" s="26" t="s">
        <v>4</v>
      </c>
      <c r="C73" s="26"/>
      <c r="D73" s="36">
        <f>+D69-D71</f>
        <v>-976.21999999999991</v>
      </c>
      <c r="E73" s="13"/>
      <c r="F73" s="34">
        <f>IF(D$12=0,0,D73/D$12)</f>
        <v>0</v>
      </c>
      <c r="G73" s="13"/>
      <c r="H73" s="36">
        <f>+H69-H71</f>
        <v>-10092.040000000001</v>
      </c>
      <c r="I73" s="13"/>
      <c r="J73" s="34">
        <f>IF(H$12=0,0,H73/H$12)</f>
        <v>-0.15413992037052085</v>
      </c>
      <c r="K73" s="16"/>
      <c r="L73" s="36">
        <f>D73-H73</f>
        <v>9115.8200000000015</v>
      </c>
      <c r="M73" s="16"/>
      <c r="N73" s="34">
        <f>IF(H73=0,0,L73/H73)</f>
        <v>-0.90326831839746979</v>
      </c>
      <c r="O73" s="25"/>
      <c r="P73" s="36">
        <f>+P69-P71</f>
        <v>-2057.21</v>
      </c>
      <c r="Q73" s="13"/>
      <c r="R73" s="34">
        <f>IF(P$12=0,0,P73/P$12)</f>
        <v>0</v>
      </c>
      <c r="S73" s="13"/>
      <c r="T73" s="36">
        <f>+T69-T71</f>
        <v>-47513.099999999977</v>
      </c>
      <c r="U73" s="13"/>
      <c r="V73" s="34">
        <f>IF(T$12=0,0,T73/T$12)</f>
        <v>-0.42165318976110727</v>
      </c>
      <c r="W73" s="16"/>
      <c r="X73" s="36">
        <f>P73-T73</f>
        <v>45455.889999999978</v>
      </c>
      <c r="Y73" s="16"/>
      <c r="Z73" s="34">
        <f>IF(T73=0,0,X73/T73)</f>
        <v>-0.95670225685126842</v>
      </c>
    </row>
    <row r="74" spans="1:26" ht="15.75" thickTop="1" x14ac:dyDescent="0.25">
      <c r="A74" s="9"/>
      <c r="B74" s="9"/>
      <c r="C74" s="9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6" t="s">
        <v>5</v>
      </c>
      <c r="C76" s="26"/>
      <c r="D76" s="30">
        <f>SUM(D73:D75)</f>
        <v>-976.21999999999991</v>
      </c>
      <c r="E76" s="13"/>
      <c r="F76" s="31">
        <f>IF(D$12=0,0,D76/D$12)</f>
        <v>0</v>
      </c>
      <c r="G76" s="13"/>
      <c r="H76" s="30">
        <f>SUM(H73:H75)</f>
        <v>-10092.040000000001</v>
      </c>
      <c r="I76" s="13"/>
      <c r="J76" s="31">
        <f>IF(H$12=0,0,H76/H$12)</f>
        <v>-0.15413992037052085</v>
      </c>
      <c r="K76" s="16"/>
      <c r="L76" s="30">
        <f>+D76-H76</f>
        <v>9115.8200000000015</v>
      </c>
      <c r="M76" s="16"/>
      <c r="N76" s="31">
        <f>IF(H76=0,0,L76/H76)</f>
        <v>-0.90326831839746979</v>
      </c>
      <c r="O76" s="25"/>
      <c r="P76" s="30">
        <f>SUM(P73:P75)</f>
        <v>-2057.21</v>
      </c>
      <c r="Q76" s="13"/>
      <c r="R76" s="31">
        <f>IF(P$12=0,0,P76/P$12)</f>
        <v>0</v>
      </c>
      <c r="S76" s="13"/>
      <c r="T76" s="30">
        <f>SUM(T73:T75)</f>
        <v>-47513.099999999977</v>
      </c>
      <c r="U76" s="13"/>
      <c r="V76" s="31">
        <f>IF(T$12=0,0,T76/T$12)</f>
        <v>-0.42165318976110727</v>
      </c>
      <c r="W76" s="16"/>
      <c r="X76" s="30">
        <f>+P76-T76</f>
        <v>45455.889999999978</v>
      </c>
      <c r="Y76" s="16"/>
      <c r="Z76" s="31">
        <f>IF(T76=0,0,X76/T76)</f>
        <v>-0.95670225685126842</v>
      </c>
    </row>
    <row r="77" spans="1:26" ht="15.75" thickTop="1" x14ac:dyDescent="0.25">
      <c r="A77" s="9"/>
      <c r="C77" s="9"/>
      <c r="D77" s="18"/>
      <c r="E77" s="18"/>
      <c r="G77" s="18"/>
      <c r="H77" s="18"/>
      <c r="I77" s="18"/>
      <c r="J77" s="43"/>
      <c r="K77" s="18"/>
      <c r="L77" s="18"/>
      <c r="M77" s="18"/>
      <c r="P77" s="18"/>
      <c r="Q77" s="18"/>
      <c r="R77" s="43"/>
      <c r="S77" s="18"/>
      <c r="T77" s="18"/>
      <c r="U77" s="18"/>
      <c r="V77" s="43"/>
      <c r="W77" s="18"/>
      <c r="X77" s="18"/>
    </row>
    <row r="78" spans="1:26" x14ac:dyDescent="0.25">
      <c r="A78" s="9"/>
      <c r="B78" s="61">
        <v>44113.696604016201</v>
      </c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56" t="s">
        <v>313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8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4:24" x14ac:dyDescent="0.25"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3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","420", " - ", "Catering")</f>
        <v>Department 420 - Catering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SUM(0)</f>
        <v>0</v>
      </c>
      <c r="E18" s="20"/>
      <c r="F18" s="35">
        <f>IF(D$12=0,0,D18/D$12)</f>
        <v>0</v>
      </c>
      <c r="G18" s="20"/>
      <c r="H18" s="20">
        <f>SUM(0)</f>
        <v>0</v>
      </c>
      <c r="I18" s="20"/>
      <c r="J18" s="35">
        <f>IF(H$12=0,0,H18/H$12)</f>
        <v>0</v>
      </c>
      <c r="K18" s="4"/>
      <c r="L18" s="20">
        <f>+D18-H18</f>
        <v>0</v>
      </c>
      <c r="M18" s="4"/>
      <c r="N18" s="35">
        <f>IF(H18=0,0,L18/H18)</f>
        <v>0</v>
      </c>
      <c r="O18" s="10"/>
      <c r="P18" s="20">
        <f>SUM(0)</f>
        <v>0</v>
      </c>
      <c r="Q18" s="20"/>
      <c r="R18" s="35">
        <f>IF(P$12=0,0,P18/P$12)</f>
        <v>0</v>
      </c>
      <c r="S18" s="20"/>
      <c r="T18" s="20">
        <f>SUM(0)</f>
        <v>0</v>
      </c>
      <c r="U18" s="20"/>
      <c r="V18" s="35">
        <f>IF(T$12=0,0,T18/T$12)</f>
        <v>0</v>
      </c>
      <c r="W18" s="4"/>
      <c r="X18" s="20">
        <f>+P18-T18</f>
        <v>0</v>
      </c>
      <c r="Y18" s="4"/>
      <c r="Z18" s="35">
        <f>IF(T18=0,0,X18/T18)</f>
        <v>0</v>
      </c>
    </row>
    <row r="19" spans="1:26" s="52" customFormat="1" x14ac:dyDescent="0.25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0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25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25">
      <c r="A22" s="10"/>
      <c r="B22" s="26" t="s">
        <v>3</v>
      </c>
      <c r="C22" s="26"/>
      <c r="D22" s="22">
        <f>+D16-D18+D20</f>
        <v>0</v>
      </c>
      <c r="E22" s="13"/>
      <c r="F22" s="21">
        <f>IF(D$12=0,0,D22/D$12)</f>
        <v>0</v>
      </c>
      <c r="G22" s="13"/>
      <c r="H22" s="22">
        <f>+H16-H18+H20</f>
        <v>0</v>
      </c>
      <c r="I22" s="13"/>
      <c r="J22" s="21">
        <f>IF(H$12=0,0,H22/H$12)</f>
        <v>0</v>
      </c>
      <c r="K22" s="16"/>
      <c r="L22" s="22">
        <f>+D22-H22</f>
        <v>0</v>
      </c>
      <c r="M22" s="16"/>
      <c r="N22" s="21">
        <f>IF(H22=0,0,L22/H22)</f>
        <v>0</v>
      </c>
      <c r="O22" s="25"/>
      <c r="P22" s="22">
        <f>+P16-P18+P20</f>
        <v>0</v>
      </c>
      <c r="Q22" s="13"/>
      <c r="R22" s="21">
        <f>IF(P$12=0,0,P22/P$12)</f>
        <v>0</v>
      </c>
      <c r="S22" s="13"/>
      <c r="T22" s="22">
        <f>+T16-T18+T20</f>
        <v>0</v>
      </c>
      <c r="U22" s="13"/>
      <c r="V22" s="21">
        <f>IF(T$12=0,0,T22/T$12)</f>
        <v>0</v>
      </c>
      <c r="W22" s="16"/>
      <c r="X22" s="22">
        <f>+P22-T22</f>
        <v>0</v>
      </c>
      <c r="Y22" s="16"/>
      <c r="Z22" s="21">
        <f>IF(T22=0,0,X22/T22)</f>
        <v>0</v>
      </c>
    </row>
    <row r="23" spans="1:26" x14ac:dyDescent="0.25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25">
      <c r="A24" s="51"/>
      <c r="B24" s="10" t="s">
        <v>13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25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.75" thickBot="1" x14ac:dyDescent="0.3">
      <c r="A26" s="10"/>
      <c r="B26" s="26" t="s">
        <v>4</v>
      </c>
      <c r="C26" s="26"/>
      <c r="D26" s="36">
        <f>+D22-D24</f>
        <v>0</v>
      </c>
      <c r="E26" s="13"/>
      <c r="F26" s="34">
        <f>IF(D$12=0,0,D26/D$12)</f>
        <v>0</v>
      </c>
      <c r="G26" s="13"/>
      <c r="H26" s="36">
        <f>+H22-H24</f>
        <v>0</v>
      </c>
      <c r="I26" s="13"/>
      <c r="J26" s="34">
        <f>IF(H$12=0,0,H26/H$12)</f>
        <v>0</v>
      </c>
      <c r="K26" s="16"/>
      <c r="L26" s="36">
        <f>D26-H26</f>
        <v>0</v>
      </c>
      <c r="M26" s="16"/>
      <c r="N26" s="34">
        <f>IF(H26=0,0,L26/H26)</f>
        <v>0</v>
      </c>
      <c r="O26" s="25"/>
      <c r="P26" s="36">
        <f>+P22-P24</f>
        <v>0</v>
      </c>
      <c r="Q26" s="13"/>
      <c r="R26" s="34">
        <f>IF(P$12=0,0,P26/P$12)</f>
        <v>0</v>
      </c>
      <c r="S26" s="13"/>
      <c r="T26" s="36">
        <f>+T22-T24</f>
        <v>0</v>
      </c>
      <c r="U26" s="13"/>
      <c r="V26" s="34">
        <f>IF(T$12=0,0,T26/T$12)</f>
        <v>0</v>
      </c>
      <c r="W26" s="16"/>
      <c r="X26" s="36">
        <f>P26-T26</f>
        <v>0</v>
      </c>
      <c r="Y26" s="16"/>
      <c r="Z26" s="34">
        <f>IF(T26=0,0,X26/T26)</f>
        <v>0</v>
      </c>
    </row>
    <row r="27" spans="1:26" ht="15.75" thickTop="1" x14ac:dyDescent="0.25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x14ac:dyDescent="0.25">
      <c r="A28" s="9"/>
      <c r="B28" s="9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.75" thickBot="1" x14ac:dyDescent="0.3">
      <c r="A29" s="10"/>
      <c r="B29" s="26" t="s">
        <v>5</v>
      </c>
      <c r="C29" s="26"/>
      <c r="D29" s="30">
        <f>SUM(D26:D28)</f>
        <v>0</v>
      </c>
      <c r="E29" s="13"/>
      <c r="F29" s="31">
        <f>IF(D$12=0,0,D29/D$12)</f>
        <v>0</v>
      </c>
      <c r="G29" s="13"/>
      <c r="H29" s="30">
        <f>SUM(H26:H28)</f>
        <v>0</v>
      </c>
      <c r="I29" s="13"/>
      <c r="J29" s="31">
        <f>IF(H$12=0,0,H29/H$12)</f>
        <v>0</v>
      </c>
      <c r="K29" s="16"/>
      <c r="L29" s="30">
        <f>+D29-H29</f>
        <v>0</v>
      </c>
      <c r="M29" s="16"/>
      <c r="N29" s="31">
        <f>IF(H29=0,0,L29/H29)</f>
        <v>0</v>
      </c>
      <c r="O29" s="25"/>
      <c r="P29" s="30">
        <f>SUM(P26:P28)</f>
        <v>0</v>
      </c>
      <c r="Q29" s="13"/>
      <c r="R29" s="31">
        <f>IF(P$12=0,0,P29/P$12)</f>
        <v>0</v>
      </c>
      <c r="S29" s="13"/>
      <c r="T29" s="30">
        <f>SUM(T26:T28)</f>
        <v>0</v>
      </c>
      <c r="U29" s="13"/>
      <c r="V29" s="31">
        <f>IF(T$12=0,0,T29/T$12)</f>
        <v>0</v>
      </c>
      <c r="W29" s="16"/>
      <c r="X29" s="30">
        <f>+P29-T29</f>
        <v>0</v>
      </c>
      <c r="Y29" s="16"/>
      <c r="Z29" s="31">
        <f>IF(T29=0,0,X29/T29)</f>
        <v>0</v>
      </c>
    </row>
    <row r="30" spans="1:26" ht="15.75" thickTop="1" x14ac:dyDescent="0.25">
      <c r="A30" s="9"/>
      <c r="C30" s="9"/>
      <c r="D30" s="18"/>
      <c r="E30" s="18"/>
      <c r="G30" s="18"/>
      <c r="H30" s="18"/>
      <c r="I30" s="18"/>
      <c r="J30" s="43"/>
      <c r="K30" s="18"/>
      <c r="L30" s="18"/>
      <c r="M30" s="18"/>
      <c r="P30" s="18"/>
      <c r="Q30" s="18"/>
      <c r="R30" s="43"/>
      <c r="S30" s="18"/>
      <c r="T30" s="18"/>
      <c r="U30" s="18"/>
      <c r="V30" s="43"/>
      <c r="W30" s="18"/>
      <c r="X30" s="18"/>
    </row>
    <row r="31" spans="1:26" x14ac:dyDescent="0.25">
      <c r="A31" s="9"/>
      <c r="B31" s="61">
        <v>44113.696710729164</v>
      </c>
      <c r="D31" s="18"/>
      <c r="E31" s="18"/>
      <c r="G31" s="18"/>
      <c r="H31" s="18"/>
      <c r="I31" s="18"/>
      <c r="J31" s="43"/>
      <c r="K31" s="18"/>
      <c r="L31" s="18"/>
      <c r="M31" s="18"/>
      <c r="P31" s="18"/>
      <c r="Q31" s="18"/>
      <c r="R31" s="43"/>
      <c r="S31" s="18"/>
      <c r="T31" s="18"/>
      <c r="U31" s="18"/>
      <c r="V31" s="43"/>
      <c r="W31" s="18"/>
      <c r="X31" s="18"/>
    </row>
    <row r="32" spans="1:26" x14ac:dyDescent="0.25">
      <c r="A32" s="9"/>
      <c r="B32" s="56" t="s">
        <v>313</v>
      </c>
      <c r="D32" s="18"/>
      <c r="E32" s="18"/>
      <c r="G32" s="18"/>
      <c r="H32" s="18"/>
      <c r="I32" s="18"/>
      <c r="J32" s="43"/>
      <c r="K32" s="18"/>
      <c r="L32" s="18"/>
      <c r="M32" s="18"/>
      <c r="P32" s="18"/>
      <c r="Q32" s="18"/>
      <c r="R32" s="43"/>
      <c r="S32" s="18"/>
      <c r="T32" s="18"/>
      <c r="U32" s="18"/>
      <c r="V32" s="43"/>
      <c r="W32" s="18"/>
      <c r="X32" s="18"/>
    </row>
    <row r="33" spans="1:24" x14ac:dyDescent="0.25">
      <c r="A33" s="9"/>
      <c r="B33" s="58"/>
      <c r="D33" s="18"/>
      <c r="E33" s="18"/>
      <c r="G33" s="18"/>
      <c r="H33" s="18"/>
      <c r="I33" s="18"/>
      <c r="J33" s="43"/>
      <c r="K33" s="18"/>
      <c r="L33" s="18"/>
      <c r="M33" s="18"/>
      <c r="P33" s="18"/>
      <c r="Q33" s="18"/>
      <c r="R33" s="43"/>
      <c r="S33" s="18"/>
      <c r="T33" s="18"/>
      <c r="U33" s="18"/>
      <c r="V33" s="43"/>
      <c r="W33" s="18"/>
      <c r="X33" s="18"/>
    </row>
    <row r="34" spans="1:24" x14ac:dyDescent="0.25">
      <c r="D34" s="18"/>
      <c r="E34" s="18"/>
      <c r="G34" s="18"/>
      <c r="H34" s="18"/>
      <c r="I34" s="18"/>
      <c r="J34" s="43"/>
      <c r="K34" s="18"/>
      <c r="L34" s="18"/>
      <c r="M34" s="18"/>
      <c r="P34" s="18"/>
      <c r="Q34" s="18"/>
      <c r="R34" s="43"/>
      <c r="S34" s="18"/>
      <c r="T34" s="18"/>
      <c r="U34" s="18"/>
      <c r="V34" s="43"/>
      <c r="W34" s="18"/>
      <c r="X34" s="18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","413", " - ", "Beach Walk")</f>
        <v>Department 413 - Beach Walk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20174.41</v>
      </c>
      <c r="I12" s="4"/>
      <c r="J12" s="12"/>
      <c r="K12" s="4"/>
      <c r="L12" s="4">
        <f t="shared" ref="L12:L14" si="0">+D12-H12</f>
        <v>-20174.41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26002</v>
      </c>
      <c r="U12" s="4"/>
      <c r="V12" s="12"/>
      <c r="W12" s="4"/>
      <c r="X12" s="4">
        <f t="shared" ref="X12:X14" si="2">+P12-T12</f>
        <v>-26002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 t="shared" ref="D13:D14" si="4">0</f>
        <v>0</v>
      </c>
      <c r="E13" s="2"/>
      <c r="F13" s="19"/>
      <c r="G13" s="2"/>
      <c r="H13" s="2">
        <f>--5507.79</f>
        <v>5507.79</v>
      </c>
      <c r="I13" s="2"/>
      <c r="J13" s="19"/>
      <c r="K13" s="2"/>
      <c r="L13" s="2">
        <f t="shared" si="0"/>
        <v>-5507.79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--9013.24</f>
        <v>9013.24</v>
      </c>
      <c r="U13" s="2"/>
      <c r="V13" s="19"/>
      <c r="W13" s="2"/>
      <c r="X13" s="2">
        <f t="shared" si="2"/>
        <v>-9013.24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 t="shared" si="4"/>
        <v>0</v>
      </c>
      <c r="E14" s="2"/>
      <c r="F14" s="19"/>
      <c r="G14" s="2"/>
      <c r="H14" s="2">
        <f>--14666.62</f>
        <v>14666.62</v>
      </c>
      <c r="I14" s="2"/>
      <c r="J14" s="19"/>
      <c r="K14" s="2"/>
      <c r="L14" s="2">
        <f t="shared" si="0"/>
        <v>-14666.62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--16988.76</f>
        <v>16988.759999999998</v>
      </c>
      <c r="U14" s="2"/>
      <c r="V14" s="19"/>
      <c r="W14" s="2"/>
      <c r="X14" s="2">
        <f t="shared" si="2"/>
        <v>-16988.759999999998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7282.86</v>
      </c>
      <c r="I16" s="4"/>
      <c r="J16" s="12">
        <f t="shared" ref="J16:J18" si="7">IF(H$12=0,0,H16/H$12)</f>
        <v>0.36099494359438516</v>
      </c>
      <c r="K16" s="4"/>
      <c r="L16" s="4">
        <f t="shared" ref="L16:L18" si="8">+D16-H16</f>
        <v>-7282.86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9932.7099999999991</v>
      </c>
      <c r="U16" s="4"/>
      <c r="V16" s="12">
        <f t="shared" ref="V16:V18" si="11">IF(T$12=0,0,T16/T$12)</f>
        <v>0.38199792323667409</v>
      </c>
      <c r="W16" s="4"/>
      <c r="X16" s="4">
        <f t="shared" ref="X16:X18" si="12">+P16-T16</f>
        <v>-9932.7099999999991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7841.2</v>
      </c>
      <c r="I17" s="2"/>
      <c r="J17" s="19">
        <f t="shared" si="7"/>
        <v>0.38867059804970749</v>
      </c>
      <c r="K17" s="2"/>
      <c r="L17" s="2">
        <f t="shared" si="8"/>
        <v>-7841.2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11203.05</v>
      </c>
      <c r="U17" s="2"/>
      <c r="V17" s="19">
        <f t="shared" si="11"/>
        <v>0.43085339589262361</v>
      </c>
      <c r="W17" s="2"/>
      <c r="X17" s="2">
        <f t="shared" si="12"/>
        <v>-11203.05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-558.34</v>
      </c>
      <c r="I18" s="2"/>
      <c r="J18" s="19">
        <f t="shared" si="7"/>
        <v>-2.7675654455322364E-2</v>
      </c>
      <c r="K18" s="2"/>
      <c r="L18" s="2">
        <f t="shared" si="8"/>
        <v>558.34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-1270.3399999999999</v>
      </c>
      <c r="U18" s="2"/>
      <c r="V18" s="19">
        <f t="shared" si="11"/>
        <v>-4.8855472655949542E-2</v>
      </c>
      <c r="W18" s="2"/>
      <c r="X18" s="2">
        <f t="shared" si="12"/>
        <v>1270.3399999999999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12891.55</v>
      </c>
      <c r="I20" s="13"/>
      <c r="J20" s="21">
        <f>IF(H$12=0,0,H20/H$12)</f>
        <v>0.63900505640561478</v>
      </c>
      <c r="K20" s="16"/>
      <c r="L20" s="22">
        <f>+D20-H20</f>
        <v>-12891.55</v>
      </c>
      <c r="M20" s="16"/>
      <c r="N20" s="21">
        <f>IF(H20=0,0,L20/H20)</f>
        <v>-1</v>
      </c>
      <c r="O20" s="25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16069.29</v>
      </c>
      <c r="U20" s="13"/>
      <c r="V20" s="21">
        <f>IF(T$12=0,0,T20/T$12)</f>
        <v>0.61800207676332597</v>
      </c>
      <c r="W20" s="16"/>
      <c r="X20" s="22">
        <f>+P20-T20</f>
        <v>-16069.29</v>
      </c>
      <c r="Y20" s="16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157.63</v>
      </c>
      <c r="E22" s="20"/>
      <c r="F22" s="35">
        <f t="shared" ref="F22:F31" si="14">IF(D$12=0,0,D22/D$12)</f>
        <v>0</v>
      </c>
      <c r="G22" s="20"/>
      <c r="H22" s="20">
        <f>SUM(OSRRefH22x_0)</f>
        <v>18174.020000000004</v>
      </c>
      <c r="I22" s="20"/>
      <c r="J22" s="35">
        <f t="shared" ref="J22:J31" si="15">IF(H$12=0,0,H22/H$12)</f>
        <v>0.9008451796112007</v>
      </c>
      <c r="K22" s="4"/>
      <c r="L22" s="20">
        <f t="shared" ref="L22:L31" si="16">+D22-H22</f>
        <v>-18016.390000000003</v>
      </c>
      <c r="M22" s="4"/>
      <c r="N22" s="35">
        <f t="shared" ref="N22:N31" si="17">IF(H22=0,0,L22/H22)</f>
        <v>-0.99132662999160337</v>
      </c>
      <c r="O22" s="10"/>
      <c r="P22" s="20">
        <f>SUM(OSRRefP22x_0)</f>
        <v>4276.1899999999996</v>
      </c>
      <c r="Q22" s="20"/>
      <c r="R22" s="35">
        <f t="shared" ref="R22:R31" si="18">IF(P$12=0,0,P22/P$12)</f>
        <v>0</v>
      </c>
      <c r="S22" s="20"/>
      <c r="T22" s="20">
        <f>SUM(OSRRefT22x_0)</f>
        <v>34897.31</v>
      </c>
      <c r="U22" s="20"/>
      <c r="V22" s="35">
        <f t="shared" ref="V22:V31" si="19">IF(T$12=0,0,T22/T$12)</f>
        <v>1.3421009922313667</v>
      </c>
      <c r="W22" s="4"/>
      <c r="X22" s="20">
        <f t="shared" ref="X22:X31" si="20">+P22-T22</f>
        <v>-30621.119999999999</v>
      </c>
      <c r="Y22" s="4"/>
      <c r="Z22" s="35">
        <f t="shared" ref="Z22:Z31" si="21">IF(T22=0,0,X22/T22)</f>
        <v>-0.87746362112151344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3305.1499999999996</v>
      </c>
      <c r="I23" s="1"/>
      <c r="J23" s="5">
        <f t="shared" si="15"/>
        <v>0.16382883068203727</v>
      </c>
      <c r="K23" s="1"/>
      <c r="L23" s="1">
        <f t="shared" si="16"/>
        <v>-3305.1499999999996</v>
      </c>
      <c r="M23" s="1"/>
      <c r="N23" s="5">
        <f t="shared" si="17"/>
        <v>-1</v>
      </c>
      <c r="O23" s="14"/>
      <c r="P23" s="1">
        <f>SUM(OSRRefP22_0x_0)</f>
        <v>1493.43</v>
      </c>
      <c r="Q23" s="1"/>
      <c r="R23" s="5">
        <f t="shared" si="18"/>
        <v>0</v>
      </c>
      <c r="S23" s="1"/>
      <c r="T23" s="1">
        <f>SUM(OSRRefT22_0x_0)</f>
        <v>6738.9900000000007</v>
      </c>
      <c r="U23" s="1"/>
      <c r="V23" s="5">
        <f t="shared" si="19"/>
        <v>0.25917198677024844</v>
      </c>
      <c r="W23" s="1"/>
      <c r="X23" s="1">
        <f t="shared" si="20"/>
        <v>-5245.56</v>
      </c>
      <c r="Y23" s="1"/>
      <c r="Z23" s="5">
        <f t="shared" si="21"/>
        <v>-0.77838963999056232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679.77</v>
      </c>
      <c r="I24" s="2"/>
      <c r="J24" s="6">
        <f t="shared" si="15"/>
        <v>3.3694665668041843E-2</v>
      </c>
      <c r="K24" s="2"/>
      <c r="L24" s="7">
        <f t="shared" si="16"/>
        <v>-679.77</v>
      </c>
      <c r="M24" s="2"/>
      <c r="N24" s="6">
        <f t="shared" si="17"/>
        <v>-1</v>
      </c>
      <c r="O24" s="11"/>
      <c r="P24" s="7">
        <v>191.51</v>
      </c>
      <c r="Q24" s="2"/>
      <c r="R24" s="6">
        <f t="shared" si="18"/>
        <v>0</v>
      </c>
      <c r="S24" s="2"/>
      <c r="T24" s="7">
        <v>1197.3399999999999</v>
      </c>
      <c r="U24" s="2"/>
      <c r="V24" s="6">
        <f t="shared" si="19"/>
        <v>4.6047996307976305E-2</v>
      </c>
      <c r="W24" s="2"/>
      <c r="X24" s="7">
        <f t="shared" si="20"/>
        <v>-1005.8299999999999</v>
      </c>
      <c r="Y24" s="2"/>
      <c r="Z24" s="6">
        <f t="shared" si="21"/>
        <v>-0.8400537858920607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346.55</v>
      </c>
      <c r="I25" s="2"/>
      <c r="J25" s="6">
        <f t="shared" si="15"/>
        <v>1.7177701851008281E-2</v>
      </c>
      <c r="K25" s="2"/>
      <c r="L25" s="7">
        <f t="shared" si="16"/>
        <v>-346.55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630.78</v>
      </c>
      <c r="U25" s="2"/>
      <c r="V25" s="6">
        <f t="shared" si="19"/>
        <v>2.4258903161295284E-2</v>
      </c>
      <c r="W25" s="2"/>
      <c r="X25" s="7">
        <f t="shared" si="20"/>
        <v>-630.78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1286.5999999999999</v>
      </c>
      <c r="I26" s="2"/>
      <c r="J26" s="6">
        <f t="shared" si="15"/>
        <v>6.3773860053404283E-2</v>
      </c>
      <c r="K26" s="2"/>
      <c r="L26" s="7">
        <f t="shared" si="16"/>
        <v>-1286.5999999999999</v>
      </c>
      <c r="M26" s="2"/>
      <c r="N26" s="6">
        <f t="shared" si="17"/>
        <v>-1</v>
      </c>
      <c r="O26" s="11"/>
      <c r="P26" s="7">
        <v>718.51</v>
      </c>
      <c r="Q26" s="2"/>
      <c r="R26" s="6">
        <f t="shared" si="18"/>
        <v>0</v>
      </c>
      <c r="S26" s="2"/>
      <c r="T26" s="7">
        <v>2573.1999999999998</v>
      </c>
      <c r="U26" s="2"/>
      <c r="V26" s="6">
        <f t="shared" si="19"/>
        <v>9.8961618337050986E-2</v>
      </c>
      <c r="W26" s="2"/>
      <c r="X26" s="7">
        <f t="shared" si="20"/>
        <v>-1854.6899999999998</v>
      </c>
      <c r="Y26" s="2"/>
      <c r="Z26" s="6">
        <f t="shared" si="21"/>
        <v>-0.72077180164775378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23.22</v>
      </c>
      <c r="I27" s="2"/>
      <c r="J27" s="6">
        <f t="shared" si="15"/>
        <v>1.1509630269237118E-3</v>
      </c>
      <c r="K27" s="2"/>
      <c r="L27" s="7">
        <f t="shared" si="16"/>
        <v>-23.22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42.27</v>
      </c>
      <c r="U27" s="2"/>
      <c r="V27" s="6">
        <f t="shared" si="19"/>
        <v>1.6256441812168296E-3</v>
      </c>
      <c r="W27" s="2"/>
      <c r="X27" s="7">
        <f t="shared" si="20"/>
        <v>-42.27</v>
      </c>
      <c r="Y27" s="2"/>
      <c r="Z27" s="6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326.52</v>
      </c>
      <c r="I28" s="2"/>
      <c r="J28" s="6">
        <f t="shared" si="15"/>
        <v>1.6184859928989249E-2</v>
      </c>
      <c r="K28" s="2"/>
      <c r="L28" s="7">
        <f t="shared" si="16"/>
        <v>-326.52</v>
      </c>
      <c r="M28" s="2"/>
      <c r="N28" s="6">
        <f t="shared" si="17"/>
        <v>-1</v>
      </c>
      <c r="O28" s="11"/>
      <c r="P28" s="7">
        <v>377.03</v>
      </c>
      <c r="Q28" s="2"/>
      <c r="R28" s="6">
        <f t="shared" si="18"/>
        <v>0</v>
      </c>
      <c r="S28" s="2"/>
      <c r="T28" s="7">
        <v>653.04</v>
      </c>
      <c r="U28" s="2"/>
      <c r="V28" s="6">
        <f t="shared" si="19"/>
        <v>2.5114991154526572E-2</v>
      </c>
      <c r="W28" s="2"/>
      <c r="X28" s="7">
        <f t="shared" si="20"/>
        <v>-276.01</v>
      </c>
      <c r="Y28" s="2"/>
      <c r="Z28" s="6">
        <f t="shared" si="21"/>
        <v>-0.42265404875658458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269.38</v>
      </c>
      <c r="I29" s="2"/>
      <c r="J29" s="6">
        <f t="shared" si="15"/>
        <v>1.3352559009160615E-2</v>
      </c>
      <c r="K29" s="2"/>
      <c r="L29" s="7">
        <f t="shared" si="16"/>
        <v>-269.38</v>
      </c>
      <c r="M29" s="2"/>
      <c r="N29" s="6">
        <f t="shared" si="17"/>
        <v>-1</v>
      </c>
      <c r="O29" s="11"/>
      <c r="P29" s="7">
        <v>93.89</v>
      </c>
      <c r="Q29" s="2"/>
      <c r="R29" s="6">
        <f t="shared" si="18"/>
        <v>0</v>
      </c>
      <c r="S29" s="2"/>
      <c r="T29" s="7">
        <v>622.85</v>
      </c>
      <c r="U29" s="2"/>
      <c r="V29" s="6">
        <f t="shared" si="19"/>
        <v>2.3953926621029152E-2</v>
      </c>
      <c r="W29" s="2"/>
      <c r="X29" s="7">
        <f t="shared" si="20"/>
        <v>-528.96</v>
      </c>
      <c r="Y29" s="2"/>
      <c r="Z29" s="6">
        <f t="shared" si="21"/>
        <v>-0.84925744561290839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215.62</v>
      </c>
      <c r="I30" s="2"/>
      <c r="J30" s="6">
        <f t="shared" si="15"/>
        <v>1.0687797065688662E-2</v>
      </c>
      <c r="K30" s="2"/>
      <c r="L30" s="7">
        <f t="shared" si="16"/>
        <v>-215.62</v>
      </c>
      <c r="M30" s="2"/>
      <c r="N30" s="6">
        <f t="shared" si="17"/>
        <v>-1</v>
      </c>
      <c r="O30" s="11"/>
      <c r="P30" s="7">
        <v>112.49</v>
      </c>
      <c r="Q30" s="2"/>
      <c r="R30" s="6">
        <f t="shared" si="18"/>
        <v>0</v>
      </c>
      <c r="S30" s="2"/>
      <c r="T30" s="7">
        <v>765.13</v>
      </c>
      <c r="U30" s="2"/>
      <c r="V30" s="6">
        <f t="shared" si="19"/>
        <v>2.9425813398969311E-2</v>
      </c>
      <c r="W30" s="2"/>
      <c r="X30" s="7">
        <f t="shared" si="20"/>
        <v>-652.64</v>
      </c>
      <c r="Y30" s="2"/>
      <c r="Z30" s="6">
        <f t="shared" si="21"/>
        <v>-0.85297923228732375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157.49</v>
      </c>
      <c r="I31" s="2"/>
      <c r="J31" s="6">
        <f t="shared" si="15"/>
        <v>7.8064240788206455E-3</v>
      </c>
      <c r="K31" s="2"/>
      <c r="L31" s="7">
        <f t="shared" si="16"/>
        <v>-157.49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254.38</v>
      </c>
      <c r="U31" s="2"/>
      <c r="V31" s="6">
        <f t="shared" si="19"/>
        <v>9.7830936081839855E-3</v>
      </c>
      <c r="W31" s="2"/>
      <c r="X31" s="7">
        <f t="shared" si="20"/>
        <v>-254.38</v>
      </c>
      <c r="Y31" s="2"/>
      <c r="Z31" s="6">
        <f t="shared" si="21"/>
        <v>-1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5" si="22">IF(D$12=0,0,D32/D$12)</f>
        <v>0</v>
      </c>
      <c r="G32" s="1"/>
      <c r="H32" s="1">
        <f>SUM(OSRRefH22_1x_0)</f>
        <v>10796.89</v>
      </c>
      <c r="I32" s="1"/>
      <c r="J32" s="5">
        <f t="shared" ref="J32:J35" si="23">IF(H$12=0,0,H32/H$12)</f>
        <v>0.53517748474428739</v>
      </c>
      <c r="K32" s="1"/>
      <c r="L32" s="1">
        <f t="shared" ref="L32:L35" si="24">+D32-H32</f>
        <v>-10796.89</v>
      </c>
      <c r="M32" s="1"/>
      <c r="N32" s="5">
        <f t="shared" ref="N32:N35" si="25">IF(H32=0,0,L32/H32)</f>
        <v>-1</v>
      </c>
      <c r="O32" s="14"/>
      <c r="P32" s="1">
        <f>SUM(OSRRefP22_1x_0)</f>
        <v>2259.48</v>
      </c>
      <c r="Q32" s="1"/>
      <c r="R32" s="5">
        <f t="shared" ref="R32:R35" si="26">IF(P$12=0,0,P32/P$12)</f>
        <v>0</v>
      </c>
      <c r="S32" s="1"/>
      <c r="T32" s="1">
        <f>SUM(OSRRefT22_1x_0)</f>
        <v>18710.59</v>
      </c>
      <c r="U32" s="1"/>
      <c r="V32" s="5">
        <f t="shared" ref="V32:V35" si="27">IF(T$12=0,0,T32/T$12)</f>
        <v>0.71958272440581494</v>
      </c>
      <c r="W32" s="1"/>
      <c r="X32" s="1">
        <f t="shared" ref="X32:X35" si="28">+P32-T32</f>
        <v>-16451.11</v>
      </c>
      <c r="Y32" s="1"/>
      <c r="Z32" s="5">
        <f t="shared" ref="Z32:Z35" si="29">IF(T32=0,0,X32/T32)</f>
        <v>-0.87924057979999559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4674.62</v>
      </c>
      <c r="I33" s="2"/>
      <c r="J33" s="6">
        <f t="shared" si="23"/>
        <v>0.23171036972084932</v>
      </c>
      <c r="K33" s="2"/>
      <c r="L33" s="7">
        <f t="shared" si="24"/>
        <v>-4674.62</v>
      </c>
      <c r="M33" s="2"/>
      <c r="N33" s="6">
        <f t="shared" si="25"/>
        <v>-1</v>
      </c>
      <c r="O33" s="11"/>
      <c r="P33" s="7">
        <v>2259.48</v>
      </c>
      <c r="Q33" s="2"/>
      <c r="R33" s="6">
        <f t="shared" si="26"/>
        <v>0</v>
      </c>
      <c r="S33" s="2"/>
      <c r="T33" s="7">
        <v>9583.32</v>
      </c>
      <c r="U33" s="2"/>
      <c r="V33" s="6">
        <f t="shared" si="27"/>
        <v>0.3685608799323129</v>
      </c>
      <c r="W33" s="2"/>
      <c r="X33" s="7">
        <f t="shared" si="28"/>
        <v>-7323.84</v>
      </c>
      <c r="Y33" s="2"/>
      <c r="Z33" s="6">
        <f t="shared" si="29"/>
        <v>-0.76422784588222037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1629.96</v>
      </c>
      <c r="I34" s="2"/>
      <c r="J34" s="6">
        <f t="shared" si="23"/>
        <v>8.0793440799507898E-2</v>
      </c>
      <c r="K34" s="2"/>
      <c r="L34" s="7">
        <f t="shared" si="24"/>
        <v>-1629.96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2637.96</v>
      </c>
      <c r="U34" s="2"/>
      <c r="V34" s="6">
        <f t="shared" si="27"/>
        <v>0.10145219598492423</v>
      </c>
      <c r="W34" s="2"/>
      <c r="X34" s="7">
        <f t="shared" si="28"/>
        <v>-2637.96</v>
      </c>
      <c r="Y34" s="2"/>
      <c r="Z34" s="6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2"/>
        <v>0</v>
      </c>
      <c r="G35" s="2"/>
      <c r="H35" s="7">
        <v>4492.3100000000004</v>
      </c>
      <c r="I35" s="2"/>
      <c r="J35" s="6">
        <f t="shared" si="23"/>
        <v>0.22267367422393025</v>
      </c>
      <c r="K35" s="2"/>
      <c r="L35" s="7">
        <f t="shared" si="24"/>
        <v>-4492.3100000000004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6489.31</v>
      </c>
      <c r="U35" s="2"/>
      <c r="V35" s="6">
        <f t="shared" si="27"/>
        <v>0.24956964848857782</v>
      </c>
      <c r="W35" s="2"/>
      <c r="X35" s="7">
        <f t="shared" si="28"/>
        <v>-6489.31</v>
      </c>
      <c r="Y35" s="2"/>
      <c r="Z35" s="6">
        <f t="shared" si="29"/>
        <v>-1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8" si="30">IF(D$12=0,0,D36/D$12)</f>
        <v>0</v>
      </c>
      <c r="G36" s="1"/>
      <c r="H36" s="1">
        <f>SUM(OSRRefH22_2x_0)</f>
        <v>541.04999999999995</v>
      </c>
      <c r="I36" s="1"/>
      <c r="J36" s="5">
        <f t="shared" ref="J36:J48" si="31">IF(H$12=0,0,H36/H$12)</f>
        <v>2.6818628153190104E-2</v>
      </c>
      <c r="K36" s="1"/>
      <c r="L36" s="1">
        <f t="shared" ref="L36:L48" si="32">+D36-H36</f>
        <v>-541.04999999999995</v>
      </c>
      <c r="M36" s="1"/>
      <c r="N36" s="5">
        <f t="shared" ref="N36:N48" si="33">IF(H36=0,0,L36/H36)</f>
        <v>-1</v>
      </c>
      <c r="O36" s="14"/>
      <c r="P36" s="1">
        <f>SUM(OSRRefP22_2x_0)</f>
        <v>0</v>
      </c>
      <c r="Q36" s="1"/>
      <c r="R36" s="5">
        <f t="shared" ref="R36:R48" si="34">IF(P$12=0,0,P36/P$12)</f>
        <v>0</v>
      </c>
      <c r="S36" s="1"/>
      <c r="T36" s="1">
        <f>SUM(OSRRefT22_2x_0)</f>
        <v>998.55</v>
      </c>
      <c r="U36" s="1"/>
      <c r="V36" s="5">
        <f t="shared" ref="V36:V48" si="35">IF(T$12=0,0,T36/T$12)</f>
        <v>3.8402815168063993E-2</v>
      </c>
      <c r="W36" s="1"/>
      <c r="X36" s="1">
        <f t="shared" ref="X36:X48" si="36">+P36-T36</f>
        <v>-998.55</v>
      </c>
      <c r="Y36" s="1"/>
      <c r="Z36" s="5">
        <f t="shared" ref="Z36:Z48" si="37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30"/>
        <v>0</v>
      </c>
      <c r="G37" s="2"/>
      <c r="H37" s="7">
        <v>541.04999999999995</v>
      </c>
      <c r="I37" s="2"/>
      <c r="J37" s="6">
        <f t="shared" si="31"/>
        <v>2.6818628153190104E-2</v>
      </c>
      <c r="K37" s="2"/>
      <c r="L37" s="7">
        <f t="shared" si="32"/>
        <v>-541.04999999999995</v>
      </c>
      <c r="M37" s="2"/>
      <c r="N37" s="6">
        <f t="shared" si="33"/>
        <v>-1</v>
      </c>
      <c r="O37" s="11"/>
      <c r="P37" s="7"/>
      <c r="Q37" s="2"/>
      <c r="R37" s="6">
        <f t="shared" si="34"/>
        <v>0</v>
      </c>
      <c r="S37" s="2"/>
      <c r="T37" s="7">
        <v>998.55</v>
      </c>
      <c r="U37" s="2"/>
      <c r="V37" s="6">
        <f t="shared" si="35"/>
        <v>3.8402815168063993E-2</v>
      </c>
      <c r="W37" s="2"/>
      <c r="X37" s="7">
        <f t="shared" si="36"/>
        <v>-998.55</v>
      </c>
      <c r="Y37" s="2"/>
      <c r="Z37" s="6">
        <f t="shared" si="37"/>
        <v>-1</v>
      </c>
    </row>
    <row r="38" spans="1:26" s="28" customFormat="1" outlineLevel="1" collapsed="1" x14ac:dyDescent="0.25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0</v>
      </c>
      <c r="E38" s="1"/>
      <c r="F38" s="5">
        <f t="shared" si="30"/>
        <v>0</v>
      </c>
      <c r="G38" s="1"/>
      <c r="H38" s="1">
        <f>SUM(OSRRefH22_3x_0)</f>
        <v>-6.63</v>
      </c>
      <c r="I38" s="1"/>
      <c r="J38" s="5">
        <f t="shared" si="31"/>
        <v>-3.2863414593041381E-4</v>
      </c>
      <c r="K38" s="1"/>
      <c r="L38" s="1">
        <f t="shared" si="32"/>
        <v>6.63</v>
      </c>
      <c r="M38" s="1"/>
      <c r="N38" s="5">
        <f t="shared" si="33"/>
        <v>-1</v>
      </c>
      <c r="O38" s="14"/>
      <c r="P38" s="1">
        <f>SUM(OSRRefP22_3x_0)</f>
        <v>0</v>
      </c>
      <c r="Q38" s="1"/>
      <c r="R38" s="5">
        <f t="shared" si="34"/>
        <v>0</v>
      </c>
      <c r="S38" s="1"/>
      <c r="T38" s="1">
        <f>SUM(OSRRefT22_3x_0)</f>
        <v>-6.82</v>
      </c>
      <c r="U38" s="1"/>
      <c r="V38" s="5">
        <f t="shared" si="35"/>
        <v>-2.6228751634489657E-4</v>
      </c>
      <c r="W38" s="1"/>
      <c r="X38" s="1">
        <f t="shared" si="36"/>
        <v>6.82</v>
      </c>
      <c r="Y38" s="1"/>
      <c r="Z38" s="5">
        <f t="shared" si="37"/>
        <v>-1</v>
      </c>
    </row>
    <row r="39" spans="1:26" s="24" customFormat="1" hidden="1" outlineLevel="2" x14ac:dyDescent="0.25">
      <c r="A39" s="29"/>
      <c r="B39" s="11" t="str">
        <f>CONCATENATE("          ", "6272", " - ", "CASH (OVER/SHORT)")</f>
        <v xml:space="preserve">          6272 - CASH (OVER/SHORT)</v>
      </c>
      <c r="C39" s="11"/>
      <c r="D39" s="7"/>
      <c r="E39" s="2"/>
      <c r="F39" s="6">
        <f t="shared" si="30"/>
        <v>0</v>
      </c>
      <c r="G39" s="2"/>
      <c r="H39" s="7">
        <v>-6.63</v>
      </c>
      <c r="I39" s="2"/>
      <c r="J39" s="6">
        <f t="shared" si="31"/>
        <v>-3.2863414593041381E-4</v>
      </c>
      <c r="K39" s="2"/>
      <c r="L39" s="7">
        <f t="shared" si="32"/>
        <v>6.63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-6.82</v>
      </c>
      <c r="U39" s="2"/>
      <c r="V39" s="6">
        <f t="shared" si="35"/>
        <v>-2.6228751634489657E-4</v>
      </c>
      <c r="W39" s="2"/>
      <c r="X39" s="7">
        <f t="shared" si="36"/>
        <v>6.82</v>
      </c>
      <c r="Y39" s="2"/>
      <c r="Z39" s="6">
        <f t="shared" si="37"/>
        <v>-1</v>
      </c>
    </row>
    <row r="40" spans="1:26" s="28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0</v>
      </c>
      <c r="E40" s="1"/>
      <c r="F40" s="5">
        <f t="shared" si="30"/>
        <v>0</v>
      </c>
      <c r="G40" s="1"/>
      <c r="H40" s="1">
        <f>SUM(OSRRefH22_4x_0)</f>
        <v>677.7</v>
      </c>
      <c r="I40" s="1"/>
      <c r="J40" s="5">
        <f t="shared" si="31"/>
        <v>3.3592060436959496E-2</v>
      </c>
      <c r="K40" s="1"/>
      <c r="L40" s="1">
        <f t="shared" si="32"/>
        <v>-677.7</v>
      </c>
      <c r="M40" s="1"/>
      <c r="N40" s="5">
        <f t="shared" si="33"/>
        <v>-1</v>
      </c>
      <c r="O40" s="14"/>
      <c r="P40" s="1">
        <f>SUM(OSRRefP22_4x_0)</f>
        <v>0</v>
      </c>
      <c r="Q40" s="1"/>
      <c r="R40" s="5">
        <f t="shared" si="34"/>
        <v>0</v>
      </c>
      <c r="S40" s="1"/>
      <c r="T40" s="1">
        <f>SUM(OSRRefT22_4x_0)</f>
        <v>810.2</v>
      </c>
      <c r="U40" s="1"/>
      <c r="V40" s="5">
        <f t="shared" si="35"/>
        <v>3.1159141604491965E-2</v>
      </c>
      <c r="W40" s="1"/>
      <c r="X40" s="1">
        <f t="shared" si="36"/>
        <v>-810.2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7"/>
      <c r="E41" s="2"/>
      <c r="F41" s="6">
        <f t="shared" si="30"/>
        <v>0</v>
      </c>
      <c r="G41" s="2"/>
      <c r="H41" s="7">
        <v>677.7</v>
      </c>
      <c r="I41" s="2"/>
      <c r="J41" s="6">
        <f t="shared" si="31"/>
        <v>3.3592060436959496E-2</v>
      </c>
      <c r="K41" s="2"/>
      <c r="L41" s="7">
        <f t="shared" si="32"/>
        <v>-677.7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810.2</v>
      </c>
      <c r="U41" s="2"/>
      <c r="V41" s="6">
        <f t="shared" si="35"/>
        <v>3.1159141604491965E-2</v>
      </c>
      <c r="W41" s="2"/>
      <c r="X41" s="7">
        <f t="shared" si="36"/>
        <v>-810.2</v>
      </c>
      <c r="Y41" s="2"/>
      <c r="Z41" s="6">
        <f t="shared" si="37"/>
        <v>-1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58.03</v>
      </c>
      <c r="E42" s="1"/>
      <c r="F42" s="5">
        <f t="shared" si="30"/>
        <v>0</v>
      </c>
      <c r="G42" s="1"/>
      <c r="H42" s="1">
        <f>SUM(OSRRefH22_5x_0)</f>
        <v>630.21</v>
      </c>
      <c r="I42" s="1"/>
      <c r="J42" s="5">
        <f t="shared" si="31"/>
        <v>3.1238088251403638E-2</v>
      </c>
      <c r="K42" s="1"/>
      <c r="L42" s="1">
        <f t="shared" si="32"/>
        <v>-572.18000000000006</v>
      </c>
      <c r="M42" s="1"/>
      <c r="N42" s="5">
        <f t="shared" si="33"/>
        <v>-0.90791958236143511</v>
      </c>
      <c r="O42" s="14"/>
      <c r="P42" s="1">
        <f>SUM(OSRRefP22_5x_0)</f>
        <v>116.06</v>
      </c>
      <c r="Q42" s="1"/>
      <c r="R42" s="5">
        <f t="shared" si="34"/>
        <v>0</v>
      </c>
      <c r="S42" s="1"/>
      <c r="T42" s="1">
        <f>SUM(OSRRefT22_5x_0)</f>
        <v>1260.42</v>
      </c>
      <c r="U42" s="1"/>
      <c r="V42" s="5">
        <f t="shared" si="35"/>
        <v>4.8473963541266062E-2</v>
      </c>
      <c r="W42" s="1"/>
      <c r="X42" s="1">
        <f t="shared" si="36"/>
        <v>-1144.3600000000001</v>
      </c>
      <c r="Y42" s="1"/>
      <c r="Z42" s="5">
        <f t="shared" si="37"/>
        <v>-0.90791958236143511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58.03</v>
      </c>
      <c r="E43" s="2"/>
      <c r="F43" s="6">
        <f t="shared" si="30"/>
        <v>0</v>
      </c>
      <c r="G43" s="2"/>
      <c r="H43" s="7">
        <v>630.21</v>
      </c>
      <c r="I43" s="2"/>
      <c r="J43" s="6">
        <f t="shared" si="31"/>
        <v>3.1238088251403638E-2</v>
      </c>
      <c r="K43" s="2"/>
      <c r="L43" s="7">
        <f t="shared" si="32"/>
        <v>-572.18000000000006</v>
      </c>
      <c r="M43" s="2"/>
      <c r="N43" s="6">
        <f t="shared" si="33"/>
        <v>-0.90791958236143511</v>
      </c>
      <c r="O43" s="11"/>
      <c r="P43" s="7">
        <v>116.06</v>
      </c>
      <c r="Q43" s="2"/>
      <c r="R43" s="6">
        <f t="shared" si="34"/>
        <v>0</v>
      </c>
      <c r="S43" s="2"/>
      <c r="T43" s="7">
        <v>1260.42</v>
      </c>
      <c r="U43" s="2"/>
      <c r="V43" s="6">
        <f t="shared" si="35"/>
        <v>4.8473963541266062E-2</v>
      </c>
      <c r="W43" s="2"/>
      <c r="X43" s="7">
        <f t="shared" si="36"/>
        <v>-1144.3600000000001</v>
      </c>
      <c r="Y43" s="2"/>
      <c r="Z43" s="6">
        <f t="shared" si="37"/>
        <v>-0.90791958236143511</v>
      </c>
    </row>
    <row r="44" spans="1:26" s="28" customFormat="1" outlineLevel="1" collapsed="1" x14ac:dyDescent="0.25">
      <c r="A44" s="27"/>
      <c r="B44" s="14" t="str">
        <f>CONCATENATE("     ","General                                           ")</f>
        <v xml:space="preserve">     General                                           </v>
      </c>
      <c r="C44" s="14"/>
      <c r="D44" s="1">
        <f>SUM(OSRRefD22_6x_0)</f>
        <v>0</v>
      </c>
      <c r="E44" s="1"/>
      <c r="F44" s="5">
        <f t="shared" si="30"/>
        <v>0</v>
      </c>
      <c r="G44" s="1"/>
      <c r="H44" s="1">
        <f>SUM(OSRRefH22_6x_0)</f>
        <v>0</v>
      </c>
      <c r="I44" s="1"/>
      <c r="J44" s="5">
        <f t="shared" si="31"/>
        <v>0</v>
      </c>
      <c r="K44" s="1"/>
      <c r="L44" s="1">
        <f t="shared" si="32"/>
        <v>0</v>
      </c>
      <c r="M44" s="1"/>
      <c r="N44" s="5">
        <f t="shared" si="33"/>
        <v>0</v>
      </c>
      <c r="O44" s="14"/>
      <c r="P44" s="1">
        <f>SUM(OSRRefP22_6x_0)</f>
        <v>0</v>
      </c>
      <c r="Q44" s="1"/>
      <c r="R44" s="5">
        <f t="shared" si="34"/>
        <v>0</v>
      </c>
      <c r="S44" s="1"/>
      <c r="T44" s="1">
        <f>SUM(OSRRefT22_6x_0)</f>
        <v>749.55</v>
      </c>
      <c r="U44" s="1"/>
      <c r="V44" s="5">
        <f t="shared" si="35"/>
        <v>2.8826628720867623E-2</v>
      </c>
      <c r="W44" s="1"/>
      <c r="X44" s="1">
        <f t="shared" si="36"/>
        <v>-749.55</v>
      </c>
      <c r="Y44" s="1"/>
      <c r="Z44" s="5">
        <f t="shared" si="37"/>
        <v>-1</v>
      </c>
    </row>
    <row r="45" spans="1:26" s="24" customFormat="1" hidden="1" outlineLevel="2" x14ac:dyDescent="0.25">
      <c r="A45" s="29"/>
      <c r="B45" s="11" t="str">
        <f>CONCATENATE("          ", "6279", " - ", "GENERAL EXPENSE")</f>
        <v xml:space="preserve">          6279 - GENERAL EXPENSE</v>
      </c>
      <c r="C45" s="11"/>
      <c r="D45" s="7"/>
      <c r="E45" s="2"/>
      <c r="F45" s="6">
        <f t="shared" si="30"/>
        <v>0</v>
      </c>
      <c r="G45" s="2"/>
      <c r="H45" s="7"/>
      <c r="I45" s="2"/>
      <c r="J45" s="6">
        <f t="shared" si="31"/>
        <v>0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/>
      <c r="Q45" s="2"/>
      <c r="R45" s="6">
        <f t="shared" si="34"/>
        <v>0</v>
      </c>
      <c r="S45" s="2"/>
      <c r="T45" s="7">
        <v>749.55</v>
      </c>
      <c r="U45" s="2"/>
      <c r="V45" s="6">
        <f t="shared" si="35"/>
        <v>2.8826628720867623E-2</v>
      </c>
      <c r="W45" s="2"/>
      <c r="X45" s="7">
        <f t="shared" si="36"/>
        <v>-749.55</v>
      </c>
      <c r="Y45" s="2"/>
      <c r="Z45" s="6">
        <f t="shared" si="37"/>
        <v>-1</v>
      </c>
    </row>
    <row r="46" spans="1:26" s="28" customFormat="1" outlineLevel="1" collapsed="1" x14ac:dyDescent="0.25">
      <c r="A46" s="27"/>
      <c r="B46" s="14" t="str">
        <f>CONCATENATE("     ","Repair and Maintenance                            ")</f>
        <v xml:space="preserve">     Repair and Maintenance                            </v>
      </c>
      <c r="C46" s="14"/>
      <c r="D46" s="1">
        <f>SUM(OSRRefD22_7x_0)</f>
        <v>78.599999999999994</v>
      </c>
      <c r="E46" s="1"/>
      <c r="F46" s="5">
        <f t="shared" si="30"/>
        <v>0</v>
      </c>
      <c r="G46" s="1"/>
      <c r="H46" s="1">
        <f>SUM(OSRRefH22_7x_0)</f>
        <v>1145.23</v>
      </c>
      <c r="I46" s="1"/>
      <c r="J46" s="5">
        <f t="shared" si="31"/>
        <v>5.6766468015669355E-2</v>
      </c>
      <c r="K46" s="1"/>
      <c r="L46" s="1">
        <f t="shared" si="32"/>
        <v>-1066.6300000000001</v>
      </c>
      <c r="M46" s="1"/>
      <c r="N46" s="5">
        <f t="shared" si="33"/>
        <v>-0.93136749823179632</v>
      </c>
      <c r="O46" s="14"/>
      <c r="P46" s="1">
        <f>SUM(OSRRefP22_7x_0)</f>
        <v>78.599999999999994</v>
      </c>
      <c r="Q46" s="1"/>
      <c r="R46" s="5">
        <f t="shared" si="34"/>
        <v>0</v>
      </c>
      <c r="S46" s="1"/>
      <c r="T46" s="1">
        <f>SUM(OSRRefT22_7x_0)</f>
        <v>3964.44</v>
      </c>
      <c r="U46" s="1"/>
      <c r="V46" s="5">
        <f t="shared" si="35"/>
        <v>0.15246673332820551</v>
      </c>
      <c r="W46" s="1"/>
      <c r="X46" s="1">
        <f t="shared" si="36"/>
        <v>-3885.84</v>
      </c>
      <c r="Y46" s="1"/>
      <c r="Z46" s="5">
        <f t="shared" si="37"/>
        <v>-0.98017374458939976</v>
      </c>
    </row>
    <row r="47" spans="1:26" s="24" customFormat="1" hidden="1" outlineLevel="2" x14ac:dyDescent="0.25">
      <c r="A47" s="29"/>
      <c r="B47" s="11" t="str">
        <f>CONCATENATE("          ", "6373", " - ", "MAINTENANCE CONTRACTS")</f>
        <v xml:space="preserve">          6373 - MAINTENANCE CONTRACTS</v>
      </c>
      <c r="C47" s="11"/>
      <c r="D47" s="7">
        <v>78.599999999999994</v>
      </c>
      <c r="E47" s="2"/>
      <c r="F47" s="6">
        <f t="shared" si="30"/>
        <v>0</v>
      </c>
      <c r="G47" s="2"/>
      <c r="H47" s="7"/>
      <c r="I47" s="2"/>
      <c r="J47" s="6">
        <f t="shared" si="31"/>
        <v>0</v>
      </c>
      <c r="K47" s="2"/>
      <c r="L47" s="7">
        <f t="shared" si="32"/>
        <v>78.599999999999994</v>
      </c>
      <c r="M47" s="2"/>
      <c r="N47" s="6">
        <f t="shared" si="33"/>
        <v>0</v>
      </c>
      <c r="O47" s="11"/>
      <c r="P47" s="7">
        <v>78.599999999999994</v>
      </c>
      <c r="Q47" s="2"/>
      <c r="R47" s="6">
        <f t="shared" si="34"/>
        <v>0</v>
      </c>
      <c r="S47" s="2"/>
      <c r="T47" s="7"/>
      <c r="U47" s="2"/>
      <c r="V47" s="6">
        <f t="shared" si="35"/>
        <v>0</v>
      </c>
      <c r="W47" s="2"/>
      <c r="X47" s="7">
        <f t="shared" si="36"/>
        <v>78.599999999999994</v>
      </c>
      <c r="Y47" s="2"/>
      <c r="Z47" s="6">
        <f t="shared" si="37"/>
        <v>0</v>
      </c>
    </row>
    <row r="48" spans="1:26" s="24" customFormat="1" hidden="1" outlineLevel="2" x14ac:dyDescent="0.25">
      <c r="A48" s="29"/>
      <c r="B48" s="11" t="str">
        <f>CONCATENATE("          ", "6375", " - ", "OUTSIDE REPAIRS &amp; MAINTENANCE")</f>
        <v xml:space="preserve">          6375 - OUTSIDE REPAIRS &amp; MAINTENANCE</v>
      </c>
      <c r="C48" s="11"/>
      <c r="D48" s="7"/>
      <c r="E48" s="2"/>
      <c r="F48" s="6">
        <f t="shared" si="30"/>
        <v>0</v>
      </c>
      <c r="G48" s="2"/>
      <c r="H48" s="7">
        <v>1145.23</v>
      </c>
      <c r="I48" s="2"/>
      <c r="J48" s="6">
        <f t="shared" si="31"/>
        <v>5.6766468015669355E-2</v>
      </c>
      <c r="K48" s="2"/>
      <c r="L48" s="7">
        <f t="shared" si="32"/>
        <v>-1145.23</v>
      </c>
      <c r="M48" s="2"/>
      <c r="N48" s="6">
        <f t="shared" si="33"/>
        <v>-1</v>
      </c>
      <c r="O48" s="11"/>
      <c r="P48" s="7"/>
      <c r="Q48" s="2"/>
      <c r="R48" s="6">
        <f t="shared" si="34"/>
        <v>0</v>
      </c>
      <c r="S48" s="2"/>
      <c r="T48" s="7">
        <v>3964.44</v>
      </c>
      <c r="U48" s="2"/>
      <c r="V48" s="6">
        <f t="shared" si="35"/>
        <v>0.15246673332820551</v>
      </c>
      <c r="W48" s="2"/>
      <c r="X48" s="7">
        <f t="shared" si="36"/>
        <v>-3964.44</v>
      </c>
      <c r="Y48" s="2"/>
      <c r="Z48" s="6">
        <f t="shared" si="37"/>
        <v>-1</v>
      </c>
    </row>
    <row r="49" spans="1:26" s="28" customFormat="1" outlineLevel="1" collapsed="1" x14ac:dyDescent="0.25">
      <c r="A49" s="27"/>
      <c r="B49" s="14" t="str">
        <f>CONCATENATE("     ","Services                                          ")</f>
        <v xml:space="preserve">     Services                                          </v>
      </c>
      <c r="C49" s="14"/>
      <c r="D49" s="1">
        <f>SUM(OSRRefD22_8x_0)</f>
        <v>0</v>
      </c>
      <c r="E49" s="1"/>
      <c r="F49" s="5">
        <f t="shared" ref="F49:F51" si="38">IF(D$12=0,0,D49/D$12)</f>
        <v>0</v>
      </c>
      <c r="G49" s="1"/>
      <c r="H49" s="1">
        <f>SUM(OSRRefH22_8x_0)</f>
        <v>60.72</v>
      </c>
      <c r="I49" s="1"/>
      <c r="J49" s="5">
        <f t="shared" ref="J49:J51" si="39">IF(H$12=0,0,H49/H$12)</f>
        <v>3.0097534450821608E-3</v>
      </c>
      <c r="K49" s="1"/>
      <c r="L49" s="1">
        <f t="shared" ref="L49:L51" si="40">+D49-H49</f>
        <v>-60.72</v>
      </c>
      <c r="M49" s="1"/>
      <c r="N49" s="5">
        <f t="shared" ref="N49:N51" si="41">IF(H49=0,0,L49/H49)</f>
        <v>-1</v>
      </c>
      <c r="O49" s="14"/>
      <c r="P49" s="1">
        <f>SUM(OSRRefP22_8x_0)</f>
        <v>286.62</v>
      </c>
      <c r="Q49" s="1"/>
      <c r="R49" s="5">
        <f t="shared" ref="R49:R51" si="42">IF(P$12=0,0,P49/P$12)</f>
        <v>0</v>
      </c>
      <c r="S49" s="1"/>
      <c r="T49" s="1">
        <f>SUM(OSRRefT22_8x_0)</f>
        <v>67.22</v>
      </c>
      <c r="U49" s="1"/>
      <c r="V49" s="5">
        <f t="shared" ref="V49:V51" si="43">IF(T$12=0,0,T49/T$12)</f>
        <v>2.5851857549419274E-3</v>
      </c>
      <c r="W49" s="1"/>
      <c r="X49" s="1">
        <f t="shared" ref="X49:X51" si="44">+P49-T49</f>
        <v>219.4</v>
      </c>
      <c r="Y49" s="1"/>
      <c r="Z49" s="5">
        <f t="shared" ref="Z49:Z51" si="45">IF(T49=0,0,X49/T49)</f>
        <v>3.2639095507289499</v>
      </c>
    </row>
    <row r="50" spans="1:26" s="24" customFormat="1" hidden="1" outlineLevel="2" x14ac:dyDescent="0.25">
      <c r="A50" s="29"/>
      <c r="B50" s="11" t="str">
        <f>CONCATENATE("          ", "6282", " - ", "JANITORIAL/EXTERMINATOR EXPENS")</f>
        <v xml:space="preserve">          6282 - JANITORIAL/EXTERMINATOR EXPENS</v>
      </c>
      <c r="C50" s="11"/>
      <c r="D50" s="7"/>
      <c r="E50" s="2"/>
      <c r="F50" s="6">
        <f t="shared" si="38"/>
        <v>0</v>
      </c>
      <c r="G50" s="2"/>
      <c r="H50" s="7"/>
      <c r="I50" s="2"/>
      <c r="J50" s="6">
        <f t="shared" si="39"/>
        <v>0</v>
      </c>
      <c r="K50" s="2"/>
      <c r="L50" s="7">
        <f t="shared" si="40"/>
        <v>0</v>
      </c>
      <c r="M50" s="2"/>
      <c r="N50" s="6">
        <f t="shared" si="41"/>
        <v>0</v>
      </c>
      <c r="O50" s="11"/>
      <c r="P50" s="7">
        <v>286.62</v>
      </c>
      <c r="Q50" s="2"/>
      <c r="R50" s="6">
        <f t="shared" si="42"/>
        <v>0</v>
      </c>
      <c r="S50" s="2"/>
      <c r="T50" s="7"/>
      <c r="U50" s="2"/>
      <c r="V50" s="6">
        <f t="shared" si="43"/>
        <v>0</v>
      </c>
      <c r="W50" s="2"/>
      <c r="X50" s="7">
        <f t="shared" si="44"/>
        <v>286.62</v>
      </c>
      <c r="Y50" s="2"/>
      <c r="Z50" s="6">
        <f t="shared" si="45"/>
        <v>0</v>
      </c>
    </row>
    <row r="51" spans="1:26" s="24" customFormat="1" hidden="1" outlineLevel="2" x14ac:dyDescent="0.25">
      <c r="A51" s="29"/>
      <c r="B51" s="11" t="str">
        <f>CONCATENATE("          ", "6286", " - ", "LAUNDRY EXPENSE")</f>
        <v xml:space="preserve">          6286 - LAUNDRY EXPENSE</v>
      </c>
      <c r="C51" s="11"/>
      <c r="D51" s="7"/>
      <c r="E51" s="2"/>
      <c r="F51" s="6">
        <f t="shared" si="38"/>
        <v>0</v>
      </c>
      <c r="G51" s="2"/>
      <c r="H51" s="7">
        <v>60.72</v>
      </c>
      <c r="I51" s="2"/>
      <c r="J51" s="6">
        <f t="shared" si="39"/>
        <v>3.0097534450821608E-3</v>
      </c>
      <c r="K51" s="2"/>
      <c r="L51" s="7">
        <f t="shared" si="40"/>
        <v>-60.72</v>
      </c>
      <c r="M51" s="2"/>
      <c r="N51" s="6">
        <f t="shared" si="41"/>
        <v>-1</v>
      </c>
      <c r="O51" s="11"/>
      <c r="P51" s="7"/>
      <c r="Q51" s="2"/>
      <c r="R51" s="6">
        <f t="shared" si="42"/>
        <v>0</v>
      </c>
      <c r="S51" s="2"/>
      <c r="T51" s="7">
        <v>67.22</v>
      </c>
      <c r="U51" s="2"/>
      <c r="V51" s="6">
        <f t="shared" si="43"/>
        <v>2.5851857549419274E-3</v>
      </c>
      <c r="W51" s="2"/>
      <c r="X51" s="7">
        <f t="shared" si="44"/>
        <v>-67.22</v>
      </c>
      <c r="Y51" s="2"/>
      <c r="Z51" s="6">
        <f t="shared" si="45"/>
        <v>-1</v>
      </c>
    </row>
    <row r="52" spans="1:26" s="28" customFormat="1" outlineLevel="1" collapsed="1" x14ac:dyDescent="0.25">
      <c r="A52" s="27"/>
      <c r="B52" s="14" t="str">
        <f>CONCATENATE("     ","Supplies                                          ")</f>
        <v xml:space="preserve">     Supplies                                          </v>
      </c>
      <c r="C52" s="14"/>
      <c r="D52" s="1">
        <f>SUM(OSRRefD22_9x_0)</f>
        <v>0</v>
      </c>
      <c r="E52" s="1"/>
      <c r="F52" s="5">
        <f t="shared" ref="F52:F56" si="46">IF(D$12=0,0,D52/D$12)</f>
        <v>0</v>
      </c>
      <c r="G52" s="1"/>
      <c r="H52" s="1">
        <f>SUM(OSRRefH22_9x_0)</f>
        <v>952.7</v>
      </c>
      <c r="I52" s="1"/>
      <c r="J52" s="5">
        <f t="shared" ref="J52:J56" si="47">IF(H$12=0,0,H52/H$12)</f>
        <v>4.7223190170121457E-2</v>
      </c>
      <c r="K52" s="1"/>
      <c r="L52" s="1">
        <f t="shared" ref="L52:L56" si="48">+D52-H52</f>
        <v>-952.7</v>
      </c>
      <c r="M52" s="1"/>
      <c r="N52" s="5">
        <f t="shared" ref="N52:N56" si="49">IF(H52=0,0,L52/H52)</f>
        <v>-1</v>
      </c>
      <c r="O52" s="14"/>
      <c r="P52" s="1">
        <f>SUM(OSRRefP22_9x_0)</f>
        <v>0</v>
      </c>
      <c r="Q52" s="1"/>
      <c r="R52" s="5">
        <f t="shared" ref="R52:R56" si="50">IF(P$12=0,0,P52/P$12)</f>
        <v>0</v>
      </c>
      <c r="S52" s="1"/>
      <c r="T52" s="1">
        <f>SUM(OSRRefT22_9x_0)</f>
        <v>1536.17</v>
      </c>
      <c r="U52" s="1"/>
      <c r="V52" s="5">
        <f t="shared" ref="V52:V56" si="51">IF(T$12=0,0,T52/T$12)</f>
        <v>5.9078917006384124E-2</v>
      </c>
      <c r="W52" s="1"/>
      <c r="X52" s="1">
        <f t="shared" ref="X52:X56" si="52">+P52-T52</f>
        <v>-1536.17</v>
      </c>
      <c r="Y52" s="1"/>
      <c r="Z52" s="5">
        <f t="shared" ref="Z52:Z56" si="53">IF(T52=0,0,X52/T52)</f>
        <v>-1</v>
      </c>
    </row>
    <row r="53" spans="1:26" s="24" customFormat="1" hidden="1" outlineLevel="2" x14ac:dyDescent="0.25">
      <c r="A53" s="29"/>
      <c r="B53" s="11" t="str">
        <f>CONCATENATE("          ", "6239", " - ", "KITCHEN SUPPLIES")</f>
        <v xml:space="preserve">          6239 - KITCHEN SUPPLIES</v>
      </c>
      <c r="C53" s="11"/>
      <c r="D53" s="7"/>
      <c r="E53" s="2"/>
      <c r="F53" s="6">
        <f t="shared" si="46"/>
        <v>0</v>
      </c>
      <c r="G53" s="2"/>
      <c r="H53" s="7"/>
      <c r="I53" s="2"/>
      <c r="J53" s="6">
        <f t="shared" si="47"/>
        <v>0</v>
      </c>
      <c r="K53" s="2"/>
      <c r="L53" s="7">
        <f t="shared" si="48"/>
        <v>0</v>
      </c>
      <c r="M53" s="2"/>
      <c r="N53" s="6">
        <f t="shared" si="49"/>
        <v>0</v>
      </c>
      <c r="O53" s="11"/>
      <c r="P53" s="7"/>
      <c r="Q53" s="2"/>
      <c r="R53" s="6">
        <f t="shared" si="50"/>
        <v>0</v>
      </c>
      <c r="S53" s="2"/>
      <c r="T53" s="7">
        <v>540.89</v>
      </c>
      <c r="U53" s="2"/>
      <c r="V53" s="6">
        <f t="shared" si="51"/>
        <v>2.0801861395277284E-2</v>
      </c>
      <c r="W53" s="2"/>
      <c r="X53" s="7">
        <f t="shared" si="52"/>
        <v>-540.89</v>
      </c>
      <c r="Y53" s="2"/>
      <c r="Z53" s="6">
        <f t="shared" si="53"/>
        <v>-1</v>
      </c>
    </row>
    <row r="54" spans="1:26" s="24" customFormat="1" hidden="1" outlineLevel="2" x14ac:dyDescent="0.25">
      <c r="A54" s="29"/>
      <c r="B54" s="11" t="str">
        <f>CONCATENATE("          ", "6241", " - ", "OFFICE EXPENSE")</f>
        <v xml:space="preserve">          6241 - OFFICE EXPENSE</v>
      </c>
      <c r="C54" s="11"/>
      <c r="D54" s="7"/>
      <c r="E54" s="2"/>
      <c r="F54" s="6">
        <f t="shared" si="46"/>
        <v>0</v>
      </c>
      <c r="G54" s="2"/>
      <c r="H54" s="7">
        <v>105.78</v>
      </c>
      <c r="I54" s="2"/>
      <c r="J54" s="6">
        <f t="shared" si="47"/>
        <v>5.2432760115413536E-3</v>
      </c>
      <c r="K54" s="2"/>
      <c r="L54" s="7">
        <f t="shared" si="48"/>
        <v>-105.78</v>
      </c>
      <c r="M54" s="2"/>
      <c r="N54" s="6">
        <f t="shared" si="49"/>
        <v>-1</v>
      </c>
      <c r="O54" s="11"/>
      <c r="P54" s="7"/>
      <c r="Q54" s="2"/>
      <c r="R54" s="6">
        <f t="shared" si="50"/>
        <v>0</v>
      </c>
      <c r="S54" s="2"/>
      <c r="T54" s="7">
        <v>105.78</v>
      </c>
      <c r="U54" s="2"/>
      <c r="V54" s="6">
        <f t="shared" si="51"/>
        <v>4.0681486039535423E-3</v>
      </c>
      <c r="W54" s="2"/>
      <c r="X54" s="7">
        <f t="shared" si="52"/>
        <v>-105.78</v>
      </c>
      <c r="Y54" s="2"/>
      <c r="Z54" s="6">
        <f t="shared" si="53"/>
        <v>-1</v>
      </c>
    </row>
    <row r="55" spans="1:26" s="24" customFormat="1" hidden="1" outlineLevel="2" x14ac:dyDescent="0.25">
      <c r="A55" s="29"/>
      <c r="B55" s="11" t="str">
        <f>CONCATENATE("          ", "6243", " - ", "PAPER SUPPLIES")</f>
        <v xml:space="preserve">          6243 - PAPER SUPPLIES</v>
      </c>
      <c r="C55" s="11"/>
      <c r="D55" s="7"/>
      <c r="E55" s="2"/>
      <c r="F55" s="6">
        <f t="shared" si="46"/>
        <v>0</v>
      </c>
      <c r="G55" s="2"/>
      <c r="H55" s="7">
        <v>151.68</v>
      </c>
      <c r="I55" s="2"/>
      <c r="J55" s="6">
        <f t="shared" si="47"/>
        <v>7.5184354833672962E-3</v>
      </c>
      <c r="K55" s="2"/>
      <c r="L55" s="7">
        <f t="shared" si="48"/>
        <v>-151.68</v>
      </c>
      <c r="M55" s="2"/>
      <c r="N55" s="6">
        <f t="shared" si="49"/>
        <v>-1</v>
      </c>
      <c r="O55" s="11"/>
      <c r="P55" s="7"/>
      <c r="Q55" s="2"/>
      <c r="R55" s="6">
        <f t="shared" si="50"/>
        <v>0</v>
      </c>
      <c r="S55" s="2"/>
      <c r="T55" s="7">
        <v>194.26</v>
      </c>
      <c r="U55" s="2"/>
      <c r="V55" s="6">
        <f t="shared" si="51"/>
        <v>7.4709637720175364E-3</v>
      </c>
      <c r="W55" s="2"/>
      <c r="X55" s="7">
        <f t="shared" si="52"/>
        <v>-194.26</v>
      </c>
      <c r="Y55" s="2"/>
      <c r="Z55" s="6">
        <f t="shared" si="53"/>
        <v>-1</v>
      </c>
    </row>
    <row r="56" spans="1:26" s="24" customFormat="1" hidden="1" outlineLevel="2" x14ac:dyDescent="0.25">
      <c r="A56" s="29"/>
      <c r="B56" s="11" t="str">
        <f>CONCATENATE("          ", "6248", " - ", "UNIFORMS")</f>
        <v xml:space="preserve">          6248 - UNIFORMS</v>
      </c>
      <c r="C56" s="11"/>
      <c r="D56" s="7"/>
      <c r="E56" s="2"/>
      <c r="F56" s="6">
        <f t="shared" si="46"/>
        <v>0</v>
      </c>
      <c r="G56" s="2"/>
      <c r="H56" s="7">
        <v>695.24</v>
      </c>
      <c r="I56" s="2"/>
      <c r="J56" s="6">
        <f t="shared" si="47"/>
        <v>3.4461478675212806E-2</v>
      </c>
      <c r="K56" s="2"/>
      <c r="L56" s="7">
        <f t="shared" si="48"/>
        <v>-695.24</v>
      </c>
      <c r="M56" s="2"/>
      <c r="N56" s="6">
        <f t="shared" si="49"/>
        <v>-1</v>
      </c>
      <c r="O56" s="11"/>
      <c r="P56" s="7"/>
      <c r="Q56" s="2"/>
      <c r="R56" s="6">
        <f t="shared" si="50"/>
        <v>0</v>
      </c>
      <c r="S56" s="2"/>
      <c r="T56" s="7">
        <v>695.24</v>
      </c>
      <c r="U56" s="2"/>
      <c r="V56" s="6">
        <f t="shared" si="51"/>
        <v>2.6737943235135758E-2</v>
      </c>
      <c r="W56" s="2"/>
      <c r="X56" s="7">
        <f t="shared" si="52"/>
        <v>-695.24</v>
      </c>
      <c r="Y56" s="2"/>
      <c r="Z56" s="6">
        <f t="shared" si="53"/>
        <v>-1</v>
      </c>
    </row>
    <row r="57" spans="1:26" s="28" customFormat="1" outlineLevel="1" collapsed="1" x14ac:dyDescent="0.25">
      <c r="A57" s="27"/>
      <c r="B57" s="14" t="str">
        <f>CONCATENATE("     ","Telephone/Data Lines                              ")</f>
        <v xml:space="preserve">     Telephone/Data Lines                              </v>
      </c>
      <c r="C57" s="14"/>
      <c r="D57" s="1">
        <f>SUM(OSRRefD22_10x_0)</f>
        <v>21</v>
      </c>
      <c r="E57" s="1"/>
      <c r="F57" s="5">
        <f t="shared" ref="F57:F58" si="54">IF(D$12=0,0,D57/D$12)</f>
        <v>0</v>
      </c>
      <c r="G57" s="1"/>
      <c r="H57" s="1">
        <f>SUM(OSRRefH22_10x_0)</f>
        <v>71</v>
      </c>
      <c r="I57" s="1"/>
      <c r="J57" s="5">
        <f t="shared" ref="J57:J58" si="55">IF(H$12=0,0,H57/H$12)</f>
        <v>3.5193098583799973E-3</v>
      </c>
      <c r="K57" s="1"/>
      <c r="L57" s="1">
        <f t="shared" ref="L57:L58" si="56">+D57-H57</f>
        <v>-50</v>
      </c>
      <c r="M57" s="1"/>
      <c r="N57" s="5">
        <f t="shared" ref="N57:N58" si="57">IF(H57=0,0,L57/H57)</f>
        <v>-0.70422535211267601</v>
      </c>
      <c r="O57" s="14"/>
      <c r="P57" s="1">
        <f>SUM(OSRRefP22_10x_0)</f>
        <v>42</v>
      </c>
      <c r="Q57" s="1"/>
      <c r="R57" s="5">
        <f t="shared" ref="R57:R58" si="58">IF(P$12=0,0,P57/P$12)</f>
        <v>0</v>
      </c>
      <c r="S57" s="1"/>
      <c r="T57" s="1">
        <f>SUM(OSRRefT22_10x_0)</f>
        <v>68</v>
      </c>
      <c r="U57" s="1"/>
      <c r="V57" s="5">
        <f t="shared" ref="V57:V58" si="59">IF(T$12=0,0,T57/T$12)</f>
        <v>2.6151834474271211E-3</v>
      </c>
      <c r="W57" s="1"/>
      <c r="X57" s="1">
        <f t="shared" ref="X57:X58" si="60">+P57-T57</f>
        <v>-26</v>
      </c>
      <c r="Y57" s="1"/>
      <c r="Z57" s="5">
        <f t="shared" ref="Z57:Z58" si="61">IF(T57=0,0,X57/T57)</f>
        <v>-0.38235294117647056</v>
      </c>
    </row>
    <row r="58" spans="1:26" s="24" customFormat="1" hidden="1" outlineLevel="2" x14ac:dyDescent="0.25">
      <c r="A58" s="29"/>
      <c r="B58" s="11" t="str">
        <f>CONCATENATE("          ", "6309", " - ", "TELEPHONE")</f>
        <v xml:space="preserve">          6309 - TELEPHONE</v>
      </c>
      <c r="C58" s="11"/>
      <c r="D58" s="7">
        <v>21</v>
      </c>
      <c r="E58" s="2"/>
      <c r="F58" s="6">
        <f t="shared" si="54"/>
        <v>0</v>
      </c>
      <c r="G58" s="2"/>
      <c r="H58" s="7">
        <v>71</v>
      </c>
      <c r="I58" s="2"/>
      <c r="J58" s="6">
        <f t="shared" si="55"/>
        <v>3.5193098583799973E-3</v>
      </c>
      <c r="K58" s="2"/>
      <c r="L58" s="7">
        <f t="shared" si="56"/>
        <v>-50</v>
      </c>
      <c r="M58" s="2"/>
      <c r="N58" s="6">
        <f t="shared" si="57"/>
        <v>-0.70422535211267601</v>
      </c>
      <c r="O58" s="11"/>
      <c r="P58" s="7">
        <v>42</v>
      </c>
      <c r="Q58" s="2"/>
      <c r="R58" s="6">
        <f t="shared" si="58"/>
        <v>0</v>
      </c>
      <c r="S58" s="2"/>
      <c r="T58" s="7">
        <v>68</v>
      </c>
      <c r="U58" s="2"/>
      <c r="V58" s="6">
        <f t="shared" si="59"/>
        <v>2.6151834474271211E-3</v>
      </c>
      <c r="W58" s="2"/>
      <c r="X58" s="7">
        <f t="shared" si="60"/>
        <v>-26</v>
      </c>
      <c r="Y58" s="2"/>
      <c r="Z58" s="6">
        <f t="shared" si="61"/>
        <v>-0.38235294117647056</v>
      </c>
    </row>
    <row r="59" spans="1:26" s="52" customFormat="1" x14ac:dyDescent="0.25">
      <c r="A59" s="37"/>
      <c r="B59" s="37"/>
      <c r="C59" s="37"/>
      <c r="D59" s="1"/>
      <c r="E59" s="1"/>
      <c r="F59" s="5"/>
      <c r="G59" s="1"/>
      <c r="H59" s="1"/>
      <c r="I59" s="1"/>
      <c r="J59" s="5"/>
      <c r="K59" s="1"/>
      <c r="L59" s="1"/>
      <c r="M59" s="1"/>
      <c r="N59" s="5"/>
      <c r="O59" s="37"/>
      <c r="P59" s="1"/>
      <c r="Q59" s="1"/>
      <c r="R59" s="5"/>
      <c r="S59" s="1"/>
      <c r="T59" s="1"/>
      <c r="U59" s="1"/>
      <c r="V59" s="5"/>
      <c r="W59" s="1"/>
      <c r="X59" s="1"/>
      <c r="Y59" s="1"/>
      <c r="Z59" s="5"/>
    </row>
    <row r="60" spans="1:26" s="23" customFormat="1" collapsed="1" x14ac:dyDescent="0.25">
      <c r="A60" s="10"/>
      <c r="B60" s="25" t="s">
        <v>0</v>
      </c>
      <c r="C60" s="10"/>
      <c r="D60" s="4">
        <f>SUM(OSRRefD25x_0)</f>
        <v>0</v>
      </c>
      <c r="E60" s="4"/>
      <c r="F60" s="12">
        <f t="shared" ref="F60:F61" si="62">IF(D$12=0,0,D60/D$12)</f>
        <v>0</v>
      </c>
      <c r="G60" s="4"/>
      <c r="H60" s="4">
        <f>SUM(OSRRefH25x_0)</f>
        <v>32</v>
      </c>
      <c r="I60" s="4"/>
      <c r="J60" s="12">
        <f t="shared" ref="J60:J61" si="63">IF(H$12=0,0,H60/H$12)</f>
        <v>1.58616782349521E-3</v>
      </c>
      <c r="K60" s="4"/>
      <c r="L60" s="4">
        <f t="shared" ref="L60:L61" si="64">+D60-H60</f>
        <v>-32</v>
      </c>
      <c r="M60" s="4"/>
      <c r="N60" s="12">
        <f t="shared" ref="N60:N61" si="65">IF(H60=0,0,L60/H60)</f>
        <v>-1</v>
      </c>
      <c r="O60" s="10"/>
      <c r="P60" s="4">
        <f>SUM(OSRRefP25x_0)</f>
        <v>0</v>
      </c>
      <c r="Q60" s="4"/>
      <c r="R60" s="12">
        <f t="shared" ref="R60:R61" si="66">IF(P$12=0,0,P60/P$12)</f>
        <v>0</v>
      </c>
      <c r="S60" s="4"/>
      <c r="T60" s="4">
        <f>SUM(OSRRefT25x_0)</f>
        <v>32</v>
      </c>
      <c r="U60" s="4"/>
      <c r="V60" s="12">
        <f t="shared" ref="V60:V61" si="67">IF(T$12=0,0,T60/T$12)</f>
        <v>1.2306745634951158E-3</v>
      </c>
      <c r="W60" s="4"/>
      <c r="X60" s="4">
        <f t="shared" ref="X60:X61" si="68">+P60-T60</f>
        <v>-32</v>
      </c>
      <c r="Y60" s="4"/>
      <c r="Z60" s="12">
        <f t="shared" ref="Z60:Z61" si="69">IF(T60=0,0,X60/T60)</f>
        <v>-1</v>
      </c>
    </row>
    <row r="61" spans="1:26" s="24" customFormat="1" hidden="1" outlineLevel="1" x14ac:dyDescent="0.25">
      <c r="A61" s="44"/>
      <c r="B61" s="11" t="str">
        <f>CONCATENATE("          ", "9150", " - ", "MISC. INCOME")</f>
        <v xml:space="preserve">          9150 - MISC. INCOME</v>
      </c>
      <c r="C61" s="11"/>
      <c r="D61" s="2">
        <f>0</f>
        <v>0</v>
      </c>
      <c r="E61" s="2"/>
      <c r="F61" s="19">
        <f t="shared" si="62"/>
        <v>0</v>
      </c>
      <c r="G61" s="2"/>
      <c r="H61" s="2">
        <f>--32</f>
        <v>32</v>
      </c>
      <c r="I61" s="2"/>
      <c r="J61" s="19">
        <f t="shared" si="63"/>
        <v>1.58616782349521E-3</v>
      </c>
      <c r="K61" s="2"/>
      <c r="L61" s="2">
        <f t="shared" si="64"/>
        <v>-32</v>
      </c>
      <c r="M61" s="2"/>
      <c r="N61" s="19">
        <f t="shared" si="65"/>
        <v>-1</v>
      </c>
      <c r="O61" s="11"/>
      <c r="P61" s="2">
        <f>0</f>
        <v>0</v>
      </c>
      <c r="Q61" s="2"/>
      <c r="R61" s="19">
        <f t="shared" si="66"/>
        <v>0</v>
      </c>
      <c r="S61" s="2"/>
      <c r="T61" s="2">
        <f>--32</f>
        <v>32</v>
      </c>
      <c r="U61" s="2"/>
      <c r="V61" s="19">
        <f t="shared" si="67"/>
        <v>1.2306745634951158E-3</v>
      </c>
      <c r="W61" s="2"/>
      <c r="X61" s="2">
        <f t="shared" si="68"/>
        <v>-32</v>
      </c>
      <c r="Y61" s="2"/>
      <c r="Z61" s="19">
        <f t="shared" si="69"/>
        <v>-1</v>
      </c>
    </row>
    <row r="62" spans="1:26" x14ac:dyDescent="0.25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25">
      <c r="A63" s="10"/>
      <c r="B63" s="26" t="s">
        <v>3</v>
      </c>
      <c r="C63" s="26"/>
      <c r="D63" s="22">
        <f>+D20-D22+D60</f>
        <v>-157.63</v>
      </c>
      <c r="E63" s="13"/>
      <c r="F63" s="21">
        <f>IF(D$12=0,0,D63/D$12)</f>
        <v>0</v>
      </c>
      <c r="G63" s="13"/>
      <c r="H63" s="22">
        <f>+H20-H22+H60</f>
        <v>-5250.4700000000048</v>
      </c>
      <c r="I63" s="13"/>
      <c r="J63" s="21">
        <f>IF(H$12=0,0,H63/H$12)</f>
        <v>-0.26025395538209073</v>
      </c>
      <c r="K63" s="16"/>
      <c r="L63" s="22">
        <f>+D63-H63</f>
        <v>5092.8400000000047</v>
      </c>
      <c r="M63" s="16"/>
      <c r="N63" s="21">
        <f>IF(H63=0,0,L63/H63)</f>
        <v>-0.96997792578569153</v>
      </c>
      <c r="O63" s="25"/>
      <c r="P63" s="22">
        <f>+P20-P22+P60</f>
        <v>-4276.1899999999996</v>
      </c>
      <c r="Q63" s="13"/>
      <c r="R63" s="21">
        <f>IF(P$12=0,0,P63/P$12)</f>
        <v>0</v>
      </c>
      <c r="S63" s="13"/>
      <c r="T63" s="22">
        <f>+T20-T22+T60</f>
        <v>-18796.019999999997</v>
      </c>
      <c r="U63" s="13"/>
      <c r="V63" s="21">
        <f>IF(T$12=0,0,T63/T$12)</f>
        <v>-0.72286824090454571</v>
      </c>
      <c r="W63" s="16"/>
      <c r="X63" s="22">
        <f>+P63-T63</f>
        <v>14519.829999999998</v>
      </c>
      <c r="Y63" s="16"/>
      <c r="Z63" s="21">
        <f>IF(T63=0,0,X63/T63)</f>
        <v>-0.77249492179727408</v>
      </c>
    </row>
    <row r="64" spans="1:26" x14ac:dyDescent="0.25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25">
      <c r="A65" s="51"/>
      <c r="B65" s="10" t="s">
        <v>13</v>
      </c>
      <c r="C65" s="10"/>
      <c r="D65" s="4"/>
      <c r="E65" s="4"/>
      <c r="F65" s="12">
        <f>IF(D$12=0,0,D65/D$12)</f>
        <v>0</v>
      </c>
      <c r="G65" s="4"/>
      <c r="H65" s="4">
        <v>2030.25</v>
      </c>
      <c r="I65" s="4"/>
      <c r="J65" s="12">
        <f>IF(H$12=0,0,H65/H$12)</f>
        <v>0.10063491323909844</v>
      </c>
      <c r="K65" s="4"/>
      <c r="L65" s="4">
        <f>+D65-H65</f>
        <v>-2030.25</v>
      </c>
      <c r="M65" s="4"/>
      <c r="N65" s="12">
        <f>IF(H65=0,0,L65/H65)</f>
        <v>-1</v>
      </c>
      <c r="O65" s="10"/>
      <c r="P65" s="4"/>
      <c r="Q65" s="4"/>
      <c r="R65" s="12">
        <f>IF(P$12=0,0,P65/P$12)</f>
        <v>0</v>
      </c>
      <c r="S65" s="4"/>
      <c r="T65" s="4">
        <v>3241.98</v>
      </c>
      <c r="U65" s="4"/>
      <c r="V65" s="12">
        <f>IF(T$12=0,0,T65/T$12)</f>
        <v>0.12468194754249673</v>
      </c>
      <c r="W65" s="4"/>
      <c r="X65" s="4">
        <f>+P65-T65</f>
        <v>-3241.98</v>
      </c>
      <c r="Y65" s="4"/>
      <c r="Z65" s="12">
        <f>IF(T65=0,0,X65/T65)</f>
        <v>-1</v>
      </c>
    </row>
    <row r="66" spans="1:26" x14ac:dyDescent="0.25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.75" thickBot="1" x14ac:dyDescent="0.3">
      <c r="A67" s="10"/>
      <c r="B67" s="26" t="s">
        <v>4</v>
      </c>
      <c r="C67" s="26"/>
      <c r="D67" s="36">
        <f>+D63-D65</f>
        <v>-157.63</v>
      </c>
      <c r="E67" s="13"/>
      <c r="F67" s="34">
        <f>IF(D$12=0,0,D67/D$12)</f>
        <v>0</v>
      </c>
      <c r="G67" s="13"/>
      <c r="H67" s="36">
        <f>+H63-H65</f>
        <v>-7280.7200000000048</v>
      </c>
      <c r="I67" s="13"/>
      <c r="J67" s="34">
        <f>IF(H$12=0,0,H67/H$12)</f>
        <v>-0.36088886862118918</v>
      </c>
      <c r="K67" s="16"/>
      <c r="L67" s="36">
        <f>D67-H67</f>
        <v>7123.0900000000047</v>
      </c>
      <c r="M67" s="16"/>
      <c r="N67" s="34">
        <f>IF(H67=0,0,L67/H67)</f>
        <v>-0.97834966871408324</v>
      </c>
      <c r="O67" s="25"/>
      <c r="P67" s="36">
        <f>+P63-P65</f>
        <v>-4276.1899999999996</v>
      </c>
      <c r="Q67" s="13"/>
      <c r="R67" s="34">
        <f>IF(P$12=0,0,P67/P$12)</f>
        <v>0</v>
      </c>
      <c r="S67" s="13"/>
      <c r="T67" s="36">
        <f>+T63-T65</f>
        <v>-22037.999999999996</v>
      </c>
      <c r="U67" s="13"/>
      <c r="V67" s="34">
        <f>IF(T$12=0,0,T67/T$12)</f>
        <v>-0.84755018844704244</v>
      </c>
      <c r="W67" s="16"/>
      <c r="X67" s="36">
        <f>P67-T67</f>
        <v>17761.809999999998</v>
      </c>
      <c r="Y67" s="16"/>
      <c r="Z67" s="34">
        <f>IF(T67=0,0,X67/T67)</f>
        <v>-0.80596288229421909</v>
      </c>
    </row>
    <row r="68" spans="1:26" ht="15.75" thickTop="1" x14ac:dyDescent="0.25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25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.75" thickBot="1" x14ac:dyDescent="0.3">
      <c r="A70" s="10"/>
      <c r="B70" s="26" t="s">
        <v>5</v>
      </c>
      <c r="C70" s="26"/>
      <c r="D70" s="30">
        <f>SUM(D67:D69)</f>
        <v>-157.63</v>
      </c>
      <c r="E70" s="13"/>
      <c r="F70" s="31">
        <f>IF(D$12=0,0,D70/D$12)</f>
        <v>0</v>
      </c>
      <c r="G70" s="13"/>
      <c r="H70" s="30">
        <f>SUM(H67:H69)</f>
        <v>-7280.7200000000048</v>
      </c>
      <c r="I70" s="13"/>
      <c r="J70" s="31">
        <f>IF(H$12=0,0,H70/H$12)</f>
        <v>-0.36088886862118918</v>
      </c>
      <c r="K70" s="16"/>
      <c r="L70" s="30">
        <f>+D70-H70</f>
        <v>7123.0900000000047</v>
      </c>
      <c r="M70" s="16"/>
      <c r="N70" s="31">
        <f>IF(H70=0,0,L70/H70)</f>
        <v>-0.97834966871408324</v>
      </c>
      <c r="O70" s="25"/>
      <c r="P70" s="30">
        <f>SUM(P67:P69)</f>
        <v>-4276.1899999999996</v>
      </c>
      <c r="Q70" s="13"/>
      <c r="R70" s="31">
        <f>IF(P$12=0,0,P70/P$12)</f>
        <v>0</v>
      </c>
      <c r="S70" s="13"/>
      <c r="T70" s="30">
        <f>SUM(T67:T69)</f>
        <v>-22037.999999999996</v>
      </c>
      <c r="U70" s="13"/>
      <c r="V70" s="31">
        <f>IF(T$12=0,0,T70/T$12)</f>
        <v>-0.84755018844704244</v>
      </c>
      <c r="W70" s="16"/>
      <c r="X70" s="30">
        <f>+P70-T70</f>
        <v>17761.809999999998</v>
      </c>
      <c r="Y70" s="16"/>
      <c r="Z70" s="31">
        <f>IF(T70=0,0,X70/T70)</f>
        <v>-0.80596288229421909</v>
      </c>
    </row>
    <row r="71" spans="1:26" ht="15.75" thickTop="1" x14ac:dyDescent="0.25">
      <c r="A71" s="9"/>
      <c r="C71" s="9"/>
      <c r="D71" s="18"/>
      <c r="E71" s="18"/>
      <c r="G71" s="18"/>
      <c r="H71" s="18"/>
      <c r="I71" s="18"/>
      <c r="J71" s="43"/>
      <c r="K71" s="18"/>
      <c r="L71" s="18"/>
      <c r="M71" s="18"/>
      <c r="P71" s="18"/>
      <c r="Q71" s="18"/>
      <c r="R71" s="43"/>
      <c r="S71" s="18"/>
      <c r="T71" s="18"/>
      <c r="U71" s="18"/>
      <c r="V71" s="43"/>
      <c r="W71" s="18"/>
      <c r="X71" s="18"/>
    </row>
    <row r="72" spans="1:26" x14ac:dyDescent="0.25">
      <c r="A72" s="9"/>
      <c r="B72" s="61">
        <v>44113.696621724535</v>
      </c>
      <c r="D72" s="18"/>
      <c r="E72" s="18"/>
      <c r="G72" s="18"/>
      <c r="H72" s="18"/>
      <c r="I72" s="18"/>
      <c r="J72" s="43"/>
      <c r="K72" s="18"/>
      <c r="L72" s="18"/>
      <c r="M72" s="18"/>
      <c r="P72" s="18"/>
      <c r="Q72" s="18"/>
      <c r="R72" s="43"/>
      <c r="S72" s="18"/>
      <c r="T72" s="18"/>
      <c r="U72" s="18"/>
      <c r="V72" s="43"/>
      <c r="W72" s="18"/>
      <c r="X72" s="18"/>
    </row>
    <row r="73" spans="1:26" x14ac:dyDescent="0.25">
      <c r="A73" s="9"/>
      <c r="B73" s="56" t="s">
        <v>313</v>
      </c>
      <c r="D73" s="18"/>
      <c r="E73" s="18"/>
      <c r="G73" s="18"/>
      <c r="H73" s="18"/>
      <c r="I73" s="18"/>
      <c r="J73" s="43"/>
      <c r="K73" s="18"/>
      <c r="L73" s="18"/>
      <c r="M73" s="18"/>
      <c r="P73" s="18"/>
      <c r="Q73" s="18"/>
      <c r="R73" s="43"/>
      <c r="S73" s="18"/>
      <c r="T73" s="18"/>
      <c r="U73" s="18"/>
      <c r="V73" s="43"/>
      <c r="W73" s="18"/>
      <c r="X73" s="18"/>
    </row>
    <row r="74" spans="1:26" x14ac:dyDescent="0.25">
      <c r="A74" s="9"/>
      <c r="B74" s="58"/>
      <c r="D74" s="18"/>
      <c r="E74" s="18"/>
      <c r="G74" s="18"/>
      <c r="H74" s="18"/>
      <c r="I74" s="18"/>
      <c r="J74" s="43"/>
      <c r="K74" s="18"/>
      <c r="L74" s="18"/>
      <c r="M74" s="18"/>
      <c r="P74" s="18"/>
      <c r="Q74" s="18"/>
      <c r="R74" s="43"/>
      <c r="S74" s="18"/>
      <c r="T74" s="18"/>
      <c r="U74" s="18"/>
      <c r="V74" s="43"/>
      <c r="W74" s="18"/>
      <c r="X74" s="18"/>
    </row>
    <row r="75" spans="1:26" x14ac:dyDescent="0.25">
      <c r="D75" s="18"/>
      <c r="E75" s="18"/>
      <c r="G75" s="18"/>
      <c r="H75" s="18"/>
      <c r="I75" s="18"/>
      <c r="J75" s="43"/>
      <c r="K75" s="18"/>
      <c r="L75" s="18"/>
      <c r="M75" s="18"/>
      <c r="P75" s="18"/>
      <c r="Q75" s="18"/>
      <c r="R75" s="43"/>
      <c r="S75" s="18"/>
      <c r="T75" s="18"/>
      <c r="U75" s="18"/>
      <c r="V75" s="43"/>
      <c r="W75" s="18"/>
      <c r="X75" s="18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","414", " - ", "Starbucks UDP")</f>
        <v>Department 414 - Starbucks UDP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40246.699999999997</v>
      </c>
      <c r="I12" s="4"/>
      <c r="J12" s="12"/>
      <c r="K12" s="4"/>
      <c r="L12" s="4">
        <f t="shared" ref="L12:L14" si="0">+D12-H12</f>
        <v>-40246.699999999997</v>
      </c>
      <c r="M12" s="4"/>
      <c r="N12" s="12">
        <f t="shared" ref="N12:N14" si="1">IF(H12=0,0,L12/H12)</f>
        <v>-1</v>
      </c>
      <c r="O12" s="10"/>
      <c r="P12" s="4">
        <f>SUM(OSRRefP13x_0)</f>
        <v>974.91</v>
      </c>
      <c r="Q12" s="4"/>
      <c r="R12" s="12"/>
      <c r="S12" s="4"/>
      <c r="T12" s="4">
        <f>SUM(OSRRefT13x_0)</f>
        <v>58208.05</v>
      </c>
      <c r="U12" s="4"/>
      <c r="V12" s="12"/>
      <c r="W12" s="4"/>
      <c r="X12" s="4">
        <f t="shared" ref="X12:X14" si="2">+P12-T12</f>
        <v>-57233.14</v>
      </c>
      <c r="Y12" s="4"/>
      <c r="Z12" s="12">
        <f t="shared" ref="Z12:Z14" si="3">IF(T12=0,0,X12/T12)</f>
        <v>-0.98325128568986586</v>
      </c>
    </row>
    <row r="13" spans="1:26" s="24" customFormat="1" hidden="1" outlineLevel="1" x14ac:dyDescent="0.25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 t="shared" ref="D13:D14" si="4">0</f>
        <v>0</v>
      </c>
      <c r="E13" s="2"/>
      <c r="F13" s="19"/>
      <c r="G13" s="2"/>
      <c r="H13" s="2">
        <f>--9436.48</f>
        <v>9436.48</v>
      </c>
      <c r="I13" s="2"/>
      <c r="J13" s="19"/>
      <c r="K13" s="2"/>
      <c r="L13" s="2">
        <f t="shared" si="0"/>
        <v>-9436.48</v>
      </c>
      <c r="M13" s="2"/>
      <c r="N13" s="19">
        <f t="shared" si="1"/>
        <v>-1</v>
      </c>
      <c r="O13" s="11"/>
      <c r="P13" s="2">
        <f>--974.91</f>
        <v>974.91</v>
      </c>
      <c r="Q13" s="2"/>
      <c r="R13" s="19"/>
      <c r="S13" s="2"/>
      <c r="T13" s="2">
        <f>--17838.14</f>
        <v>17838.14</v>
      </c>
      <c r="U13" s="2"/>
      <c r="V13" s="19"/>
      <c r="W13" s="2"/>
      <c r="X13" s="2">
        <f t="shared" si="2"/>
        <v>-16863.23</v>
      </c>
      <c r="Y13" s="2"/>
      <c r="Z13" s="19">
        <f t="shared" si="3"/>
        <v>-0.94534688033617853</v>
      </c>
    </row>
    <row r="14" spans="1:26" s="24" customFormat="1" hidden="1" outlineLevel="1" x14ac:dyDescent="0.25">
      <c r="A14" s="44"/>
      <c r="B14" s="11" t="str">
        <f>CONCATENATE("          ", "4158", " - ", "NON-TAXABLE SALES-FOOD")</f>
        <v xml:space="preserve">          4158 - NON-TAXABLE SALES-FOOD</v>
      </c>
      <c r="C14" s="11"/>
      <c r="D14" s="2">
        <f t="shared" si="4"/>
        <v>0</v>
      </c>
      <c r="E14" s="2"/>
      <c r="F14" s="19"/>
      <c r="G14" s="2"/>
      <c r="H14" s="2">
        <f>--30810.22</f>
        <v>30810.22</v>
      </c>
      <c r="I14" s="2"/>
      <c r="J14" s="19"/>
      <c r="K14" s="2"/>
      <c r="L14" s="2">
        <f t="shared" si="0"/>
        <v>-30810.22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--40369.91</f>
        <v>40369.910000000003</v>
      </c>
      <c r="U14" s="2"/>
      <c r="V14" s="19"/>
      <c r="W14" s="2"/>
      <c r="X14" s="2">
        <f t="shared" si="2"/>
        <v>-40369.910000000003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5">IF(D$12=0,0,D16/D$12)</f>
        <v>0</v>
      </c>
      <c r="G16" s="4"/>
      <c r="H16" s="4">
        <f>SUM(OSRRefH16x_0)</f>
        <v>15092.52</v>
      </c>
      <c r="I16" s="4"/>
      <c r="J16" s="12">
        <f t="shared" ref="J16:J18" si="6">IF(H$12=0,0,H16/H$12)</f>
        <v>0.37500018635068222</v>
      </c>
      <c r="K16" s="4"/>
      <c r="L16" s="4">
        <f t="shared" ref="L16:L18" si="7">+D16-H16</f>
        <v>-15092.52</v>
      </c>
      <c r="M16" s="4"/>
      <c r="N16" s="12">
        <f t="shared" ref="N16:N18" si="8">IF(H16=0,0,L16/H16)</f>
        <v>-1</v>
      </c>
      <c r="O16" s="10"/>
      <c r="P16" s="4">
        <f>SUM(OSRRefP16x_0)</f>
        <v>0</v>
      </c>
      <c r="Q16" s="4"/>
      <c r="R16" s="12">
        <f t="shared" ref="R16:R18" si="9">IF(P$12=0,0,P16/P$12)</f>
        <v>0</v>
      </c>
      <c r="S16" s="4"/>
      <c r="T16" s="4">
        <f>SUM(OSRRefT16x_0)</f>
        <v>23348.59</v>
      </c>
      <c r="U16" s="4"/>
      <c r="V16" s="12">
        <f t="shared" ref="V16:V18" si="10">IF(T$12=0,0,T16/T$12)</f>
        <v>0.40112304054164327</v>
      </c>
      <c r="W16" s="4"/>
      <c r="X16" s="4">
        <f t="shared" ref="X16:X18" si="11">+P16-T16</f>
        <v>-23348.59</v>
      </c>
      <c r="Y16" s="4"/>
      <c r="Z16" s="12">
        <f t="shared" ref="Z16:Z18" si="12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>
        <v>12410.52</v>
      </c>
      <c r="I17" s="2"/>
      <c r="J17" s="19">
        <f t="shared" si="6"/>
        <v>0.30836118240750177</v>
      </c>
      <c r="K17" s="2"/>
      <c r="L17" s="2">
        <f t="shared" si="7"/>
        <v>-12410.52</v>
      </c>
      <c r="M17" s="2"/>
      <c r="N17" s="19">
        <f t="shared" si="8"/>
        <v>-1</v>
      </c>
      <c r="O17" s="11"/>
      <c r="P17" s="2"/>
      <c r="Q17" s="2"/>
      <c r="R17" s="19">
        <f t="shared" si="9"/>
        <v>0</v>
      </c>
      <c r="S17" s="2"/>
      <c r="T17" s="2">
        <v>19139.59</v>
      </c>
      <c r="U17" s="2"/>
      <c r="V17" s="19">
        <f t="shared" si="10"/>
        <v>0.32881345449641414</v>
      </c>
      <c r="W17" s="2"/>
      <c r="X17" s="2">
        <f t="shared" si="11"/>
        <v>-19139.59</v>
      </c>
      <c r="Y17" s="2"/>
      <c r="Z17" s="19">
        <f t="shared" si="12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5"/>
        <v>0</v>
      </c>
      <c r="G18" s="2"/>
      <c r="H18" s="2">
        <v>2682</v>
      </c>
      <c r="I18" s="2"/>
      <c r="J18" s="19">
        <f t="shared" si="6"/>
        <v>6.6639003943180439E-2</v>
      </c>
      <c r="K18" s="2"/>
      <c r="L18" s="2">
        <f t="shared" si="7"/>
        <v>-2682</v>
      </c>
      <c r="M18" s="2"/>
      <c r="N18" s="19">
        <f t="shared" si="8"/>
        <v>-1</v>
      </c>
      <c r="O18" s="11"/>
      <c r="P18" s="2"/>
      <c r="Q18" s="2"/>
      <c r="R18" s="19">
        <f t="shared" si="9"/>
        <v>0</v>
      </c>
      <c r="S18" s="2"/>
      <c r="T18" s="2">
        <v>4209</v>
      </c>
      <c r="U18" s="2"/>
      <c r="V18" s="19">
        <f t="shared" si="10"/>
        <v>7.2309586045229135E-2</v>
      </c>
      <c r="W18" s="2"/>
      <c r="X18" s="2">
        <f t="shared" si="11"/>
        <v>-4209</v>
      </c>
      <c r="Y18" s="2"/>
      <c r="Z18" s="19">
        <f t="shared" si="12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25154.179999999997</v>
      </c>
      <c r="I20" s="13"/>
      <c r="J20" s="21">
        <f>IF(H$12=0,0,H20/H$12)</f>
        <v>0.62499981364931778</v>
      </c>
      <c r="K20" s="16"/>
      <c r="L20" s="22">
        <f>+D20-H20</f>
        <v>-25154.179999999997</v>
      </c>
      <c r="M20" s="16"/>
      <c r="N20" s="21">
        <f>IF(H20=0,0,L20/H20)</f>
        <v>-1</v>
      </c>
      <c r="O20" s="25"/>
      <c r="P20" s="22">
        <f>P12-P16</f>
        <v>974.91</v>
      </c>
      <c r="Q20" s="13"/>
      <c r="R20" s="21">
        <f>IF(P$12=0,0,P20/P$12)</f>
        <v>1</v>
      </c>
      <c r="S20" s="13"/>
      <c r="T20" s="22">
        <f>T12-T16</f>
        <v>34859.460000000006</v>
      </c>
      <c r="U20" s="13"/>
      <c r="V20" s="21">
        <f>IF(T$12=0,0,T20/T$12)</f>
        <v>0.59887695945835684</v>
      </c>
      <c r="W20" s="16"/>
      <c r="X20" s="22">
        <f>+P20-T20</f>
        <v>-33884.550000000003</v>
      </c>
      <c r="Y20" s="16"/>
      <c r="Z20" s="21">
        <f>IF(T20=0,0,X20/T20)</f>
        <v>-0.97203312960097477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1871.84</v>
      </c>
      <c r="E22" s="20"/>
      <c r="F22" s="35">
        <f t="shared" ref="F22:F30" si="13">IF(D$12=0,0,D22/D$12)</f>
        <v>0</v>
      </c>
      <c r="G22" s="20"/>
      <c r="H22" s="20">
        <f>SUM(OSRRefH22x_0)</f>
        <v>25837.1</v>
      </c>
      <c r="I22" s="20"/>
      <c r="J22" s="35">
        <f t="shared" ref="J22:J30" si="14">IF(H$12=0,0,H22/H$12)</f>
        <v>0.64196816136478274</v>
      </c>
      <c r="K22" s="4"/>
      <c r="L22" s="20">
        <f t="shared" ref="L22:L30" si="15">+D22-H22</f>
        <v>-23965.26</v>
      </c>
      <c r="M22" s="4"/>
      <c r="N22" s="35">
        <f t="shared" ref="N22:N30" si="16">IF(H22=0,0,L22/H22)</f>
        <v>-0.92755224077005549</v>
      </c>
      <c r="O22" s="10"/>
      <c r="P22" s="20">
        <f>SUM(OSRRefP22x_0)</f>
        <v>4546.3999999999996</v>
      </c>
      <c r="Q22" s="20"/>
      <c r="R22" s="35">
        <f t="shared" ref="R22:R30" si="17">IF(P$12=0,0,P22/P$12)</f>
        <v>4.6634048271122461</v>
      </c>
      <c r="S22" s="20"/>
      <c r="T22" s="20">
        <f>SUM(OSRRefT22x_0)</f>
        <v>49212.88</v>
      </c>
      <c r="U22" s="20"/>
      <c r="V22" s="35">
        <f t="shared" ref="V22:V30" si="18">IF(T$12=0,0,T22/T$12)</f>
        <v>0.84546518909326107</v>
      </c>
      <c r="W22" s="4"/>
      <c r="X22" s="20">
        <f t="shared" ref="X22:X30" si="19">+P22-T22</f>
        <v>-44666.479999999996</v>
      </c>
      <c r="Y22" s="4"/>
      <c r="Z22" s="35">
        <f t="shared" ref="Z22:Z30" si="20">IF(T22=0,0,X22/T22)</f>
        <v>-0.90761768057467884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3"/>
        <v>0</v>
      </c>
      <c r="G23" s="1"/>
      <c r="H23" s="1">
        <f>SUM(OSRRefH22_0x_0)</f>
        <v>2881.78</v>
      </c>
      <c r="I23" s="1"/>
      <c r="J23" s="5">
        <f t="shared" si="14"/>
        <v>7.1602889180976334E-2</v>
      </c>
      <c r="K23" s="1"/>
      <c r="L23" s="1">
        <f t="shared" si="15"/>
        <v>-2881.78</v>
      </c>
      <c r="M23" s="1"/>
      <c r="N23" s="5">
        <f t="shared" si="16"/>
        <v>-1</v>
      </c>
      <c r="O23" s="14"/>
      <c r="P23" s="1">
        <f>SUM(OSRRefP22_0x_0)</f>
        <v>702.51</v>
      </c>
      <c r="Q23" s="1"/>
      <c r="R23" s="5">
        <f t="shared" si="17"/>
        <v>0.72058959288549718</v>
      </c>
      <c r="S23" s="1"/>
      <c r="T23" s="1">
        <f>SUM(OSRRefT22_0x_0)</f>
        <v>5159.8499999999995</v>
      </c>
      <c r="U23" s="1"/>
      <c r="V23" s="5">
        <f t="shared" si="18"/>
        <v>8.8644955465781786E-2</v>
      </c>
      <c r="W23" s="1"/>
      <c r="X23" s="1">
        <f t="shared" si="19"/>
        <v>-4457.3399999999992</v>
      </c>
      <c r="Y23" s="1"/>
      <c r="Z23" s="5">
        <f t="shared" si="20"/>
        <v>-0.86385069333410847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3"/>
        <v>0</v>
      </c>
      <c r="G24" s="2"/>
      <c r="H24" s="7">
        <v>1080.3800000000001</v>
      </c>
      <c r="I24" s="2"/>
      <c r="J24" s="6">
        <f t="shared" si="14"/>
        <v>2.6843940000049697E-2</v>
      </c>
      <c r="K24" s="2"/>
      <c r="L24" s="7">
        <f t="shared" si="15"/>
        <v>-1080.3800000000001</v>
      </c>
      <c r="M24" s="2"/>
      <c r="N24" s="6">
        <f t="shared" si="16"/>
        <v>-1</v>
      </c>
      <c r="O24" s="11"/>
      <c r="P24" s="7"/>
      <c r="Q24" s="2"/>
      <c r="R24" s="6">
        <f t="shared" si="17"/>
        <v>0</v>
      </c>
      <c r="S24" s="2"/>
      <c r="T24" s="7">
        <v>1719.56</v>
      </c>
      <c r="U24" s="2"/>
      <c r="V24" s="6">
        <f t="shared" si="18"/>
        <v>2.954161838439872E-2</v>
      </c>
      <c r="W24" s="2"/>
      <c r="X24" s="7">
        <f t="shared" si="19"/>
        <v>-1719.56</v>
      </c>
      <c r="Y24" s="2"/>
      <c r="Z24" s="6">
        <f t="shared" si="20"/>
        <v>-1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3"/>
        <v>0</v>
      </c>
      <c r="G25" s="2"/>
      <c r="H25" s="7">
        <v>543.47</v>
      </c>
      <c r="I25" s="2"/>
      <c r="J25" s="6">
        <f t="shared" si="14"/>
        <v>1.3503467365026202E-2</v>
      </c>
      <c r="K25" s="2"/>
      <c r="L25" s="7">
        <f t="shared" si="15"/>
        <v>-543.47</v>
      </c>
      <c r="M25" s="2"/>
      <c r="N25" s="6">
        <f t="shared" si="16"/>
        <v>-1</v>
      </c>
      <c r="O25" s="11"/>
      <c r="P25" s="7"/>
      <c r="Q25" s="2"/>
      <c r="R25" s="6">
        <f t="shared" si="17"/>
        <v>0</v>
      </c>
      <c r="S25" s="2"/>
      <c r="T25" s="7">
        <v>938.93</v>
      </c>
      <c r="U25" s="2"/>
      <c r="V25" s="6">
        <f t="shared" si="18"/>
        <v>1.6130586748740079E-2</v>
      </c>
      <c r="W25" s="2"/>
      <c r="X25" s="7">
        <f t="shared" si="19"/>
        <v>-938.93</v>
      </c>
      <c r="Y25" s="2"/>
      <c r="Z25" s="6">
        <f t="shared" si="20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3"/>
        <v>0</v>
      </c>
      <c r="G26" s="2"/>
      <c r="H26" s="7">
        <v>650.39</v>
      </c>
      <c r="I26" s="2"/>
      <c r="J26" s="6">
        <f t="shared" si="14"/>
        <v>1.6160082690009368E-2</v>
      </c>
      <c r="K26" s="2"/>
      <c r="L26" s="7">
        <f t="shared" si="15"/>
        <v>-650.39</v>
      </c>
      <c r="M26" s="2"/>
      <c r="N26" s="6">
        <f t="shared" si="16"/>
        <v>-1</v>
      </c>
      <c r="O26" s="11"/>
      <c r="P26" s="7">
        <v>702.51</v>
      </c>
      <c r="Q26" s="2"/>
      <c r="R26" s="6">
        <f t="shared" si="17"/>
        <v>0.72058959288549718</v>
      </c>
      <c r="S26" s="2"/>
      <c r="T26" s="7">
        <v>1300.78</v>
      </c>
      <c r="U26" s="2"/>
      <c r="V26" s="6">
        <f t="shared" si="18"/>
        <v>2.2347080859090793E-2</v>
      </c>
      <c r="W26" s="2"/>
      <c r="X26" s="7">
        <f t="shared" si="19"/>
        <v>-598.27</v>
      </c>
      <c r="Y26" s="2"/>
      <c r="Z26" s="6">
        <f t="shared" si="20"/>
        <v>-0.45993173326773168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3"/>
        <v>0</v>
      </c>
      <c r="G27" s="2"/>
      <c r="H27" s="7">
        <v>36.42</v>
      </c>
      <c r="I27" s="2"/>
      <c r="J27" s="6">
        <f t="shared" si="14"/>
        <v>9.0491891260649948E-4</v>
      </c>
      <c r="K27" s="2"/>
      <c r="L27" s="7">
        <f t="shared" si="15"/>
        <v>-36.42</v>
      </c>
      <c r="M27" s="2"/>
      <c r="N27" s="6">
        <f t="shared" si="16"/>
        <v>-1</v>
      </c>
      <c r="O27" s="11"/>
      <c r="P27" s="7"/>
      <c r="Q27" s="2"/>
      <c r="R27" s="6">
        <f t="shared" si="17"/>
        <v>0</v>
      </c>
      <c r="S27" s="2"/>
      <c r="T27" s="7">
        <v>62.92</v>
      </c>
      <c r="U27" s="2"/>
      <c r="V27" s="6">
        <f t="shared" si="18"/>
        <v>1.0809501434938982E-3</v>
      </c>
      <c r="W27" s="2"/>
      <c r="X27" s="7">
        <f t="shared" si="19"/>
        <v>-62.92</v>
      </c>
      <c r="Y27" s="2"/>
      <c r="Z27" s="6">
        <f t="shared" si="20"/>
        <v>-1</v>
      </c>
    </row>
    <row r="28" spans="1:26" s="24" customFormat="1" hidden="1" outlineLevel="2" x14ac:dyDescent="0.25">
      <c r="A28" s="29"/>
      <c r="B28" s="11" t="str">
        <f>CONCATENATE("          ", "6118", " - ", "VACATION")</f>
        <v xml:space="preserve">          6118 - VACATION</v>
      </c>
      <c r="C28" s="11"/>
      <c r="D28" s="7"/>
      <c r="E28" s="2"/>
      <c r="F28" s="6">
        <f t="shared" si="13"/>
        <v>0</v>
      </c>
      <c r="G28" s="2"/>
      <c r="H28" s="7">
        <v>192.5</v>
      </c>
      <c r="I28" s="2"/>
      <c r="J28" s="6">
        <f t="shared" si="14"/>
        <v>4.7830008423050841E-3</v>
      </c>
      <c r="K28" s="2"/>
      <c r="L28" s="7">
        <f t="shared" si="15"/>
        <v>-192.5</v>
      </c>
      <c r="M28" s="2"/>
      <c r="N28" s="6">
        <f t="shared" si="16"/>
        <v>-1</v>
      </c>
      <c r="O28" s="11"/>
      <c r="P28" s="7"/>
      <c r="Q28" s="2"/>
      <c r="R28" s="6">
        <f t="shared" si="17"/>
        <v>0</v>
      </c>
      <c r="S28" s="2"/>
      <c r="T28" s="7">
        <v>385</v>
      </c>
      <c r="U28" s="2"/>
      <c r="V28" s="6">
        <f t="shared" si="18"/>
        <v>6.6142054234766493E-3</v>
      </c>
      <c r="W28" s="2"/>
      <c r="X28" s="7">
        <f t="shared" si="19"/>
        <v>-385</v>
      </c>
      <c r="Y28" s="2"/>
      <c r="Z28" s="6">
        <f t="shared" si="20"/>
        <v>-1</v>
      </c>
    </row>
    <row r="29" spans="1:26" s="24" customFormat="1" hidden="1" outlineLevel="2" x14ac:dyDescent="0.25">
      <c r="A29" s="29"/>
      <c r="B29" s="11" t="str">
        <f>CONCATENATE("          ", "6119", " - ", "SICK LEAVE")</f>
        <v xml:space="preserve">          6119 - SICK LEAVE</v>
      </c>
      <c r="C29" s="11"/>
      <c r="D29" s="7"/>
      <c r="E29" s="2"/>
      <c r="F29" s="6">
        <f t="shared" si="13"/>
        <v>0</v>
      </c>
      <c r="G29" s="2"/>
      <c r="H29" s="7">
        <v>230.62</v>
      </c>
      <c r="I29" s="2"/>
      <c r="J29" s="6">
        <f t="shared" si="14"/>
        <v>5.7301592428696023E-3</v>
      </c>
      <c r="K29" s="2"/>
      <c r="L29" s="7">
        <f t="shared" si="15"/>
        <v>-230.62</v>
      </c>
      <c r="M29" s="2"/>
      <c r="N29" s="6">
        <f t="shared" si="16"/>
        <v>-1</v>
      </c>
      <c r="O29" s="11"/>
      <c r="P29" s="7"/>
      <c r="Q29" s="2"/>
      <c r="R29" s="6">
        <f t="shared" si="17"/>
        <v>0</v>
      </c>
      <c r="S29" s="2"/>
      <c r="T29" s="7">
        <v>461.24</v>
      </c>
      <c r="U29" s="2"/>
      <c r="V29" s="6">
        <f t="shared" si="18"/>
        <v>7.9239898948684929E-3</v>
      </c>
      <c r="W29" s="2"/>
      <c r="X29" s="7">
        <f t="shared" si="19"/>
        <v>-461.24</v>
      </c>
      <c r="Y29" s="2"/>
      <c r="Z29" s="6">
        <f t="shared" si="20"/>
        <v>-1</v>
      </c>
    </row>
    <row r="30" spans="1:26" s="24" customFormat="1" hidden="1" outlineLevel="2" x14ac:dyDescent="0.25">
      <c r="A30" s="29"/>
      <c r="B30" s="11" t="str">
        <f>CONCATENATE("          ", "6156", " - ", "EMPLOYEE MEALS")</f>
        <v xml:space="preserve">          6156 - EMPLOYEE MEALS</v>
      </c>
      <c r="C30" s="11"/>
      <c r="D30" s="7"/>
      <c r="E30" s="2"/>
      <c r="F30" s="6">
        <f t="shared" si="13"/>
        <v>0</v>
      </c>
      <c r="G30" s="2"/>
      <c r="H30" s="7">
        <v>148</v>
      </c>
      <c r="I30" s="2"/>
      <c r="J30" s="6">
        <f t="shared" si="14"/>
        <v>3.6773201281098825E-3</v>
      </c>
      <c r="K30" s="2"/>
      <c r="L30" s="7">
        <f t="shared" si="15"/>
        <v>-148</v>
      </c>
      <c r="M30" s="2"/>
      <c r="N30" s="6">
        <f t="shared" si="16"/>
        <v>-1</v>
      </c>
      <c r="O30" s="11"/>
      <c r="P30" s="7"/>
      <c r="Q30" s="2"/>
      <c r="R30" s="6">
        <f t="shared" si="17"/>
        <v>0</v>
      </c>
      <c r="S30" s="2"/>
      <c r="T30" s="7">
        <v>291.42</v>
      </c>
      <c r="U30" s="2"/>
      <c r="V30" s="6">
        <f t="shared" si="18"/>
        <v>5.0065240117131565E-3</v>
      </c>
      <c r="W30" s="2"/>
      <c r="X30" s="7">
        <f t="shared" si="19"/>
        <v>-291.42</v>
      </c>
      <c r="Y30" s="2"/>
      <c r="Z30" s="6">
        <f t="shared" si="20"/>
        <v>-1</v>
      </c>
    </row>
    <row r="31" spans="1:26" s="28" customFormat="1" outlineLevel="1" collapsed="1" x14ac:dyDescent="0.25">
      <c r="A31" s="27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0</v>
      </c>
      <c r="E31" s="1"/>
      <c r="F31" s="5">
        <f t="shared" ref="F31:F35" si="21">IF(D$12=0,0,D31/D$12)</f>
        <v>0</v>
      </c>
      <c r="G31" s="1"/>
      <c r="H31" s="1">
        <f>SUM(OSRRefH22_1x_0)</f>
        <v>17130.07</v>
      </c>
      <c r="I31" s="1"/>
      <c r="J31" s="5">
        <f t="shared" ref="J31:J35" si="22">IF(H$12=0,0,H31/H$12)</f>
        <v>0.42562669734413011</v>
      </c>
      <c r="K31" s="1"/>
      <c r="L31" s="1">
        <f t="shared" ref="L31:L35" si="23">+D31-H31</f>
        <v>-17130.07</v>
      </c>
      <c r="M31" s="1"/>
      <c r="N31" s="5">
        <f t="shared" ref="N31:N35" si="24">IF(H31=0,0,L31/H31)</f>
        <v>-1</v>
      </c>
      <c r="O31" s="14"/>
      <c r="P31" s="1">
        <f>SUM(OSRRefP22_1x_0)</f>
        <v>0</v>
      </c>
      <c r="Q31" s="1"/>
      <c r="R31" s="5">
        <f t="shared" ref="R31:R35" si="25">IF(P$12=0,0,P31/P$12)</f>
        <v>0</v>
      </c>
      <c r="S31" s="1"/>
      <c r="T31" s="1">
        <f>SUM(OSRRefT22_1x_0)</f>
        <v>28028.449999999997</v>
      </c>
      <c r="U31" s="1"/>
      <c r="V31" s="5">
        <f t="shared" ref="V31:V35" si="26">IF(T$12=0,0,T31/T$12)</f>
        <v>0.48152188571855603</v>
      </c>
      <c r="W31" s="1"/>
      <c r="X31" s="1">
        <f t="shared" ref="X31:X35" si="27">+P31-T31</f>
        <v>-28028.449999999997</v>
      </c>
      <c r="Y31" s="1"/>
      <c r="Z31" s="5">
        <f t="shared" ref="Z31:Z35" si="28">IF(T31=0,0,X31/T31)</f>
        <v>-1</v>
      </c>
    </row>
    <row r="32" spans="1:26" s="24" customFormat="1" hidden="1" outlineLevel="2" x14ac:dyDescent="0.25">
      <c r="A32" s="29"/>
      <c r="B32" s="11" t="str">
        <f>CONCATENATE("          ", "6004", " - ", "STAFF HOURLY")</f>
        <v xml:space="preserve">          6004 - STAFF HOURLY</v>
      </c>
      <c r="C32" s="11"/>
      <c r="D32" s="7"/>
      <c r="E32" s="2"/>
      <c r="F32" s="6">
        <f t="shared" si="21"/>
        <v>0</v>
      </c>
      <c r="G32" s="2"/>
      <c r="H32" s="7">
        <v>4882.8100000000004</v>
      </c>
      <c r="I32" s="2"/>
      <c r="J32" s="6">
        <f t="shared" si="22"/>
        <v>0.12132199658605552</v>
      </c>
      <c r="K32" s="2"/>
      <c r="L32" s="7">
        <f t="shared" si="23"/>
        <v>-4882.8100000000004</v>
      </c>
      <c r="M32" s="2"/>
      <c r="N32" s="6">
        <f t="shared" si="24"/>
        <v>-1</v>
      </c>
      <c r="O32" s="11"/>
      <c r="P32" s="7"/>
      <c r="Q32" s="2"/>
      <c r="R32" s="6">
        <f t="shared" si="25"/>
        <v>0</v>
      </c>
      <c r="S32" s="2"/>
      <c r="T32" s="7">
        <v>10210.93</v>
      </c>
      <c r="U32" s="2"/>
      <c r="V32" s="6">
        <f t="shared" si="26"/>
        <v>0.17542126905127384</v>
      </c>
      <c r="W32" s="2"/>
      <c r="X32" s="7">
        <f t="shared" si="27"/>
        <v>-10210.93</v>
      </c>
      <c r="Y32" s="2"/>
      <c r="Z32" s="6">
        <f t="shared" si="28"/>
        <v>-1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/>
      <c r="E33" s="2"/>
      <c r="F33" s="6">
        <f t="shared" si="21"/>
        <v>0</v>
      </c>
      <c r="G33" s="2"/>
      <c r="H33" s="7">
        <v>654.5</v>
      </c>
      <c r="I33" s="2"/>
      <c r="J33" s="6">
        <f t="shared" si="22"/>
        <v>1.6262202863837286E-2</v>
      </c>
      <c r="K33" s="2"/>
      <c r="L33" s="7">
        <f t="shared" si="23"/>
        <v>-654.5</v>
      </c>
      <c r="M33" s="2"/>
      <c r="N33" s="6">
        <f t="shared" si="24"/>
        <v>-1</v>
      </c>
      <c r="O33" s="11"/>
      <c r="P33" s="7"/>
      <c r="Q33" s="2"/>
      <c r="R33" s="6">
        <f t="shared" si="25"/>
        <v>0</v>
      </c>
      <c r="S33" s="2"/>
      <c r="T33" s="7">
        <v>1470.5</v>
      </c>
      <c r="U33" s="2"/>
      <c r="V33" s="6">
        <f t="shared" si="26"/>
        <v>2.5262828766811463E-2</v>
      </c>
      <c r="W33" s="2"/>
      <c r="X33" s="7">
        <f t="shared" si="27"/>
        <v>-1470.5</v>
      </c>
      <c r="Y33" s="2"/>
      <c r="Z33" s="6">
        <f t="shared" si="28"/>
        <v>-1</v>
      </c>
    </row>
    <row r="34" spans="1:26" s="24" customFormat="1" hidden="1" outlineLevel="2" x14ac:dyDescent="0.25">
      <c r="A34" s="29"/>
      <c r="B34" s="11" t="str">
        <f>CONCATENATE("          ", "6006", " - ", "TEMPORARY PART TIME")</f>
        <v xml:space="preserve">          6006 - TEMPORARY PART TIME</v>
      </c>
      <c r="C34" s="11"/>
      <c r="D34" s="7"/>
      <c r="E34" s="2"/>
      <c r="F34" s="6">
        <f t="shared" si="21"/>
        <v>0</v>
      </c>
      <c r="G34" s="2"/>
      <c r="H34" s="7">
        <v>29.25</v>
      </c>
      <c r="I34" s="2"/>
      <c r="J34" s="6">
        <f t="shared" si="22"/>
        <v>7.2676766045414907E-4</v>
      </c>
      <c r="K34" s="2"/>
      <c r="L34" s="7">
        <f t="shared" si="23"/>
        <v>-29.25</v>
      </c>
      <c r="M34" s="2"/>
      <c r="N34" s="6">
        <f t="shared" si="24"/>
        <v>-1</v>
      </c>
      <c r="O34" s="11"/>
      <c r="P34" s="7"/>
      <c r="Q34" s="2"/>
      <c r="R34" s="6">
        <f t="shared" si="25"/>
        <v>0</v>
      </c>
      <c r="S34" s="2"/>
      <c r="T34" s="7">
        <v>29.25</v>
      </c>
      <c r="U34" s="2"/>
      <c r="V34" s="6">
        <f t="shared" si="26"/>
        <v>5.0250781464075841E-4</v>
      </c>
      <c r="W34" s="2"/>
      <c r="X34" s="7">
        <f t="shared" si="27"/>
        <v>-29.25</v>
      </c>
      <c r="Y34" s="2"/>
      <c r="Z34" s="6">
        <f t="shared" si="28"/>
        <v>-1</v>
      </c>
    </row>
    <row r="35" spans="1:26" s="24" customFormat="1" hidden="1" outlineLevel="2" x14ac:dyDescent="0.25">
      <c r="A35" s="29"/>
      <c r="B35" s="11" t="str">
        <f>CONCATENATE("          ", "6007", " - ", "STUDENT HOURLY")</f>
        <v xml:space="preserve">          6007 - STUDENT HOURLY</v>
      </c>
      <c r="C35" s="11"/>
      <c r="D35" s="7"/>
      <c r="E35" s="2"/>
      <c r="F35" s="6">
        <f t="shared" si="21"/>
        <v>0</v>
      </c>
      <c r="G35" s="2"/>
      <c r="H35" s="7">
        <v>11563.51</v>
      </c>
      <c r="I35" s="2"/>
      <c r="J35" s="6">
        <f t="shared" si="22"/>
        <v>0.28731573023378315</v>
      </c>
      <c r="K35" s="2"/>
      <c r="L35" s="7">
        <f t="shared" si="23"/>
        <v>-11563.51</v>
      </c>
      <c r="M35" s="2"/>
      <c r="N35" s="6">
        <f t="shared" si="24"/>
        <v>-1</v>
      </c>
      <c r="O35" s="11"/>
      <c r="P35" s="7"/>
      <c r="Q35" s="2"/>
      <c r="R35" s="6">
        <f t="shared" si="25"/>
        <v>0</v>
      </c>
      <c r="S35" s="2"/>
      <c r="T35" s="7">
        <v>16317.769999999999</v>
      </c>
      <c r="U35" s="2"/>
      <c r="V35" s="6">
        <f t="shared" si="26"/>
        <v>0.28033528008583003</v>
      </c>
      <c r="W35" s="2"/>
      <c r="X35" s="7">
        <f t="shared" si="27"/>
        <v>-16317.769999999999</v>
      </c>
      <c r="Y35" s="2"/>
      <c r="Z35" s="6">
        <f t="shared" si="28"/>
        <v>-1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50" si="29">IF(D$12=0,0,D36/D$12)</f>
        <v>0</v>
      </c>
      <c r="G36" s="1"/>
      <c r="H36" s="1">
        <f>SUM(OSRRefH22_2x_0)</f>
        <v>74.95</v>
      </c>
      <c r="I36" s="1"/>
      <c r="J36" s="5">
        <f t="shared" ref="J36:J50" si="30">IF(H$12=0,0,H36/H$12)</f>
        <v>1.8622644837961871E-3</v>
      </c>
      <c r="K36" s="1"/>
      <c r="L36" s="1">
        <f t="shared" ref="L36:L50" si="31">+D36-H36</f>
        <v>-74.95</v>
      </c>
      <c r="M36" s="1"/>
      <c r="N36" s="5">
        <f t="shared" ref="N36:N50" si="32">IF(H36=0,0,L36/H36)</f>
        <v>-1</v>
      </c>
      <c r="O36" s="14"/>
      <c r="P36" s="1">
        <f>SUM(OSRRefP22_2x_0)</f>
        <v>0</v>
      </c>
      <c r="Q36" s="1"/>
      <c r="R36" s="5">
        <f t="shared" ref="R36:R50" si="33">IF(P$12=0,0,P36/P$12)</f>
        <v>0</v>
      </c>
      <c r="S36" s="1"/>
      <c r="T36" s="1">
        <f>SUM(OSRRefT22_2x_0)</f>
        <v>138.47</v>
      </c>
      <c r="U36" s="1"/>
      <c r="V36" s="5">
        <f t="shared" ref="V36:V50" si="34">IF(T$12=0,0,T36/T$12)</f>
        <v>2.3788805843865239E-3</v>
      </c>
      <c r="W36" s="1"/>
      <c r="X36" s="1">
        <f t="shared" ref="X36:X50" si="35">+P36-T36</f>
        <v>-138.47</v>
      </c>
      <c r="Y36" s="1"/>
      <c r="Z36" s="5">
        <f t="shared" ref="Z36:Z50" si="36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9"/>
        <v>0</v>
      </c>
      <c r="G37" s="2"/>
      <c r="H37" s="7">
        <v>74.95</v>
      </c>
      <c r="I37" s="2"/>
      <c r="J37" s="6">
        <f t="shared" si="30"/>
        <v>1.8622644837961871E-3</v>
      </c>
      <c r="K37" s="2"/>
      <c r="L37" s="7">
        <f t="shared" si="31"/>
        <v>-74.95</v>
      </c>
      <c r="M37" s="2"/>
      <c r="N37" s="6">
        <f t="shared" si="32"/>
        <v>-1</v>
      </c>
      <c r="O37" s="11"/>
      <c r="P37" s="7"/>
      <c r="Q37" s="2"/>
      <c r="R37" s="6">
        <f t="shared" si="33"/>
        <v>0</v>
      </c>
      <c r="S37" s="2"/>
      <c r="T37" s="7">
        <v>138.47</v>
      </c>
      <c r="U37" s="2"/>
      <c r="V37" s="6">
        <f t="shared" si="34"/>
        <v>2.3788805843865239E-3</v>
      </c>
      <c r="W37" s="2"/>
      <c r="X37" s="7">
        <f t="shared" si="35"/>
        <v>-138.47</v>
      </c>
      <c r="Y37" s="2"/>
      <c r="Z37" s="6">
        <f t="shared" si="36"/>
        <v>-1</v>
      </c>
    </row>
    <row r="38" spans="1:26" s="28" customFormat="1" outlineLevel="1" collapsed="1" x14ac:dyDescent="0.25">
      <c r="A38" s="27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0</v>
      </c>
      <c r="E38" s="1"/>
      <c r="F38" s="5">
        <f t="shared" si="29"/>
        <v>0</v>
      </c>
      <c r="G38" s="1"/>
      <c r="H38" s="1">
        <f>SUM(OSRRefH22_3x_0)</f>
        <v>18.12</v>
      </c>
      <c r="I38" s="1"/>
      <c r="J38" s="5">
        <f t="shared" si="30"/>
        <v>4.5022324811723702E-4</v>
      </c>
      <c r="K38" s="1"/>
      <c r="L38" s="1">
        <f t="shared" si="31"/>
        <v>-18.12</v>
      </c>
      <c r="M38" s="1"/>
      <c r="N38" s="5">
        <f t="shared" si="32"/>
        <v>-1</v>
      </c>
      <c r="O38" s="14"/>
      <c r="P38" s="1">
        <f>SUM(OSRRefP22_3x_0)</f>
        <v>0</v>
      </c>
      <c r="Q38" s="1"/>
      <c r="R38" s="5">
        <f t="shared" si="33"/>
        <v>0</v>
      </c>
      <c r="S38" s="1"/>
      <c r="T38" s="1">
        <f>SUM(OSRRefT22_3x_0)</f>
        <v>2.23</v>
      </c>
      <c r="U38" s="1"/>
      <c r="V38" s="5">
        <f t="shared" si="34"/>
        <v>3.8310852193124489E-5</v>
      </c>
      <c r="W38" s="1"/>
      <c r="X38" s="1">
        <f t="shared" si="35"/>
        <v>-2.23</v>
      </c>
      <c r="Y38" s="1"/>
      <c r="Z38" s="5">
        <f t="shared" si="36"/>
        <v>-1</v>
      </c>
    </row>
    <row r="39" spans="1:26" s="24" customFormat="1" hidden="1" outlineLevel="2" x14ac:dyDescent="0.25">
      <c r="A39" s="29"/>
      <c r="B39" s="11" t="str">
        <f>CONCATENATE("          ", "6272", " - ", "CASH (OVER/SHORT)")</f>
        <v xml:space="preserve">          6272 - CASH (OVER/SHORT)</v>
      </c>
      <c r="C39" s="11"/>
      <c r="D39" s="7"/>
      <c r="E39" s="2"/>
      <c r="F39" s="6">
        <f t="shared" si="29"/>
        <v>0</v>
      </c>
      <c r="G39" s="2"/>
      <c r="H39" s="7">
        <v>18.12</v>
      </c>
      <c r="I39" s="2"/>
      <c r="J39" s="6">
        <f t="shared" si="30"/>
        <v>4.5022324811723702E-4</v>
      </c>
      <c r="K39" s="2"/>
      <c r="L39" s="7">
        <f t="shared" si="31"/>
        <v>-18.12</v>
      </c>
      <c r="M39" s="2"/>
      <c r="N39" s="6">
        <f t="shared" si="32"/>
        <v>-1</v>
      </c>
      <c r="O39" s="11"/>
      <c r="P39" s="7"/>
      <c r="Q39" s="2"/>
      <c r="R39" s="6">
        <f t="shared" si="33"/>
        <v>0</v>
      </c>
      <c r="S39" s="2"/>
      <c r="T39" s="7">
        <v>2.23</v>
      </c>
      <c r="U39" s="2"/>
      <c r="V39" s="6">
        <f t="shared" si="34"/>
        <v>3.8310852193124489E-5</v>
      </c>
      <c r="W39" s="2"/>
      <c r="X39" s="7">
        <f t="shared" si="35"/>
        <v>-2.23</v>
      </c>
      <c r="Y39" s="2"/>
      <c r="Z39" s="6">
        <f t="shared" si="36"/>
        <v>-1</v>
      </c>
    </row>
    <row r="40" spans="1:26" s="28" customFormat="1" outlineLevel="1" collapsed="1" x14ac:dyDescent="0.25">
      <c r="A40" s="27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0</v>
      </c>
      <c r="E40" s="1"/>
      <c r="F40" s="5">
        <f t="shared" si="29"/>
        <v>0</v>
      </c>
      <c r="G40" s="1"/>
      <c r="H40" s="1">
        <f>SUM(OSRRefH22_4x_0)</f>
        <v>902.73</v>
      </c>
      <c r="I40" s="1"/>
      <c r="J40" s="5">
        <f t="shared" si="30"/>
        <v>2.2429913508436719E-2</v>
      </c>
      <c r="K40" s="1"/>
      <c r="L40" s="1">
        <f t="shared" si="31"/>
        <v>-902.73</v>
      </c>
      <c r="M40" s="1"/>
      <c r="N40" s="5">
        <f t="shared" si="32"/>
        <v>-1</v>
      </c>
      <c r="O40" s="14"/>
      <c r="P40" s="1">
        <f>SUM(OSRRefP22_4x_0)</f>
        <v>0</v>
      </c>
      <c r="Q40" s="1"/>
      <c r="R40" s="5">
        <f t="shared" si="33"/>
        <v>0</v>
      </c>
      <c r="S40" s="1"/>
      <c r="T40" s="1">
        <f>SUM(OSRRefT22_4x_0)</f>
        <v>1264.74</v>
      </c>
      <c r="U40" s="1"/>
      <c r="V40" s="5">
        <f t="shared" si="34"/>
        <v>2.1727922512435993E-2</v>
      </c>
      <c r="W40" s="1"/>
      <c r="X40" s="1">
        <f t="shared" si="35"/>
        <v>-1264.74</v>
      </c>
      <c r="Y40" s="1"/>
      <c r="Z40" s="5">
        <f t="shared" si="36"/>
        <v>-1</v>
      </c>
    </row>
    <row r="41" spans="1:26" s="24" customFormat="1" hidden="1" outlineLevel="2" x14ac:dyDescent="0.25">
      <c r="A41" s="29"/>
      <c r="B41" s="11" t="str">
        <f>CONCATENATE("          ", "6381", " - ", "BANK/CREDIT CARD FEES")</f>
        <v xml:space="preserve">          6381 - BANK/CREDIT CARD FEES</v>
      </c>
      <c r="C41" s="11"/>
      <c r="D41" s="7"/>
      <c r="E41" s="2"/>
      <c r="F41" s="6">
        <f t="shared" si="29"/>
        <v>0</v>
      </c>
      <c r="G41" s="2"/>
      <c r="H41" s="7">
        <v>902.73</v>
      </c>
      <c r="I41" s="2"/>
      <c r="J41" s="6">
        <f t="shared" si="30"/>
        <v>2.2429913508436719E-2</v>
      </c>
      <c r="K41" s="2"/>
      <c r="L41" s="7">
        <f t="shared" si="31"/>
        <v>-902.73</v>
      </c>
      <c r="M41" s="2"/>
      <c r="N41" s="6">
        <f t="shared" si="32"/>
        <v>-1</v>
      </c>
      <c r="O41" s="11"/>
      <c r="P41" s="7"/>
      <c r="Q41" s="2"/>
      <c r="R41" s="6">
        <f t="shared" si="33"/>
        <v>0</v>
      </c>
      <c r="S41" s="2"/>
      <c r="T41" s="7">
        <v>1264.74</v>
      </c>
      <c r="U41" s="2"/>
      <c r="V41" s="6">
        <f t="shared" si="34"/>
        <v>2.1727922512435993E-2</v>
      </c>
      <c r="W41" s="2"/>
      <c r="X41" s="7">
        <f t="shared" si="35"/>
        <v>-1264.74</v>
      </c>
      <c r="Y41" s="2"/>
      <c r="Z41" s="6">
        <f t="shared" si="36"/>
        <v>-1</v>
      </c>
    </row>
    <row r="42" spans="1:26" s="28" customFormat="1" outlineLevel="1" collapsed="1" x14ac:dyDescent="0.25">
      <c r="A42" s="27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1825.26</v>
      </c>
      <c r="E42" s="1"/>
      <c r="F42" s="5">
        <f t="shared" si="29"/>
        <v>0</v>
      </c>
      <c r="G42" s="1"/>
      <c r="H42" s="1">
        <f>SUM(OSRRefH22_5x_0)</f>
        <v>1647.59</v>
      </c>
      <c r="I42" s="1"/>
      <c r="J42" s="5">
        <f t="shared" si="30"/>
        <v>4.0937269391030817E-2</v>
      </c>
      <c r="K42" s="1"/>
      <c r="L42" s="1">
        <f t="shared" si="31"/>
        <v>177.67000000000007</v>
      </c>
      <c r="M42" s="1"/>
      <c r="N42" s="5">
        <f t="shared" si="32"/>
        <v>0.10783629422368433</v>
      </c>
      <c r="O42" s="14"/>
      <c r="P42" s="1">
        <f>SUM(OSRRefP22_5x_0)</f>
        <v>3797.31</v>
      </c>
      <c r="Q42" s="1"/>
      <c r="R42" s="5">
        <f t="shared" si="33"/>
        <v>3.8950364649044529</v>
      </c>
      <c r="S42" s="1"/>
      <c r="T42" s="1">
        <f>SUM(OSRRefT22_5x_0)</f>
        <v>3295.18</v>
      </c>
      <c r="U42" s="1"/>
      <c r="V42" s="5">
        <f t="shared" si="34"/>
        <v>5.6610382928134508E-2</v>
      </c>
      <c r="W42" s="1"/>
      <c r="X42" s="1">
        <f t="shared" si="35"/>
        <v>502.13000000000011</v>
      </c>
      <c r="Y42" s="1"/>
      <c r="Z42" s="5">
        <f t="shared" si="36"/>
        <v>0.15238317785371364</v>
      </c>
    </row>
    <row r="43" spans="1:26" s="24" customFormat="1" hidden="1" outlineLevel="2" x14ac:dyDescent="0.25">
      <c r="A43" s="29"/>
      <c r="B43" s="11" t="str">
        <f>CONCATENATE("          ", "6322", " - ", "EQUIPMENT DEPRECIATION EXPENSE")</f>
        <v xml:space="preserve">          6322 - EQUIPMENT DEPRECIATION EXPENSE</v>
      </c>
      <c r="C43" s="11"/>
      <c r="D43" s="7">
        <v>1825.26</v>
      </c>
      <c r="E43" s="2"/>
      <c r="F43" s="6">
        <f t="shared" si="29"/>
        <v>0</v>
      </c>
      <c r="G43" s="2"/>
      <c r="H43" s="7">
        <v>1647.59</v>
      </c>
      <c r="I43" s="2"/>
      <c r="J43" s="6">
        <f t="shared" si="30"/>
        <v>4.0937269391030817E-2</v>
      </c>
      <c r="K43" s="2"/>
      <c r="L43" s="7">
        <f t="shared" si="31"/>
        <v>177.67000000000007</v>
      </c>
      <c r="M43" s="2"/>
      <c r="N43" s="6">
        <f t="shared" si="32"/>
        <v>0.10783629422368433</v>
      </c>
      <c r="O43" s="11"/>
      <c r="P43" s="7">
        <v>3797.31</v>
      </c>
      <c r="Q43" s="2"/>
      <c r="R43" s="6">
        <f t="shared" si="33"/>
        <v>3.8950364649044529</v>
      </c>
      <c r="S43" s="2"/>
      <c r="T43" s="7">
        <v>3295.18</v>
      </c>
      <c r="U43" s="2"/>
      <c r="V43" s="6">
        <f t="shared" si="34"/>
        <v>5.6610382928134508E-2</v>
      </c>
      <c r="W43" s="2"/>
      <c r="X43" s="7">
        <f t="shared" si="35"/>
        <v>502.13000000000011</v>
      </c>
      <c r="Y43" s="2"/>
      <c r="Z43" s="6">
        <f t="shared" si="36"/>
        <v>0.15238317785371364</v>
      </c>
    </row>
    <row r="44" spans="1:26" s="28" customFormat="1" outlineLevel="1" collapsed="1" x14ac:dyDescent="0.25">
      <c r="A44" s="27"/>
      <c r="B44" s="14" t="str">
        <f>CONCATENATE("     ","Equipment Rental                                  ")</f>
        <v xml:space="preserve">     Equipment Rental                                  </v>
      </c>
      <c r="C44" s="14"/>
      <c r="D44" s="1">
        <f>SUM(OSRRefD22_6x_0)</f>
        <v>0</v>
      </c>
      <c r="E44" s="1"/>
      <c r="F44" s="5">
        <f t="shared" si="29"/>
        <v>0</v>
      </c>
      <c r="G44" s="1"/>
      <c r="H44" s="1">
        <f>SUM(OSRRefH22_6x_0)</f>
        <v>118.91</v>
      </c>
      <c r="I44" s="1"/>
      <c r="J44" s="5">
        <f t="shared" si="30"/>
        <v>2.9545279488753119E-3</v>
      </c>
      <c r="K44" s="1"/>
      <c r="L44" s="1">
        <f t="shared" si="31"/>
        <v>-118.91</v>
      </c>
      <c r="M44" s="1"/>
      <c r="N44" s="5">
        <f t="shared" si="32"/>
        <v>-1</v>
      </c>
      <c r="O44" s="14"/>
      <c r="P44" s="1">
        <f>SUM(OSRRefP22_6x_0)</f>
        <v>0</v>
      </c>
      <c r="Q44" s="1"/>
      <c r="R44" s="5">
        <f t="shared" si="33"/>
        <v>0</v>
      </c>
      <c r="S44" s="1"/>
      <c r="T44" s="1">
        <f>SUM(OSRRefT22_6x_0)</f>
        <v>237.82</v>
      </c>
      <c r="U44" s="1"/>
      <c r="V44" s="5">
        <f t="shared" si="34"/>
        <v>4.0856891787304332E-3</v>
      </c>
      <c r="W44" s="1"/>
      <c r="X44" s="1">
        <f t="shared" si="35"/>
        <v>-237.82</v>
      </c>
      <c r="Y44" s="1"/>
      <c r="Z44" s="5">
        <f t="shared" si="36"/>
        <v>-1</v>
      </c>
    </row>
    <row r="45" spans="1:26" s="24" customFormat="1" hidden="1" outlineLevel="2" x14ac:dyDescent="0.25">
      <c r="A45" s="29"/>
      <c r="B45" s="11" t="str">
        <f>CONCATENATE("          ", "6351", " - ", "EQUIPMENT RENTAL")</f>
        <v xml:space="preserve">          6351 - EQUIPMENT RENTAL</v>
      </c>
      <c r="C45" s="11"/>
      <c r="D45" s="7"/>
      <c r="E45" s="2"/>
      <c r="F45" s="6">
        <f t="shared" si="29"/>
        <v>0</v>
      </c>
      <c r="G45" s="2"/>
      <c r="H45" s="7">
        <v>118.91</v>
      </c>
      <c r="I45" s="2"/>
      <c r="J45" s="6">
        <f t="shared" si="30"/>
        <v>2.9545279488753119E-3</v>
      </c>
      <c r="K45" s="2"/>
      <c r="L45" s="7">
        <f t="shared" si="31"/>
        <v>-118.91</v>
      </c>
      <c r="M45" s="2"/>
      <c r="N45" s="6">
        <f t="shared" si="32"/>
        <v>-1</v>
      </c>
      <c r="O45" s="11"/>
      <c r="P45" s="7"/>
      <c r="Q45" s="2"/>
      <c r="R45" s="6">
        <f t="shared" si="33"/>
        <v>0</v>
      </c>
      <c r="S45" s="2"/>
      <c r="T45" s="7">
        <v>237.82</v>
      </c>
      <c r="U45" s="2"/>
      <c r="V45" s="6">
        <f t="shared" si="34"/>
        <v>4.0856891787304332E-3</v>
      </c>
      <c r="W45" s="2"/>
      <c r="X45" s="7">
        <f t="shared" si="35"/>
        <v>-237.82</v>
      </c>
      <c r="Y45" s="2"/>
      <c r="Z45" s="6">
        <f t="shared" si="36"/>
        <v>-1</v>
      </c>
    </row>
    <row r="46" spans="1:26" s="28" customFormat="1" outlineLevel="1" collapsed="1" x14ac:dyDescent="0.25">
      <c r="A46" s="27"/>
      <c r="B46" s="14" t="str">
        <f>CONCATENATE("     ","General                                           ")</f>
        <v xml:space="preserve">     General                                           </v>
      </c>
      <c r="C46" s="14"/>
      <c r="D46" s="1">
        <f>SUM(OSRRefD22_7x_0)</f>
        <v>7.28</v>
      </c>
      <c r="E46" s="1"/>
      <c r="F46" s="5">
        <f t="shared" si="29"/>
        <v>0</v>
      </c>
      <c r="G46" s="1"/>
      <c r="H46" s="1">
        <f>SUM(OSRRefH22_7x_0)</f>
        <v>703.44</v>
      </c>
      <c r="I46" s="1"/>
      <c r="J46" s="5">
        <f t="shared" si="30"/>
        <v>1.7478203181875783E-2</v>
      </c>
      <c r="K46" s="1"/>
      <c r="L46" s="1">
        <f t="shared" si="31"/>
        <v>-696.16000000000008</v>
      </c>
      <c r="M46" s="1"/>
      <c r="N46" s="5">
        <f t="shared" si="32"/>
        <v>-0.98965085863755264</v>
      </c>
      <c r="O46" s="14"/>
      <c r="P46" s="1">
        <f>SUM(OSRRefP22_7x_0)</f>
        <v>7.28</v>
      </c>
      <c r="Q46" s="1"/>
      <c r="R46" s="5">
        <f t="shared" si="33"/>
        <v>7.467355961063073E-3</v>
      </c>
      <c r="S46" s="1"/>
      <c r="T46" s="1">
        <f>SUM(OSRRefT22_7x_0)</f>
        <v>1769.51</v>
      </c>
      <c r="U46" s="1"/>
      <c r="V46" s="5">
        <f t="shared" si="34"/>
        <v>3.0399747114016017E-2</v>
      </c>
      <c r="W46" s="1"/>
      <c r="X46" s="1">
        <f t="shared" si="35"/>
        <v>-1762.23</v>
      </c>
      <c r="Y46" s="1"/>
      <c r="Z46" s="5">
        <f t="shared" si="36"/>
        <v>-0.99588586670886292</v>
      </c>
    </row>
    <row r="47" spans="1:26" s="24" customFormat="1" hidden="1" outlineLevel="2" x14ac:dyDescent="0.25">
      <c r="A47" s="29"/>
      <c r="B47" s="11" t="str">
        <f>CONCATENATE("          ", "6279", " - ", "GENERAL EXPENSE")</f>
        <v xml:space="preserve">          6279 - GENERAL EXPENSE</v>
      </c>
      <c r="C47" s="11"/>
      <c r="D47" s="7">
        <v>7.28</v>
      </c>
      <c r="E47" s="2"/>
      <c r="F47" s="6">
        <f t="shared" si="29"/>
        <v>0</v>
      </c>
      <c r="G47" s="2"/>
      <c r="H47" s="7">
        <v>703.44</v>
      </c>
      <c r="I47" s="2"/>
      <c r="J47" s="6">
        <f t="shared" si="30"/>
        <v>1.7478203181875783E-2</v>
      </c>
      <c r="K47" s="2"/>
      <c r="L47" s="7">
        <f t="shared" si="31"/>
        <v>-696.16000000000008</v>
      </c>
      <c r="M47" s="2"/>
      <c r="N47" s="6">
        <f t="shared" si="32"/>
        <v>-0.98965085863755264</v>
      </c>
      <c r="O47" s="11"/>
      <c r="P47" s="7">
        <v>7.28</v>
      </c>
      <c r="Q47" s="2"/>
      <c r="R47" s="6">
        <f t="shared" si="33"/>
        <v>7.467355961063073E-3</v>
      </c>
      <c r="S47" s="2"/>
      <c r="T47" s="7">
        <v>1769.51</v>
      </c>
      <c r="U47" s="2"/>
      <c r="V47" s="6">
        <f t="shared" si="34"/>
        <v>3.0399747114016017E-2</v>
      </c>
      <c r="W47" s="2"/>
      <c r="X47" s="7">
        <f t="shared" si="35"/>
        <v>-1762.23</v>
      </c>
      <c r="Y47" s="2"/>
      <c r="Z47" s="6">
        <f t="shared" si="36"/>
        <v>-0.99588586670886292</v>
      </c>
    </row>
    <row r="48" spans="1:26" s="28" customFormat="1" outlineLevel="1" collapsed="1" x14ac:dyDescent="0.25">
      <c r="A48" s="27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SUM(OSRRefD22_8x_0)</f>
        <v>39.299999999999997</v>
      </c>
      <c r="E48" s="1"/>
      <c r="F48" s="5">
        <f t="shared" si="29"/>
        <v>0</v>
      </c>
      <c r="G48" s="1"/>
      <c r="H48" s="1">
        <f>SUM(OSRRefH22_8x_0)</f>
        <v>537.73</v>
      </c>
      <c r="I48" s="1"/>
      <c r="J48" s="5">
        <f t="shared" si="30"/>
        <v>1.3360846976273832E-2</v>
      </c>
      <c r="K48" s="1"/>
      <c r="L48" s="1">
        <f t="shared" si="31"/>
        <v>-498.43</v>
      </c>
      <c r="M48" s="1"/>
      <c r="N48" s="5">
        <f t="shared" si="32"/>
        <v>-0.92691499451397541</v>
      </c>
      <c r="O48" s="14"/>
      <c r="P48" s="1">
        <f>SUM(OSRRefP22_8x_0)</f>
        <v>39.299999999999997</v>
      </c>
      <c r="Q48" s="1"/>
      <c r="R48" s="5">
        <f t="shared" si="33"/>
        <v>4.0311413361233346E-2</v>
      </c>
      <c r="S48" s="1"/>
      <c r="T48" s="1">
        <f>SUM(OSRRefT22_8x_0)</f>
        <v>3184.3</v>
      </c>
      <c r="U48" s="1"/>
      <c r="V48" s="5">
        <f t="shared" si="34"/>
        <v>5.4705491766173238E-2</v>
      </c>
      <c r="W48" s="1"/>
      <c r="X48" s="1">
        <f t="shared" si="35"/>
        <v>-3145</v>
      </c>
      <c r="Y48" s="1"/>
      <c r="Z48" s="5">
        <f t="shared" si="36"/>
        <v>-0.98765819803410482</v>
      </c>
    </row>
    <row r="49" spans="1:26" s="24" customFormat="1" hidden="1" outlineLevel="2" x14ac:dyDescent="0.25">
      <c r="A49" s="29"/>
      <c r="B49" s="11" t="str">
        <f>CONCATENATE("          ", "6373", " - ", "MAINTENANCE CONTRACTS")</f>
        <v xml:space="preserve">          6373 - MAINTENANCE CONTRACTS</v>
      </c>
      <c r="C49" s="11"/>
      <c r="D49" s="7">
        <v>39.299999999999997</v>
      </c>
      <c r="E49" s="2"/>
      <c r="F49" s="6">
        <f t="shared" si="29"/>
        <v>0</v>
      </c>
      <c r="G49" s="2"/>
      <c r="H49" s="7"/>
      <c r="I49" s="2"/>
      <c r="J49" s="6">
        <f t="shared" si="30"/>
        <v>0</v>
      </c>
      <c r="K49" s="2"/>
      <c r="L49" s="7">
        <f t="shared" si="31"/>
        <v>39.299999999999997</v>
      </c>
      <c r="M49" s="2"/>
      <c r="N49" s="6">
        <f t="shared" si="32"/>
        <v>0</v>
      </c>
      <c r="O49" s="11"/>
      <c r="P49" s="7">
        <v>39.299999999999997</v>
      </c>
      <c r="Q49" s="2"/>
      <c r="R49" s="6">
        <f t="shared" si="33"/>
        <v>4.0311413361233346E-2</v>
      </c>
      <c r="S49" s="2"/>
      <c r="T49" s="7"/>
      <c r="U49" s="2"/>
      <c r="V49" s="6">
        <f t="shared" si="34"/>
        <v>0</v>
      </c>
      <c r="W49" s="2"/>
      <c r="X49" s="7">
        <f t="shared" si="35"/>
        <v>39.299999999999997</v>
      </c>
      <c r="Y49" s="2"/>
      <c r="Z49" s="6">
        <f t="shared" si="36"/>
        <v>0</v>
      </c>
    </row>
    <row r="50" spans="1:26" s="24" customFormat="1" hidden="1" outlineLevel="2" x14ac:dyDescent="0.25">
      <c r="A50" s="29"/>
      <c r="B50" s="11" t="str">
        <f>CONCATENATE("          ", "6375", " - ", "OUTSIDE REPAIRS &amp; MAINTENANCE")</f>
        <v xml:space="preserve">          6375 - OUTSIDE REPAIRS &amp; MAINTENANCE</v>
      </c>
      <c r="C50" s="11"/>
      <c r="D50" s="7"/>
      <c r="E50" s="2"/>
      <c r="F50" s="6">
        <f t="shared" si="29"/>
        <v>0</v>
      </c>
      <c r="G50" s="2"/>
      <c r="H50" s="7">
        <v>537.73</v>
      </c>
      <c r="I50" s="2"/>
      <c r="J50" s="6">
        <f t="shared" si="30"/>
        <v>1.3360846976273832E-2</v>
      </c>
      <c r="K50" s="2"/>
      <c r="L50" s="7">
        <f t="shared" si="31"/>
        <v>-537.73</v>
      </c>
      <c r="M50" s="2"/>
      <c r="N50" s="6">
        <f t="shared" si="32"/>
        <v>-1</v>
      </c>
      <c r="O50" s="11"/>
      <c r="P50" s="7"/>
      <c r="Q50" s="2"/>
      <c r="R50" s="6">
        <f t="shared" si="33"/>
        <v>0</v>
      </c>
      <c r="S50" s="2"/>
      <c r="T50" s="7">
        <v>3184.3</v>
      </c>
      <c r="U50" s="2"/>
      <c r="V50" s="6">
        <f t="shared" si="34"/>
        <v>5.4705491766173238E-2</v>
      </c>
      <c r="W50" s="2"/>
      <c r="X50" s="7">
        <f t="shared" si="35"/>
        <v>-3184.3</v>
      </c>
      <c r="Y50" s="2"/>
      <c r="Z50" s="6">
        <f t="shared" si="36"/>
        <v>-1</v>
      </c>
    </row>
    <row r="51" spans="1:26" s="28" customFormat="1" outlineLevel="1" collapsed="1" x14ac:dyDescent="0.25">
      <c r="A51" s="27"/>
      <c r="B51" s="14" t="str">
        <f>CONCATENATE("     ","Royalty &amp; Commissions                             ")</f>
        <v xml:space="preserve">     Royalty &amp; Commissions                             </v>
      </c>
      <c r="C51" s="14"/>
      <c r="D51" s="1">
        <f>SUM(OSRRefD22_9x_0)</f>
        <v>0</v>
      </c>
      <c r="E51" s="1"/>
      <c r="F51" s="5">
        <f t="shared" ref="F51:F64" si="37">IF(D$12=0,0,D51/D$12)</f>
        <v>0</v>
      </c>
      <c r="G51" s="1"/>
      <c r="H51" s="1">
        <f>SUM(OSRRefH22_9x_0)</f>
        <v>0</v>
      </c>
      <c r="I51" s="1"/>
      <c r="J51" s="5">
        <f t="shared" ref="J51:J64" si="38">IF(H$12=0,0,H51/H$12)</f>
        <v>0</v>
      </c>
      <c r="K51" s="1"/>
      <c r="L51" s="1">
        <f t="shared" ref="L51:L64" si="39">+D51-H51</f>
        <v>0</v>
      </c>
      <c r="M51" s="1"/>
      <c r="N51" s="5">
        <f t="shared" ref="N51:N64" si="40">IF(H51=0,0,L51/H51)</f>
        <v>0</v>
      </c>
      <c r="O51" s="14"/>
      <c r="P51" s="1">
        <f>SUM(OSRRefP22_9x_0)</f>
        <v>0</v>
      </c>
      <c r="Q51" s="1"/>
      <c r="R51" s="5">
        <f t="shared" ref="R51:R64" si="41">IF(P$12=0,0,P51/P$12)</f>
        <v>0</v>
      </c>
      <c r="S51" s="1"/>
      <c r="T51" s="1">
        <f>SUM(OSRRefT22_9x_0)</f>
        <v>1436.88</v>
      </c>
      <c r="U51" s="1"/>
      <c r="V51" s="5">
        <f t="shared" ref="V51:V64" si="42">IF(T$12=0,0,T51/T$12)</f>
        <v>2.4685245425675659E-2</v>
      </c>
      <c r="W51" s="1"/>
      <c r="X51" s="1">
        <f t="shared" ref="X51:X64" si="43">+P51-T51</f>
        <v>-1436.88</v>
      </c>
      <c r="Y51" s="1"/>
      <c r="Z51" s="5">
        <f t="shared" ref="Z51:Z64" si="44">IF(T51=0,0,X51/T51)</f>
        <v>-1</v>
      </c>
    </row>
    <row r="52" spans="1:26" s="24" customFormat="1" hidden="1" outlineLevel="2" x14ac:dyDescent="0.25">
      <c r="A52" s="29"/>
      <c r="B52" s="11" t="str">
        <f>CONCATENATE("          ", "6259", " - ", "ROYALTY &amp; COMMISSIONS")</f>
        <v xml:space="preserve">          6259 - ROYALTY &amp; COMMISSIONS</v>
      </c>
      <c r="C52" s="11"/>
      <c r="D52" s="7"/>
      <c r="E52" s="2"/>
      <c r="F52" s="6">
        <f t="shared" si="37"/>
        <v>0</v>
      </c>
      <c r="G52" s="2"/>
      <c r="H52" s="7"/>
      <c r="I52" s="2"/>
      <c r="J52" s="6">
        <f t="shared" si="38"/>
        <v>0</v>
      </c>
      <c r="K52" s="2"/>
      <c r="L52" s="7">
        <f t="shared" si="39"/>
        <v>0</v>
      </c>
      <c r="M52" s="2"/>
      <c r="N52" s="6">
        <f t="shared" si="40"/>
        <v>0</v>
      </c>
      <c r="O52" s="11"/>
      <c r="P52" s="7"/>
      <c r="Q52" s="2"/>
      <c r="R52" s="6">
        <f t="shared" si="41"/>
        <v>0</v>
      </c>
      <c r="S52" s="2"/>
      <c r="T52" s="7">
        <v>1436.88</v>
      </c>
      <c r="U52" s="2"/>
      <c r="V52" s="6">
        <f t="shared" si="42"/>
        <v>2.4685245425675659E-2</v>
      </c>
      <c r="W52" s="2"/>
      <c r="X52" s="7">
        <f t="shared" si="43"/>
        <v>-1436.88</v>
      </c>
      <c r="Y52" s="2"/>
      <c r="Z52" s="6">
        <f t="shared" si="44"/>
        <v>-1</v>
      </c>
    </row>
    <row r="53" spans="1:26" s="28" customFormat="1" outlineLevel="1" collapsed="1" x14ac:dyDescent="0.25">
      <c r="A53" s="27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0</v>
      </c>
      <c r="E53" s="1"/>
      <c r="F53" s="5">
        <f t="shared" si="37"/>
        <v>0</v>
      </c>
      <c r="G53" s="1"/>
      <c r="H53" s="1">
        <f>SUM(OSRRefH22_10x_0)</f>
        <v>48.74</v>
      </c>
      <c r="I53" s="1"/>
      <c r="J53" s="5">
        <f t="shared" si="38"/>
        <v>1.2110309665140249E-3</v>
      </c>
      <c r="K53" s="1"/>
      <c r="L53" s="1">
        <f t="shared" si="39"/>
        <v>-48.74</v>
      </c>
      <c r="M53" s="1"/>
      <c r="N53" s="5">
        <f t="shared" si="40"/>
        <v>-1</v>
      </c>
      <c r="O53" s="14"/>
      <c r="P53" s="1">
        <f>SUM(OSRRefP22_10x_0)</f>
        <v>0</v>
      </c>
      <c r="Q53" s="1"/>
      <c r="R53" s="5">
        <f t="shared" si="41"/>
        <v>0</v>
      </c>
      <c r="S53" s="1"/>
      <c r="T53" s="1">
        <f>SUM(OSRRefT22_10x_0)</f>
        <v>86.1</v>
      </c>
      <c r="U53" s="1"/>
      <c r="V53" s="5">
        <f t="shared" si="42"/>
        <v>1.4791768492502324E-3</v>
      </c>
      <c r="W53" s="1"/>
      <c r="X53" s="1">
        <f t="shared" si="43"/>
        <v>-86.1</v>
      </c>
      <c r="Y53" s="1"/>
      <c r="Z53" s="5">
        <f t="shared" si="44"/>
        <v>-1</v>
      </c>
    </row>
    <row r="54" spans="1:26" s="24" customFormat="1" hidden="1" outlineLevel="2" x14ac:dyDescent="0.25">
      <c r="A54" s="29"/>
      <c r="B54" s="11" t="str">
        <f>CONCATENATE("          ", "6286", " - ", "LAUNDRY EXPENSE")</f>
        <v xml:space="preserve">          6286 - LAUNDRY EXPENSE</v>
      </c>
      <c r="C54" s="11"/>
      <c r="D54" s="7"/>
      <c r="E54" s="2"/>
      <c r="F54" s="6">
        <f t="shared" si="37"/>
        <v>0</v>
      </c>
      <c r="G54" s="2"/>
      <c r="H54" s="7">
        <v>48.74</v>
      </c>
      <c r="I54" s="2"/>
      <c r="J54" s="6">
        <f t="shared" si="38"/>
        <v>1.2110309665140249E-3</v>
      </c>
      <c r="K54" s="2"/>
      <c r="L54" s="7">
        <f t="shared" si="39"/>
        <v>-48.74</v>
      </c>
      <c r="M54" s="2"/>
      <c r="N54" s="6">
        <f t="shared" si="40"/>
        <v>-1</v>
      </c>
      <c r="O54" s="11"/>
      <c r="P54" s="7"/>
      <c r="Q54" s="2"/>
      <c r="R54" s="6">
        <f t="shared" si="41"/>
        <v>0</v>
      </c>
      <c r="S54" s="2"/>
      <c r="T54" s="7">
        <v>86.1</v>
      </c>
      <c r="U54" s="2"/>
      <c r="V54" s="6">
        <f t="shared" si="42"/>
        <v>1.4791768492502324E-3</v>
      </c>
      <c r="W54" s="2"/>
      <c r="X54" s="7">
        <f t="shared" si="43"/>
        <v>-86.1</v>
      </c>
      <c r="Y54" s="2"/>
      <c r="Z54" s="6">
        <f t="shared" si="44"/>
        <v>-1</v>
      </c>
    </row>
    <row r="55" spans="1:26" s="28" customFormat="1" outlineLevel="1" collapsed="1" x14ac:dyDescent="0.25">
      <c r="A55" s="27"/>
      <c r="B55" s="14" t="str">
        <f>CONCATENATE("     ","Subscriptions &amp; Dues                              ")</f>
        <v xml:space="preserve">     Subscriptions &amp; Dues                              </v>
      </c>
      <c r="C55" s="14"/>
      <c r="D55" s="1">
        <f>SUM(OSRRefD22_11x_0)</f>
        <v>0</v>
      </c>
      <c r="E55" s="1"/>
      <c r="F55" s="5">
        <f t="shared" si="37"/>
        <v>0</v>
      </c>
      <c r="G55" s="1"/>
      <c r="H55" s="1">
        <f>SUM(OSRRefH22_11x_0)</f>
        <v>30.68</v>
      </c>
      <c r="I55" s="1"/>
      <c r="J55" s="5">
        <f t="shared" si="38"/>
        <v>7.6229852385412968E-4</v>
      </c>
      <c r="K55" s="1"/>
      <c r="L55" s="1">
        <f t="shared" si="39"/>
        <v>-30.68</v>
      </c>
      <c r="M55" s="1"/>
      <c r="N55" s="5">
        <f t="shared" si="40"/>
        <v>-1</v>
      </c>
      <c r="O55" s="14"/>
      <c r="P55" s="1">
        <f>SUM(OSRRefP22_11x_0)</f>
        <v>0</v>
      </c>
      <c r="Q55" s="1"/>
      <c r="R55" s="5">
        <f t="shared" si="41"/>
        <v>0</v>
      </c>
      <c r="S55" s="1"/>
      <c r="T55" s="1">
        <f>SUM(OSRRefT22_11x_0)</f>
        <v>30.68</v>
      </c>
      <c r="U55" s="1"/>
      <c r="V55" s="5">
        <f t="shared" si="42"/>
        <v>5.2707486335652884E-4</v>
      </c>
      <c r="W55" s="1"/>
      <c r="X55" s="1">
        <f t="shared" si="43"/>
        <v>-30.68</v>
      </c>
      <c r="Y55" s="1"/>
      <c r="Z55" s="5">
        <f t="shared" si="44"/>
        <v>-1</v>
      </c>
    </row>
    <row r="56" spans="1:26" s="24" customFormat="1" hidden="1" outlineLevel="2" x14ac:dyDescent="0.25">
      <c r="A56" s="29"/>
      <c r="B56" s="11" t="str">
        <f>CONCATENATE("          ", "6275", " - ", "SUBSCRIPTIONS")</f>
        <v xml:space="preserve">          6275 - SUBSCRIPTIONS</v>
      </c>
      <c r="C56" s="11"/>
      <c r="D56" s="7"/>
      <c r="E56" s="2"/>
      <c r="F56" s="6">
        <f t="shared" si="37"/>
        <v>0</v>
      </c>
      <c r="G56" s="2"/>
      <c r="H56" s="7">
        <v>30.68</v>
      </c>
      <c r="I56" s="2"/>
      <c r="J56" s="6">
        <f t="shared" si="38"/>
        <v>7.6229852385412968E-4</v>
      </c>
      <c r="K56" s="2"/>
      <c r="L56" s="7">
        <f t="shared" si="39"/>
        <v>-30.68</v>
      </c>
      <c r="M56" s="2"/>
      <c r="N56" s="6">
        <f t="shared" si="40"/>
        <v>-1</v>
      </c>
      <c r="O56" s="11"/>
      <c r="P56" s="7"/>
      <c r="Q56" s="2"/>
      <c r="R56" s="6">
        <f t="shared" si="41"/>
        <v>0</v>
      </c>
      <c r="S56" s="2"/>
      <c r="T56" s="7">
        <v>30.68</v>
      </c>
      <c r="U56" s="2"/>
      <c r="V56" s="6">
        <f t="shared" si="42"/>
        <v>5.2707486335652884E-4</v>
      </c>
      <c r="W56" s="2"/>
      <c r="X56" s="7">
        <f t="shared" si="43"/>
        <v>-30.68</v>
      </c>
      <c r="Y56" s="2"/>
      <c r="Z56" s="6">
        <f t="shared" si="44"/>
        <v>-1</v>
      </c>
    </row>
    <row r="57" spans="1:26" s="28" customFormat="1" outlineLevel="1" collapsed="1" x14ac:dyDescent="0.25">
      <c r="A57" s="27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SUM(OSRRefD22_12x_0)</f>
        <v>0</v>
      </c>
      <c r="E57" s="1"/>
      <c r="F57" s="5">
        <f t="shared" si="37"/>
        <v>0</v>
      </c>
      <c r="G57" s="1"/>
      <c r="H57" s="1">
        <f>SUM(OSRRefH22_12x_0)</f>
        <v>1742.36</v>
      </c>
      <c r="I57" s="1"/>
      <c r="J57" s="5">
        <f t="shared" si="38"/>
        <v>4.3291996610902259E-2</v>
      </c>
      <c r="K57" s="1"/>
      <c r="L57" s="1">
        <f t="shared" si="39"/>
        <v>-1742.36</v>
      </c>
      <c r="M57" s="1"/>
      <c r="N57" s="5">
        <f t="shared" si="40"/>
        <v>-1</v>
      </c>
      <c r="O57" s="14"/>
      <c r="P57" s="1">
        <f>SUM(OSRRefP22_12x_0)</f>
        <v>0</v>
      </c>
      <c r="Q57" s="1"/>
      <c r="R57" s="5">
        <f t="shared" si="41"/>
        <v>0</v>
      </c>
      <c r="S57" s="1"/>
      <c r="T57" s="1">
        <f>SUM(OSRRefT22_12x_0)</f>
        <v>4673.67</v>
      </c>
      <c r="U57" s="1"/>
      <c r="V57" s="5">
        <f t="shared" si="42"/>
        <v>8.0292502497506787E-2</v>
      </c>
      <c r="W57" s="1"/>
      <c r="X57" s="1">
        <f t="shared" si="43"/>
        <v>-4673.67</v>
      </c>
      <c r="Y57" s="1"/>
      <c r="Z57" s="5">
        <f t="shared" si="44"/>
        <v>-1</v>
      </c>
    </row>
    <row r="58" spans="1:26" s="24" customFormat="1" hidden="1" outlineLevel="2" x14ac:dyDescent="0.25">
      <c r="A58" s="29"/>
      <c r="B58" s="11" t="str">
        <f>CONCATENATE("          ", "6237", " - ", "JANITORIAL SUPPLIES")</f>
        <v xml:space="preserve">          6237 - JANITORIAL SUPPLIES</v>
      </c>
      <c r="C58" s="11"/>
      <c r="D58" s="7"/>
      <c r="E58" s="2"/>
      <c r="F58" s="6">
        <f t="shared" si="37"/>
        <v>0</v>
      </c>
      <c r="G58" s="2"/>
      <c r="H58" s="7">
        <v>117.63</v>
      </c>
      <c r="I58" s="2"/>
      <c r="J58" s="6">
        <f t="shared" si="38"/>
        <v>2.9227240991186857E-3</v>
      </c>
      <c r="K58" s="2"/>
      <c r="L58" s="7">
        <f t="shared" si="39"/>
        <v>-117.63</v>
      </c>
      <c r="M58" s="2"/>
      <c r="N58" s="6">
        <f t="shared" si="40"/>
        <v>-1</v>
      </c>
      <c r="O58" s="11"/>
      <c r="P58" s="7"/>
      <c r="Q58" s="2"/>
      <c r="R58" s="6">
        <f t="shared" si="41"/>
        <v>0</v>
      </c>
      <c r="S58" s="2"/>
      <c r="T58" s="7">
        <v>117.63</v>
      </c>
      <c r="U58" s="2"/>
      <c r="V58" s="6">
        <f t="shared" si="42"/>
        <v>2.0208545038014501E-3</v>
      </c>
      <c r="W58" s="2"/>
      <c r="X58" s="7">
        <f t="shared" si="43"/>
        <v>-117.63</v>
      </c>
      <c r="Y58" s="2"/>
      <c r="Z58" s="6">
        <f t="shared" si="44"/>
        <v>-1</v>
      </c>
    </row>
    <row r="59" spans="1:26" s="24" customFormat="1" hidden="1" outlineLevel="2" x14ac:dyDescent="0.25">
      <c r="A59" s="29"/>
      <c r="B59" s="11" t="str">
        <f>CONCATENATE("          ", "6239", " - ", "KITCHEN SUPPLIES")</f>
        <v xml:space="preserve">          6239 - KITCHEN SUPPLIES</v>
      </c>
      <c r="C59" s="11"/>
      <c r="D59" s="7"/>
      <c r="E59" s="2"/>
      <c r="F59" s="6">
        <f t="shared" si="37"/>
        <v>0</v>
      </c>
      <c r="G59" s="2"/>
      <c r="H59" s="7">
        <v>490.75</v>
      </c>
      <c r="I59" s="2"/>
      <c r="J59" s="6">
        <f t="shared" si="38"/>
        <v>1.2193546303175169E-2</v>
      </c>
      <c r="K59" s="2"/>
      <c r="L59" s="7">
        <f t="shared" si="39"/>
        <v>-490.75</v>
      </c>
      <c r="M59" s="2"/>
      <c r="N59" s="6">
        <f t="shared" si="40"/>
        <v>-1</v>
      </c>
      <c r="O59" s="11"/>
      <c r="P59" s="7"/>
      <c r="Q59" s="2"/>
      <c r="R59" s="6">
        <f t="shared" si="41"/>
        <v>0</v>
      </c>
      <c r="S59" s="2"/>
      <c r="T59" s="7">
        <v>1667.33</v>
      </c>
      <c r="U59" s="2"/>
      <c r="V59" s="6">
        <f t="shared" si="42"/>
        <v>2.8644319814870964E-2</v>
      </c>
      <c r="W59" s="2"/>
      <c r="X59" s="7">
        <f t="shared" si="43"/>
        <v>-1667.33</v>
      </c>
      <c r="Y59" s="2"/>
      <c r="Z59" s="6">
        <f t="shared" si="44"/>
        <v>-1</v>
      </c>
    </row>
    <row r="60" spans="1:26" s="24" customFormat="1" hidden="1" outlineLevel="2" x14ac:dyDescent="0.25">
      <c r="A60" s="29"/>
      <c r="B60" s="11" t="str">
        <f>CONCATENATE("          ", "6241", " - ", "OFFICE EXPENSE")</f>
        <v xml:space="preserve">          6241 - OFFICE EXPENSE</v>
      </c>
      <c r="C60" s="11"/>
      <c r="D60" s="7"/>
      <c r="E60" s="2"/>
      <c r="F60" s="6">
        <f t="shared" si="37"/>
        <v>0</v>
      </c>
      <c r="G60" s="2"/>
      <c r="H60" s="7"/>
      <c r="I60" s="2"/>
      <c r="J60" s="6">
        <f t="shared" si="38"/>
        <v>0</v>
      </c>
      <c r="K60" s="2"/>
      <c r="L60" s="7">
        <f t="shared" si="39"/>
        <v>0</v>
      </c>
      <c r="M60" s="2"/>
      <c r="N60" s="6">
        <f t="shared" si="40"/>
        <v>0</v>
      </c>
      <c r="O60" s="11"/>
      <c r="P60" s="7"/>
      <c r="Q60" s="2"/>
      <c r="R60" s="6">
        <f t="shared" si="41"/>
        <v>0</v>
      </c>
      <c r="S60" s="2"/>
      <c r="T60" s="7">
        <v>1074.28</v>
      </c>
      <c r="U60" s="2"/>
      <c r="V60" s="6">
        <f t="shared" si="42"/>
        <v>1.8455866499564922E-2</v>
      </c>
      <c r="W60" s="2"/>
      <c r="X60" s="7">
        <f t="shared" si="43"/>
        <v>-1074.28</v>
      </c>
      <c r="Y60" s="2"/>
      <c r="Z60" s="6">
        <f t="shared" si="44"/>
        <v>-1</v>
      </c>
    </row>
    <row r="61" spans="1:26" s="24" customFormat="1" hidden="1" outlineLevel="2" x14ac:dyDescent="0.25">
      <c r="A61" s="29"/>
      <c r="B61" s="11" t="str">
        <f>CONCATENATE("          ", "6243", " - ", "PAPER SUPPLIES")</f>
        <v xml:space="preserve">          6243 - PAPER SUPPLIES</v>
      </c>
      <c r="C61" s="11"/>
      <c r="D61" s="7"/>
      <c r="E61" s="2"/>
      <c r="F61" s="6">
        <f t="shared" si="37"/>
        <v>0</v>
      </c>
      <c r="G61" s="2"/>
      <c r="H61" s="7">
        <v>320.79000000000002</v>
      </c>
      <c r="I61" s="2"/>
      <c r="J61" s="6">
        <f t="shared" si="38"/>
        <v>7.9705913776781708E-3</v>
      </c>
      <c r="K61" s="2"/>
      <c r="L61" s="7">
        <f t="shared" si="39"/>
        <v>-320.79000000000002</v>
      </c>
      <c r="M61" s="2"/>
      <c r="N61" s="6">
        <f t="shared" si="40"/>
        <v>-1</v>
      </c>
      <c r="O61" s="11"/>
      <c r="P61" s="7"/>
      <c r="Q61" s="2"/>
      <c r="R61" s="6">
        <f t="shared" si="41"/>
        <v>0</v>
      </c>
      <c r="S61" s="2"/>
      <c r="T61" s="7">
        <v>886.49</v>
      </c>
      <c r="U61" s="2"/>
      <c r="V61" s="6">
        <f t="shared" si="42"/>
        <v>1.522968043079952E-2</v>
      </c>
      <c r="W61" s="2"/>
      <c r="X61" s="7">
        <f t="shared" si="43"/>
        <v>-886.49</v>
      </c>
      <c r="Y61" s="2"/>
      <c r="Z61" s="6">
        <f t="shared" si="44"/>
        <v>-1</v>
      </c>
    </row>
    <row r="62" spans="1:26" s="24" customFormat="1" hidden="1" outlineLevel="2" x14ac:dyDescent="0.25">
      <c r="A62" s="29"/>
      <c r="B62" s="11" t="str">
        <f>CONCATENATE("          ", "6245", " - ", "PRINTING")</f>
        <v xml:space="preserve">          6245 - PRINTING</v>
      </c>
      <c r="C62" s="11"/>
      <c r="D62" s="7"/>
      <c r="E62" s="2"/>
      <c r="F62" s="6">
        <f t="shared" si="37"/>
        <v>0</v>
      </c>
      <c r="G62" s="2"/>
      <c r="H62" s="7">
        <v>33.159999999999997</v>
      </c>
      <c r="I62" s="2"/>
      <c r="J62" s="6">
        <f t="shared" si="38"/>
        <v>8.2391848275759256E-4</v>
      </c>
      <c r="K62" s="2"/>
      <c r="L62" s="7">
        <f t="shared" si="39"/>
        <v>-33.159999999999997</v>
      </c>
      <c r="M62" s="2"/>
      <c r="N62" s="6">
        <f t="shared" si="40"/>
        <v>-1</v>
      </c>
      <c r="O62" s="11"/>
      <c r="P62" s="7"/>
      <c r="Q62" s="2"/>
      <c r="R62" s="6">
        <f t="shared" si="41"/>
        <v>0</v>
      </c>
      <c r="S62" s="2"/>
      <c r="T62" s="7">
        <v>147.91</v>
      </c>
      <c r="U62" s="2"/>
      <c r="V62" s="6">
        <f t="shared" si="42"/>
        <v>2.5410574654193018E-3</v>
      </c>
      <c r="W62" s="2"/>
      <c r="X62" s="7">
        <f t="shared" si="43"/>
        <v>-147.91</v>
      </c>
      <c r="Y62" s="2"/>
      <c r="Z62" s="6">
        <f t="shared" si="44"/>
        <v>-1</v>
      </c>
    </row>
    <row r="63" spans="1:26" s="24" customFormat="1" hidden="1" outlineLevel="2" x14ac:dyDescent="0.25">
      <c r="A63" s="29"/>
      <c r="B63" s="11" t="str">
        <f>CONCATENATE("          ", "6247", " - ", "STORE SUPPLIES")</f>
        <v xml:space="preserve">          6247 - STORE SUPPLIES</v>
      </c>
      <c r="C63" s="11"/>
      <c r="D63" s="7"/>
      <c r="E63" s="2"/>
      <c r="F63" s="6">
        <f t="shared" si="37"/>
        <v>0</v>
      </c>
      <c r="G63" s="2"/>
      <c r="H63" s="7">
        <v>689.18</v>
      </c>
      <c r="I63" s="2"/>
      <c r="J63" s="6">
        <f t="shared" si="38"/>
        <v>1.7123888418180869E-2</v>
      </c>
      <c r="K63" s="2"/>
      <c r="L63" s="7">
        <f t="shared" si="39"/>
        <v>-689.18</v>
      </c>
      <c r="M63" s="2"/>
      <c r="N63" s="6">
        <f t="shared" si="40"/>
        <v>-1</v>
      </c>
      <c r="O63" s="11"/>
      <c r="P63" s="7"/>
      <c r="Q63" s="2"/>
      <c r="R63" s="6">
        <f t="shared" si="41"/>
        <v>0</v>
      </c>
      <c r="S63" s="2"/>
      <c r="T63" s="7">
        <v>689.18</v>
      </c>
      <c r="U63" s="2"/>
      <c r="V63" s="6">
        <f t="shared" si="42"/>
        <v>1.1839943100653602E-2</v>
      </c>
      <c r="W63" s="2"/>
      <c r="X63" s="7">
        <f t="shared" si="43"/>
        <v>-689.18</v>
      </c>
      <c r="Y63" s="2"/>
      <c r="Z63" s="6">
        <f t="shared" si="44"/>
        <v>-1</v>
      </c>
    </row>
    <row r="64" spans="1:26" s="24" customFormat="1" hidden="1" outlineLevel="2" x14ac:dyDescent="0.25">
      <c r="A64" s="29"/>
      <c r="B64" s="11" t="str">
        <f>CONCATENATE("          ", "6248", " - ", "UNIFORMS")</f>
        <v xml:space="preserve">          6248 - UNIFORMS</v>
      </c>
      <c r="C64" s="11"/>
      <c r="D64" s="7"/>
      <c r="E64" s="2"/>
      <c r="F64" s="6">
        <f t="shared" si="37"/>
        <v>0</v>
      </c>
      <c r="G64" s="2"/>
      <c r="H64" s="7">
        <v>90.85</v>
      </c>
      <c r="I64" s="2"/>
      <c r="J64" s="6">
        <f t="shared" si="38"/>
        <v>2.2573279299917758E-3</v>
      </c>
      <c r="K64" s="2"/>
      <c r="L64" s="7">
        <f t="shared" si="39"/>
        <v>-90.85</v>
      </c>
      <c r="M64" s="2"/>
      <c r="N64" s="6">
        <f t="shared" si="40"/>
        <v>-1</v>
      </c>
      <c r="O64" s="11"/>
      <c r="P64" s="7"/>
      <c r="Q64" s="2"/>
      <c r="R64" s="6">
        <f t="shared" si="41"/>
        <v>0</v>
      </c>
      <c r="S64" s="2"/>
      <c r="T64" s="7">
        <v>90.85</v>
      </c>
      <c r="U64" s="2"/>
      <c r="V64" s="6">
        <f t="shared" si="42"/>
        <v>1.5607806823970222E-3</v>
      </c>
      <c r="W64" s="2"/>
      <c r="X64" s="7">
        <f t="shared" si="43"/>
        <v>-90.85</v>
      </c>
      <c r="Y64" s="2"/>
      <c r="Z64" s="6">
        <f t="shared" si="44"/>
        <v>-1</v>
      </c>
    </row>
    <row r="65" spans="1:26" s="28" customFormat="1" outlineLevel="1" collapsed="1" x14ac:dyDescent="0.25">
      <c r="A65" s="27"/>
      <c r="B65" s="14" t="str">
        <f>CONCATENATE("     ","Telephone/Data Lines                              ")</f>
        <v xml:space="preserve">     Telephone/Data Lines                              </v>
      </c>
      <c r="C65" s="14"/>
      <c r="D65" s="1">
        <f>SUM(OSRRefD22_13x_0)</f>
        <v>0</v>
      </c>
      <c r="E65" s="1"/>
      <c r="F65" s="5">
        <f t="shared" ref="F65:F66" si="45">IF(D$12=0,0,D65/D$12)</f>
        <v>0</v>
      </c>
      <c r="G65" s="1"/>
      <c r="H65" s="1">
        <f>SUM(OSRRefH22_13x_0)</f>
        <v>0</v>
      </c>
      <c r="I65" s="1"/>
      <c r="J65" s="5">
        <f t="shared" ref="J65:J66" si="46">IF(H$12=0,0,H65/H$12)</f>
        <v>0</v>
      </c>
      <c r="K65" s="1"/>
      <c r="L65" s="1">
        <f t="shared" ref="L65:L66" si="47">+D65-H65</f>
        <v>0</v>
      </c>
      <c r="M65" s="1"/>
      <c r="N65" s="5">
        <f t="shared" ref="N65:N66" si="48">IF(H65=0,0,L65/H65)</f>
        <v>0</v>
      </c>
      <c r="O65" s="14"/>
      <c r="P65" s="1">
        <f>SUM(OSRRefP22_13x_0)</f>
        <v>0</v>
      </c>
      <c r="Q65" s="1"/>
      <c r="R65" s="5">
        <f t="shared" ref="R65:R66" si="49">IF(P$12=0,0,P65/P$12)</f>
        <v>0</v>
      </c>
      <c r="S65" s="1"/>
      <c r="T65" s="1">
        <f>SUM(OSRRefT22_13x_0)</f>
        <v>-95</v>
      </c>
      <c r="U65" s="1"/>
      <c r="V65" s="5">
        <f t="shared" ref="V65:V66" si="50">IF(T$12=0,0,T65/T$12)</f>
        <v>-1.6320766629357966E-3</v>
      </c>
      <c r="W65" s="1"/>
      <c r="X65" s="1">
        <f t="shared" ref="X65:X66" si="51">+P65-T65</f>
        <v>95</v>
      </c>
      <c r="Y65" s="1"/>
      <c r="Z65" s="5">
        <f t="shared" ref="Z65:Z66" si="52">IF(T65=0,0,X65/T65)</f>
        <v>-1</v>
      </c>
    </row>
    <row r="66" spans="1:26" s="24" customFormat="1" hidden="1" outlineLevel="2" x14ac:dyDescent="0.25">
      <c r="A66" s="29"/>
      <c r="B66" s="11" t="str">
        <f>CONCATENATE("          ", "6309", " - ", "TELEPHONE")</f>
        <v xml:space="preserve">          6309 - TELEPHONE</v>
      </c>
      <c r="C66" s="11"/>
      <c r="D66" s="7"/>
      <c r="E66" s="2"/>
      <c r="F66" s="6">
        <f t="shared" si="45"/>
        <v>0</v>
      </c>
      <c r="G66" s="2"/>
      <c r="H66" s="7"/>
      <c r="I66" s="2"/>
      <c r="J66" s="6">
        <f t="shared" si="46"/>
        <v>0</v>
      </c>
      <c r="K66" s="2"/>
      <c r="L66" s="7">
        <f t="shared" si="47"/>
        <v>0</v>
      </c>
      <c r="M66" s="2"/>
      <c r="N66" s="6">
        <f t="shared" si="48"/>
        <v>0</v>
      </c>
      <c r="O66" s="11"/>
      <c r="P66" s="7"/>
      <c r="Q66" s="2"/>
      <c r="R66" s="6">
        <f t="shared" si="49"/>
        <v>0</v>
      </c>
      <c r="S66" s="2"/>
      <c r="T66" s="7">
        <v>-95</v>
      </c>
      <c r="U66" s="2"/>
      <c r="V66" s="6">
        <f t="shared" si="50"/>
        <v>-1.6320766629357966E-3</v>
      </c>
      <c r="W66" s="2"/>
      <c r="X66" s="7">
        <f t="shared" si="51"/>
        <v>95</v>
      </c>
      <c r="Y66" s="2"/>
      <c r="Z66" s="6">
        <f t="shared" si="52"/>
        <v>-1</v>
      </c>
    </row>
    <row r="67" spans="1:26" s="52" customFormat="1" x14ac:dyDescent="0.25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x14ac:dyDescent="0.25">
      <c r="A68" s="10"/>
      <c r="B68" s="25" t="s">
        <v>0</v>
      </c>
      <c r="C68" s="10"/>
      <c r="D68" s="4">
        <f>SUM(0)</f>
        <v>0</v>
      </c>
      <c r="E68" s="4"/>
      <c r="F68" s="12">
        <f>IF(D$12=0,0,D68/D$12)</f>
        <v>0</v>
      </c>
      <c r="G68" s="4"/>
      <c r="H68" s="4">
        <f>SUM(0)</f>
        <v>0</v>
      </c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>
        <f>SUM(0)</f>
        <v>0</v>
      </c>
      <c r="Q68" s="4"/>
      <c r="R68" s="12">
        <f>IF(P$12=0,0,P68/P$12)</f>
        <v>0</v>
      </c>
      <c r="S68" s="4"/>
      <c r="T68" s="4">
        <f>SUM(0)</f>
        <v>0</v>
      </c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25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x14ac:dyDescent="0.25">
      <c r="A70" s="10"/>
      <c r="B70" s="26" t="s">
        <v>3</v>
      </c>
      <c r="C70" s="26"/>
      <c r="D70" s="22">
        <f>+D20-D22+D68</f>
        <v>-1871.84</v>
      </c>
      <c r="E70" s="13"/>
      <c r="F70" s="21">
        <f>IF(D$12=0,0,D70/D$12)</f>
        <v>0</v>
      </c>
      <c r="G70" s="13"/>
      <c r="H70" s="22">
        <f>+H20-H22+H68</f>
        <v>-682.92000000000189</v>
      </c>
      <c r="I70" s="13"/>
      <c r="J70" s="21">
        <f>IF(H$12=0,0,H70/H$12)</f>
        <v>-1.6968347715464918E-2</v>
      </c>
      <c r="K70" s="16"/>
      <c r="L70" s="22">
        <f>+D70-H70</f>
        <v>-1188.919999999998</v>
      </c>
      <c r="M70" s="16"/>
      <c r="N70" s="21">
        <f>IF(H70=0,0,L70/H70)</f>
        <v>1.7409359807883715</v>
      </c>
      <c r="O70" s="25"/>
      <c r="P70" s="22">
        <f>+P20-P22+P68</f>
        <v>-3571.49</v>
      </c>
      <c r="Q70" s="13"/>
      <c r="R70" s="21">
        <f>IF(P$12=0,0,P70/P$12)</f>
        <v>-3.6634048271122461</v>
      </c>
      <c r="S70" s="13"/>
      <c r="T70" s="22">
        <f>+T20-T22+T68</f>
        <v>-14353.419999999991</v>
      </c>
      <c r="U70" s="13"/>
      <c r="V70" s="21">
        <f>IF(T$12=0,0,T70/T$12)</f>
        <v>-0.24658822963490429</v>
      </c>
      <c r="W70" s="16"/>
      <c r="X70" s="22">
        <f>+P70-T70</f>
        <v>10781.929999999991</v>
      </c>
      <c r="Y70" s="16"/>
      <c r="Z70" s="21">
        <f>IF(T70=0,0,X70/T70)</f>
        <v>-0.75117498129365667</v>
      </c>
    </row>
    <row r="71" spans="1:26" x14ac:dyDescent="0.25">
      <c r="A71" s="9"/>
      <c r="B71" s="10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51"/>
      <c r="B72" s="10" t="s">
        <v>13</v>
      </c>
      <c r="C72" s="10"/>
      <c r="D72" s="4">
        <v>-304.27999999999997</v>
      </c>
      <c r="E72" s="4"/>
      <c r="F72" s="12">
        <f>IF(D$12=0,0,D72/D$12)</f>
        <v>0</v>
      </c>
      <c r="G72" s="4"/>
      <c r="H72" s="4">
        <v>3522.79</v>
      </c>
      <c r="I72" s="4"/>
      <c r="J72" s="12">
        <f>IF(H$12=0,0,H72/H$12)</f>
        <v>8.7529909284487922E-2</v>
      </c>
      <c r="K72" s="4"/>
      <c r="L72" s="4">
        <f>+D72-H72</f>
        <v>-3827.0699999999997</v>
      </c>
      <c r="M72" s="4"/>
      <c r="N72" s="12">
        <f>IF(H72=0,0,L72/H72)</f>
        <v>-1.0863747200372431</v>
      </c>
      <c r="O72" s="10"/>
      <c r="P72" s="4">
        <v>164.6</v>
      </c>
      <c r="Q72" s="4"/>
      <c r="R72" s="12">
        <f>IF(P$12=0,0,P72/P$12)</f>
        <v>0.16883609769106891</v>
      </c>
      <c r="S72" s="4"/>
      <c r="T72" s="4">
        <v>7257.48</v>
      </c>
      <c r="U72" s="4"/>
      <c r="V72" s="12">
        <f>IF(T$12=0,0,T72/T$12)</f>
        <v>0.12468172357603458</v>
      </c>
      <c r="W72" s="4"/>
      <c r="X72" s="4">
        <f>+P72-T72</f>
        <v>-7092.8799999999992</v>
      </c>
      <c r="Y72" s="4"/>
      <c r="Z72" s="12">
        <f>IF(T72=0,0,X72/T72)</f>
        <v>-0.97731995127785398</v>
      </c>
    </row>
    <row r="73" spans="1:26" x14ac:dyDescent="0.25">
      <c r="A73" s="9"/>
      <c r="B73" s="10"/>
      <c r="C73" s="10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O73" s="10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.75" thickBot="1" x14ac:dyDescent="0.3">
      <c r="A74" s="10"/>
      <c r="B74" s="26" t="s">
        <v>4</v>
      </c>
      <c r="C74" s="26"/>
      <c r="D74" s="36">
        <f>+D70-D72</f>
        <v>-1567.56</v>
      </c>
      <c r="E74" s="13"/>
      <c r="F74" s="34">
        <f>IF(D$12=0,0,D74/D$12)</f>
        <v>0</v>
      </c>
      <c r="G74" s="13"/>
      <c r="H74" s="36">
        <f>+H70-H72</f>
        <v>-4205.7100000000019</v>
      </c>
      <c r="I74" s="13"/>
      <c r="J74" s="34">
        <f>IF(H$12=0,0,H74/H$12)</f>
        <v>-0.10449825699995284</v>
      </c>
      <c r="K74" s="16"/>
      <c r="L74" s="36">
        <f>D74-H74</f>
        <v>2638.1500000000019</v>
      </c>
      <c r="M74" s="16"/>
      <c r="N74" s="34">
        <f>IF(H74=0,0,L74/H74)</f>
        <v>-0.62727815279703092</v>
      </c>
      <c r="O74" s="25"/>
      <c r="P74" s="36">
        <f>+P70-P72</f>
        <v>-3736.0899999999997</v>
      </c>
      <c r="Q74" s="13"/>
      <c r="R74" s="34">
        <f>IF(P$12=0,0,P74/P$12)</f>
        <v>-3.8322409248033149</v>
      </c>
      <c r="S74" s="13"/>
      <c r="T74" s="36">
        <f>+T70-T72</f>
        <v>-21610.899999999991</v>
      </c>
      <c r="U74" s="13"/>
      <c r="V74" s="34">
        <f>IF(T$12=0,0,T74/T$12)</f>
        <v>-0.37126995321093886</v>
      </c>
      <c r="W74" s="16"/>
      <c r="X74" s="36">
        <f>P74-T74</f>
        <v>17874.80999999999</v>
      </c>
      <c r="Y74" s="16"/>
      <c r="Z74" s="34">
        <f>IF(T74=0,0,X74/T74)</f>
        <v>-0.82712011068488578</v>
      </c>
    </row>
    <row r="75" spans="1:26" ht="15.75" thickTop="1" x14ac:dyDescent="0.25">
      <c r="A75" s="9"/>
      <c r="B75" s="9"/>
      <c r="C75" s="9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x14ac:dyDescent="0.25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ht="15.75" thickBot="1" x14ac:dyDescent="0.3">
      <c r="A77" s="10"/>
      <c r="B77" s="26" t="s">
        <v>5</v>
      </c>
      <c r="C77" s="26"/>
      <c r="D77" s="30">
        <f>SUM(D74:D76)</f>
        <v>-1567.56</v>
      </c>
      <c r="E77" s="13"/>
      <c r="F77" s="31">
        <f>IF(D$12=0,0,D77/D$12)</f>
        <v>0</v>
      </c>
      <c r="G77" s="13"/>
      <c r="H77" s="30">
        <f>SUM(H74:H76)</f>
        <v>-4205.7100000000019</v>
      </c>
      <c r="I77" s="13"/>
      <c r="J77" s="31">
        <f>IF(H$12=0,0,H77/H$12)</f>
        <v>-0.10449825699995284</v>
      </c>
      <c r="K77" s="16"/>
      <c r="L77" s="30">
        <f>+D77-H77</f>
        <v>2638.1500000000019</v>
      </c>
      <c r="M77" s="16"/>
      <c r="N77" s="31">
        <f>IF(H77=0,0,L77/H77)</f>
        <v>-0.62727815279703092</v>
      </c>
      <c r="O77" s="25"/>
      <c r="P77" s="30">
        <f>SUM(P74:P76)</f>
        <v>-3736.0899999999997</v>
      </c>
      <c r="Q77" s="13"/>
      <c r="R77" s="31">
        <f>IF(P$12=0,0,P77/P$12)</f>
        <v>-3.8322409248033149</v>
      </c>
      <c r="S77" s="13"/>
      <c r="T77" s="30">
        <f>SUM(T74:T76)</f>
        <v>-21610.899999999991</v>
      </c>
      <c r="U77" s="13"/>
      <c r="V77" s="31">
        <f>IF(T$12=0,0,T77/T$12)</f>
        <v>-0.37126995321093886</v>
      </c>
      <c r="W77" s="16"/>
      <c r="X77" s="30">
        <f>+P77-T77</f>
        <v>17874.80999999999</v>
      </c>
      <c r="Y77" s="16"/>
      <c r="Z77" s="31">
        <f>IF(T77=0,0,X77/T77)</f>
        <v>-0.82712011068488578</v>
      </c>
    </row>
    <row r="78" spans="1:26" ht="15.75" thickTop="1" x14ac:dyDescent="0.25">
      <c r="A78" s="9"/>
      <c r="C78" s="9"/>
      <c r="D78" s="18"/>
      <c r="E78" s="18"/>
      <c r="G78" s="18"/>
      <c r="H78" s="18"/>
      <c r="I78" s="18"/>
      <c r="J78" s="43"/>
      <c r="K78" s="18"/>
      <c r="L78" s="18"/>
      <c r="M78" s="18"/>
      <c r="P78" s="18"/>
      <c r="Q78" s="18"/>
      <c r="R78" s="43"/>
      <c r="S78" s="18"/>
      <c r="T78" s="18"/>
      <c r="U78" s="18"/>
      <c r="V78" s="43"/>
      <c r="W78" s="18"/>
      <c r="X78" s="18"/>
    </row>
    <row r="79" spans="1:26" x14ac:dyDescent="0.25">
      <c r="A79" s="9"/>
      <c r="B79" s="61">
        <v>44113.696640162038</v>
      </c>
      <c r="D79" s="18"/>
      <c r="E79" s="18"/>
      <c r="G79" s="18"/>
      <c r="H79" s="18"/>
      <c r="I79" s="18"/>
      <c r="J79" s="43"/>
      <c r="K79" s="18"/>
      <c r="L79" s="18"/>
      <c r="M79" s="18"/>
      <c r="P79" s="18"/>
      <c r="Q79" s="18"/>
      <c r="R79" s="43"/>
      <c r="S79" s="18"/>
      <c r="T79" s="18"/>
      <c r="U79" s="18"/>
      <c r="V79" s="43"/>
      <c r="W79" s="18"/>
      <c r="X79" s="18"/>
    </row>
    <row r="80" spans="1:26" x14ac:dyDescent="0.25">
      <c r="A80" s="9"/>
      <c r="B80" s="56" t="s">
        <v>313</v>
      </c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58"/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","415", " - ", "Outpost")</f>
        <v>Department 415 - Outpost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4718.9399999999996</v>
      </c>
      <c r="E12" s="4"/>
      <c r="F12" s="12"/>
      <c r="G12" s="4"/>
      <c r="H12" s="4">
        <f>SUM(OSRRefH13x_0)</f>
        <v>42482.479999999996</v>
      </c>
      <c r="I12" s="4"/>
      <c r="J12" s="12"/>
      <c r="K12" s="4"/>
      <c r="L12" s="4">
        <f t="shared" ref="L12:L14" si="0">+D12-H12</f>
        <v>-37763.539999999994</v>
      </c>
      <c r="M12" s="4"/>
      <c r="N12" s="12">
        <f t="shared" ref="N12:N14" si="1">IF(H12=0,0,L12/H12)</f>
        <v>-0.88892032668525933</v>
      </c>
      <c r="O12" s="10"/>
      <c r="P12" s="4">
        <f>SUM(OSRRefP13x_0)</f>
        <v>4718.9399999999996</v>
      </c>
      <c r="Q12" s="4"/>
      <c r="R12" s="12"/>
      <c r="S12" s="4"/>
      <c r="T12" s="4">
        <f>SUM(OSRRefT13x_0)</f>
        <v>67795.350000000006</v>
      </c>
      <c r="U12" s="4"/>
      <c r="V12" s="12"/>
      <c r="W12" s="4"/>
      <c r="X12" s="4">
        <f t="shared" ref="X12:X14" si="2">+P12-T12</f>
        <v>-63076.41</v>
      </c>
      <c r="Y12" s="4"/>
      <c r="Z12" s="12">
        <f t="shared" ref="Z12:Z14" si="3">IF(T12=0,0,X12/T12)</f>
        <v>-0.93039434120481712</v>
      </c>
    </row>
    <row r="13" spans="1:26" s="24" customFormat="1" hidden="1" outlineLevel="1" x14ac:dyDescent="0.25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--2510.72</f>
        <v>2510.7199999999998</v>
      </c>
      <c r="E13" s="2"/>
      <c r="F13" s="19"/>
      <c r="G13" s="2"/>
      <c r="H13" s="2">
        <f>--16658.44</f>
        <v>16658.439999999999</v>
      </c>
      <c r="I13" s="2"/>
      <c r="J13" s="19"/>
      <c r="K13" s="2"/>
      <c r="L13" s="2">
        <f t="shared" si="0"/>
        <v>-14147.72</v>
      </c>
      <c r="M13" s="2"/>
      <c r="N13" s="19">
        <f t="shared" si="1"/>
        <v>-0.84928240579550074</v>
      </c>
      <c r="O13" s="11"/>
      <c r="P13" s="2">
        <f>--2510.72</f>
        <v>2510.7199999999998</v>
      </c>
      <c r="Q13" s="2"/>
      <c r="R13" s="19"/>
      <c r="S13" s="2"/>
      <c r="T13" s="2">
        <f>--26429.84</f>
        <v>26429.84</v>
      </c>
      <c r="U13" s="2"/>
      <c r="V13" s="19"/>
      <c r="W13" s="2"/>
      <c r="X13" s="2">
        <f t="shared" si="2"/>
        <v>-23919.119999999999</v>
      </c>
      <c r="Y13" s="2"/>
      <c r="Z13" s="19">
        <f t="shared" si="3"/>
        <v>-0.90500434357529214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--2208.22</f>
        <v>2208.2199999999998</v>
      </c>
      <c r="E14" s="2"/>
      <c r="F14" s="19"/>
      <c r="G14" s="2"/>
      <c r="H14" s="2">
        <f>--25824.04</f>
        <v>25824.04</v>
      </c>
      <c r="I14" s="2"/>
      <c r="J14" s="19"/>
      <c r="K14" s="2"/>
      <c r="L14" s="2">
        <f t="shared" si="0"/>
        <v>-23615.82</v>
      </c>
      <c r="M14" s="2"/>
      <c r="N14" s="19">
        <f t="shared" si="1"/>
        <v>-0.91448975450781511</v>
      </c>
      <c r="O14" s="11"/>
      <c r="P14" s="2">
        <f>--2208.22</f>
        <v>2208.2199999999998</v>
      </c>
      <c r="Q14" s="2"/>
      <c r="R14" s="19"/>
      <c r="S14" s="2"/>
      <c r="T14" s="2">
        <f>--41365.51</f>
        <v>41365.51</v>
      </c>
      <c r="U14" s="2"/>
      <c r="V14" s="19"/>
      <c r="W14" s="2"/>
      <c r="X14" s="2">
        <f t="shared" si="2"/>
        <v>-39157.29</v>
      </c>
      <c r="Y14" s="2"/>
      <c r="Z14" s="19">
        <f t="shared" si="3"/>
        <v>-0.94661687961782648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4245.9399999999996</v>
      </c>
      <c r="E16" s="4"/>
      <c r="F16" s="12">
        <f t="shared" ref="F16:F18" si="4">IF(D$12=0,0,D16/D$12)</f>
        <v>0.89976562533111248</v>
      </c>
      <c r="G16" s="4"/>
      <c r="H16" s="4">
        <f>SUM(OSRRefH16x_0)</f>
        <v>16562.36</v>
      </c>
      <c r="I16" s="4"/>
      <c r="J16" s="12">
        <f t="shared" ref="J16:J18" si="5">IF(H$12=0,0,H16/H$12)</f>
        <v>0.38986330364893956</v>
      </c>
      <c r="K16" s="4"/>
      <c r="L16" s="4">
        <f t="shared" ref="L16:L18" si="6">+D16-H16</f>
        <v>-12316.420000000002</v>
      </c>
      <c r="M16" s="4"/>
      <c r="N16" s="12">
        <f t="shared" ref="N16:N18" si="7">IF(H16=0,0,L16/H16)</f>
        <v>-0.74363919151618496</v>
      </c>
      <c r="O16" s="10"/>
      <c r="P16" s="4">
        <f>SUM(OSRRefP16x_0)</f>
        <v>4245.9399999999996</v>
      </c>
      <c r="Q16" s="4"/>
      <c r="R16" s="12">
        <f t="shared" ref="R16:R18" si="8">IF(P$12=0,0,P16/P$12)</f>
        <v>0.89976562533111248</v>
      </c>
      <c r="S16" s="4"/>
      <c r="T16" s="4">
        <f>SUM(OSRRefT16x_0)</f>
        <v>22642.28</v>
      </c>
      <c r="U16" s="4"/>
      <c r="V16" s="12">
        <f t="shared" ref="V16:V18" si="9">IF(T$12=0,0,T16/T$12)</f>
        <v>0.33397983785023599</v>
      </c>
      <c r="W16" s="4"/>
      <c r="X16" s="4">
        <f t="shared" ref="X16:X18" si="10">+P16-T16</f>
        <v>-18396.34</v>
      </c>
      <c r="Y16" s="4"/>
      <c r="Z16" s="12">
        <f t="shared" ref="Z16:Z18" si="11">IF(T16=0,0,X16/T16)</f>
        <v>-0.81247736535366588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4200.9399999999996</v>
      </c>
      <c r="E17" s="2"/>
      <c r="F17" s="19">
        <f t="shared" si="4"/>
        <v>0.8902295854577511</v>
      </c>
      <c r="G17" s="2"/>
      <c r="H17" s="2">
        <v>16164.36</v>
      </c>
      <c r="I17" s="2"/>
      <c r="J17" s="19">
        <f t="shared" si="5"/>
        <v>0.38049473571222775</v>
      </c>
      <c r="K17" s="2"/>
      <c r="L17" s="2">
        <f t="shared" si="6"/>
        <v>-11963.420000000002</v>
      </c>
      <c r="M17" s="2"/>
      <c r="N17" s="19">
        <f t="shared" si="7"/>
        <v>-0.74011096016173861</v>
      </c>
      <c r="O17" s="11"/>
      <c r="P17" s="2">
        <v>4200.9399999999996</v>
      </c>
      <c r="Q17" s="2"/>
      <c r="R17" s="19">
        <f t="shared" si="8"/>
        <v>0.8902295854577511</v>
      </c>
      <c r="S17" s="2"/>
      <c r="T17" s="2">
        <v>24224.28</v>
      </c>
      <c r="U17" s="2"/>
      <c r="V17" s="19">
        <f t="shared" si="9"/>
        <v>0.35731477158831687</v>
      </c>
      <c r="W17" s="2"/>
      <c r="X17" s="2">
        <f t="shared" si="10"/>
        <v>-20023.34</v>
      </c>
      <c r="Y17" s="2"/>
      <c r="Z17" s="19">
        <f t="shared" si="11"/>
        <v>-0.8265814298711871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45</v>
      </c>
      <c r="E18" s="2"/>
      <c r="F18" s="19">
        <f t="shared" si="4"/>
        <v>9.5360398733613915E-3</v>
      </c>
      <c r="G18" s="2"/>
      <c r="H18" s="2">
        <v>398</v>
      </c>
      <c r="I18" s="2"/>
      <c r="J18" s="19">
        <f t="shared" si="5"/>
        <v>9.3685679367117945E-3</v>
      </c>
      <c r="K18" s="2"/>
      <c r="L18" s="2">
        <f t="shared" si="6"/>
        <v>-353</v>
      </c>
      <c r="M18" s="2"/>
      <c r="N18" s="19">
        <f t="shared" si="7"/>
        <v>-0.88693467336683418</v>
      </c>
      <c r="O18" s="11"/>
      <c r="P18" s="2">
        <v>45</v>
      </c>
      <c r="Q18" s="2"/>
      <c r="R18" s="19">
        <f t="shared" si="8"/>
        <v>9.5360398733613915E-3</v>
      </c>
      <c r="S18" s="2"/>
      <c r="T18" s="2">
        <v>-1582</v>
      </c>
      <c r="U18" s="2"/>
      <c r="V18" s="19">
        <f t="shared" si="9"/>
        <v>-2.3334933738080856E-2</v>
      </c>
      <c r="W18" s="2"/>
      <c r="X18" s="2">
        <f t="shared" si="10"/>
        <v>1627</v>
      </c>
      <c r="Y18" s="2"/>
      <c r="Z18" s="19">
        <f t="shared" si="11"/>
        <v>-1.0284450063211126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473</v>
      </c>
      <c r="E20" s="13"/>
      <c r="F20" s="21">
        <f>IF(D$12=0,0,D20/D$12)</f>
        <v>0.10023437466888752</v>
      </c>
      <c r="G20" s="13"/>
      <c r="H20" s="22">
        <f>H12-H16</f>
        <v>25920.119999999995</v>
      </c>
      <c r="I20" s="13"/>
      <c r="J20" s="21">
        <f>IF(H$12=0,0,H20/H$12)</f>
        <v>0.61013669635106038</v>
      </c>
      <c r="K20" s="16"/>
      <c r="L20" s="22">
        <f>+D20-H20</f>
        <v>-25447.119999999995</v>
      </c>
      <c r="M20" s="16"/>
      <c r="N20" s="21">
        <f>IF(H20=0,0,L20/H20)</f>
        <v>-0.98175162769308166</v>
      </c>
      <c r="O20" s="25"/>
      <c r="P20" s="22">
        <f>P12-P16</f>
        <v>473</v>
      </c>
      <c r="Q20" s="13"/>
      <c r="R20" s="21">
        <f>IF(P$12=0,0,P20/P$12)</f>
        <v>0.10023437466888752</v>
      </c>
      <c r="S20" s="13"/>
      <c r="T20" s="22">
        <f>T12-T16</f>
        <v>45153.070000000007</v>
      </c>
      <c r="U20" s="13"/>
      <c r="V20" s="21">
        <f>IF(T$12=0,0,T20/T$12)</f>
        <v>0.66602016214976401</v>
      </c>
      <c r="W20" s="16"/>
      <c r="X20" s="22">
        <f>+P20-T20</f>
        <v>-44680.070000000007</v>
      </c>
      <c r="Y20" s="16"/>
      <c r="Z20" s="21">
        <f>IF(T20=0,0,X20/T20)</f>
        <v>-0.98952452180992345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67781.87</v>
      </c>
      <c r="E22" s="20"/>
      <c r="F22" s="35">
        <f t="shared" ref="F22:F31" si="12">IF(D$12=0,0,D22/D$12)</f>
        <v>14.36379144468885</v>
      </c>
      <c r="G22" s="20"/>
      <c r="H22" s="20">
        <f>SUM(OSRRefH22x_0)</f>
        <v>63396.839999999982</v>
      </c>
      <c r="I22" s="20"/>
      <c r="J22" s="35">
        <f t="shared" ref="J22:J31" si="13">IF(H$12=0,0,H22/H$12)</f>
        <v>1.4923055339518783</v>
      </c>
      <c r="K22" s="4"/>
      <c r="L22" s="20">
        <f t="shared" ref="L22:L31" si="14">+D22-H22</f>
        <v>4385.0300000000134</v>
      </c>
      <c r="M22" s="4"/>
      <c r="N22" s="35">
        <f t="shared" ref="N22:N31" si="15">IF(H22=0,0,L22/H22)</f>
        <v>6.916795852916352E-2</v>
      </c>
      <c r="O22" s="10"/>
      <c r="P22" s="20">
        <f>SUM(OSRRefP22x_0)</f>
        <v>124438.71</v>
      </c>
      <c r="Q22" s="20"/>
      <c r="R22" s="35">
        <f t="shared" ref="R22:R31" si="16">IF(P$12=0,0,P22/P$12)</f>
        <v>26.370055563325664</v>
      </c>
      <c r="S22" s="20"/>
      <c r="T22" s="20">
        <f>SUM(OSRRefT22x_0)</f>
        <v>126012.34999999996</v>
      </c>
      <c r="U22" s="20"/>
      <c r="V22" s="35">
        <f t="shared" ref="V22:V31" si="17">IF(T$12=0,0,T22/T$12)</f>
        <v>1.8587167113968723</v>
      </c>
      <c r="W22" s="4"/>
      <c r="X22" s="20">
        <f t="shared" ref="X22:X31" si="18">+P22-T22</f>
        <v>-1573.6399999999558</v>
      </c>
      <c r="Y22" s="4"/>
      <c r="Z22" s="35">
        <f t="shared" ref="Z22:Z31" si="19">IF(T22=0,0,X22/T22)</f>
        <v>-1.2487982328715846E-2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15637.029999999999</v>
      </c>
      <c r="E23" s="1"/>
      <c r="F23" s="5">
        <f t="shared" si="12"/>
        <v>3.313674257354406</v>
      </c>
      <c r="G23" s="1"/>
      <c r="H23" s="1">
        <f>SUM(OSRRefH22_0x_0)</f>
        <v>7555.3799999999992</v>
      </c>
      <c r="I23" s="1"/>
      <c r="J23" s="5">
        <f t="shared" si="13"/>
        <v>0.17784696185345111</v>
      </c>
      <c r="K23" s="1"/>
      <c r="L23" s="1">
        <f t="shared" si="14"/>
        <v>8081.65</v>
      </c>
      <c r="M23" s="1"/>
      <c r="N23" s="5">
        <f t="shared" si="15"/>
        <v>1.0696550008073717</v>
      </c>
      <c r="O23" s="14"/>
      <c r="P23" s="1">
        <f>SUM(OSRRefP22_0x_0)</f>
        <v>23392.93</v>
      </c>
      <c r="Q23" s="1"/>
      <c r="R23" s="5">
        <f t="shared" si="16"/>
        <v>4.9572425163278195</v>
      </c>
      <c r="S23" s="1"/>
      <c r="T23" s="1">
        <f>SUM(OSRRefT22_0x_0)</f>
        <v>18703.759999999998</v>
      </c>
      <c r="U23" s="1"/>
      <c r="V23" s="5">
        <f t="shared" si="17"/>
        <v>0.27588558802336732</v>
      </c>
      <c r="W23" s="1"/>
      <c r="X23" s="1">
        <f t="shared" si="18"/>
        <v>4689.1700000000019</v>
      </c>
      <c r="Y23" s="1"/>
      <c r="Z23" s="5">
        <f t="shared" si="19"/>
        <v>0.25070734440561698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1592.61</v>
      </c>
      <c r="E24" s="2"/>
      <c r="F24" s="6">
        <f t="shared" si="12"/>
        <v>0.33749316583809075</v>
      </c>
      <c r="G24" s="2"/>
      <c r="H24" s="7">
        <v>1398.6</v>
      </c>
      <c r="I24" s="2"/>
      <c r="J24" s="6">
        <f t="shared" si="13"/>
        <v>3.2921806824836967E-2</v>
      </c>
      <c r="K24" s="2"/>
      <c r="L24" s="7">
        <f t="shared" si="14"/>
        <v>194.01</v>
      </c>
      <c r="M24" s="2"/>
      <c r="N24" s="6">
        <f t="shared" si="15"/>
        <v>0.13871728871728872</v>
      </c>
      <c r="O24" s="11"/>
      <c r="P24" s="7">
        <v>2603.89</v>
      </c>
      <c r="Q24" s="2"/>
      <c r="R24" s="6">
        <f t="shared" si="16"/>
        <v>0.55179553035215534</v>
      </c>
      <c r="S24" s="2"/>
      <c r="T24" s="7">
        <v>2507.98</v>
      </c>
      <c r="U24" s="2"/>
      <c r="V24" s="6">
        <f t="shared" si="17"/>
        <v>3.6993392614685219E-2</v>
      </c>
      <c r="W24" s="2"/>
      <c r="X24" s="7">
        <f t="shared" si="18"/>
        <v>95.909999999999854</v>
      </c>
      <c r="Y24" s="2"/>
      <c r="Z24" s="6">
        <f t="shared" si="19"/>
        <v>3.8241931753841676E-2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577.34</v>
      </c>
      <c r="E25" s="2"/>
      <c r="F25" s="6">
        <f t="shared" si="12"/>
        <v>0.1223452724552548</v>
      </c>
      <c r="G25" s="2"/>
      <c r="H25" s="7">
        <v>745.58</v>
      </c>
      <c r="I25" s="2"/>
      <c r="J25" s="6">
        <f t="shared" si="13"/>
        <v>1.7550293674003969E-2</v>
      </c>
      <c r="K25" s="2"/>
      <c r="L25" s="7">
        <f t="shared" si="14"/>
        <v>-168.24</v>
      </c>
      <c r="M25" s="2"/>
      <c r="N25" s="6">
        <f t="shared" si="15"/>
        <v>-0.22564982966281286</v>
      </c>
      <c r="O25" s="11"/>
      <c r="P25" s="7">
        <v>1020.48</v>
      </c>
      <c r="Q25" s="2"/>
      <c r="R25" s="6">
        <f t="shared" si="16"/>
        <v>0.21625195488817406</v>
      </c>
      <c r="S25" s="2"/>
      <c r="T25" s="7">
        <v>1309.8800000000001</v>
      </c>
      <c r="U25" s="2"/>
      <c r="V25" s="6">
        <f t="shared" si="17"/>
        <v>1.9321089130744217E-2</v>
      </c>
      <c r="W25" s="2"/>
      <c r="X25" s="7">
        <f t="shared" si="18"/>
        <v>-289.40000000000009</v>
      </c>
      <c r="Y25" s="2"/>
      <c r="Z25" s="6">
        <f t="shared" si="19"/>
        <v>-0.22093626897120353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8711.43</v>
      </c>
      <c r="E26" s="2"/>
      <c r="F26" s="6">
        <f t="shared" si="12"/>
        <v>1.8460565296443696</v>
      </c>
      <c r="G26" s="2"/>
      <c r="H26" s="7">
        <v>3090.11</v>
      </c>
      <c r="I26" s="2"/>
      <c r="J26" s="6">
        <f t="shared" si="13"/>
        <v>7.2738455947016292E-2</v>
      </c>
      <c r="K26" s="2"/>
      <c r="L26" s="7">
        <f t="shared" si="14"/>
        <v>5621.32</v>
      </c>
      <c r="M26" s="2"/>
      <c r="N26" s="6">
        <f t="shared" si="15"/>
        <v>1.8191326522356808</v>
      </c>
      <c r="O26" s="11"/>
      <c r="P26" s="7">
        <v>12083.24</v>
      </c>
      <c r="Q26" s="2"/>
      <c r="R26" s="6">
        <f t="shared" si="16"/>
        <v>2.560583520875451</v>
      </c>
      <c r="S26" s="2"/>
      <c r="T26" s="7">
        <v>6180.22</v>
      </c>
      <c r="U26" s="2"/>
      <c r="V26" s="6">
        <f t="shared" si="17"/>
        <v>9.1159939435374246E-2</v>
      </c>
      <c r="W26" s="2"/>
      <c r="X26" s="7">
        <f t="shared" si="18"/>
        <v>5903.0199999999995</v>
      </c>
      <c r="Y26" s="2"/>
      <c r="Z26" s="6">
        <f t="shared" si="19"/>
        <v>0.95514722776859062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55.9</v>
      </c>
      <c r="E27" s="2"/>
      <c r="F27" s="6">
        <f t="shared" si="12"/>
        <v>1.1845880642686706E-2</v>
      </c>
      <c r="G27" s="2"/>
      <c r="H27" s="7">
        <v>49.96</v>
      </c>
      <c r="I27" s="2"/>
      <c r="J27" s="6">
        <f t="shared" si="13"/>
        <v>1.1760142063269377E-3</v>
      </c>
      <c r="K27" s="2"/>
      <c r="L27" s="7">
        <f t="shared" si="14"/>
        <v>5.9399999999999977</v>
      </c>
      <c r="M27" s="2"/>
      <c r="N27" s="6">
        <f t="shared" si="15"/>
        <v>0.11889511609287425</v>
      </c>
      <c r="O27" s="11"/>
      <c r="P27" s="7">
        <v>103.66</v>
      </c>
      <c r="Q27" s="2"/>
      <c r="R27" s="6">
        <f t="shared" si="16"/>
        <v>2.1966797628280927E-2</v>
      </c>
      <c r="S27" s="2"/>
      <c r="T27" s="7">
        <v>87.77</v>
      </c>
      <c r="U27" s="2"/>
      <c r="V27" s="6">
        <f t="shared" si="17"/>
        <v>1.2946315639641951E-3</v>
      </c>
      <c r="W27" s="2"/>
      <c r="X27" s="7">
        <f t="shared" si="18"/>
        <v>15.89</v>
      </c>
      <c r="Y27" s="2"/>
      <c r="Z27" s="6">
        <f t="shared" si="19"/>
        <v>0.18104135809502109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1527.3</v>
      </c>
      <c r="E28" s="2"/>
      <c r="F28" s="6">
        <f t="shared" si="12"/>
        <v>0.32365319330188563</v>
      </c>
      <c r="G28" s="2"/>
      <c r="H28" s="7">
        <v>581.80999999999995</v>
      </c>
      <c r="I28" s="2"/>
      <c r="J28" s="6">
        <f t="shared" si="13"/>
        <v>1.3695292741854995E-2</v>
      </c>
      <c r="K28" s="2"/>
      <c r="L28" s="7">
        <f t="shared" si="14"/>
        <v>945.49</v>
      </c>
      <c r="M28" s="2"/>
      <c r="N28" s="6">
        <f t="shared" si="15"/>
        <v>1.6250837902408004</v>
      </c>
      <c r="O28" s="11"/>
      <c r="P28" s="7">
        <v>2612.5500000000002</v>
      </c>
      <c r="Q28" s="2"/>
      <c r="R28" s="6">
        <f t="shared" si="16"/>
        <v>0.5536306882477845</v>
      </c>
      <c r="S28" s="2"/>
      <c r="T28" s="7">
        <v>1163.6199999999999</v>
      </c>
      <c r="U28" s="2"/>
      <c r="V28" s="6">
        <f t="shared" si="17"/>
        <v>1.716371403053454E-2</v>
      </c>
      <c r="W28" s="2"/>
      <c r="X28" s="7">
        <f t="shared" si="18"/>
        <v>1448.9300000000003</v>
      </c>
      <c r="Y28" s="2"/>
      <c r="Z28" s="6">
        <f t="shared" si="19"/>
        <v>1.2451917292586931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>
        <v>1539.3</v>
      </c>
      <c r="E29" s="2"/>
      <c r="F29" s="6">
        <f t="shared" si="12"/>
        <v>0.3261961372681153</v>
      </c>
      <c r="G29" s="2"/>
      <c r="H29" s="7">
        <v>864.41</v>
      </c>
      <c r="I29" s="2"/>
      <c r="J29" s="6">
        <f t="shared" si="13"/>
        <v>2.0347446759228748E-2</v>
      </c>
      <c r="K29" s="2"/>
      <c r="L29" s="7">
        <f t="shared" si="14"/>
        <v>674.89</v>
      </c>
      <c r="M29" s="2"/>
      <c r="N29" s="6">
        <f t="shared" si="15"/>
        <v>0.78075218935458868</v>
      </c>
      <c r="O29" s="11"/>
      <c r="P29" s="7">
        <v>2454.41</v>
      </c>
      <c r="Q29" s="2"/>
      <c r="R29" s="6">
        <f t="shared" si="16"/>
        <v>0.52011892501282064</v>
      </c>
      <c r="S29" s="2"/>
      <c r="T29" s="7">
        <v>2603.8000000000002</v>
      </c>
      <c r="U29" s="2"/>
      <c r="V29" s="6">
        <f t="shared" si="17"/>
        <v>3.8406763885723727E-2</v>
      </c>
      <c r="W29" s="2"/>
      <c r="X29" s="7">
        <f t="shared" si="18"/>
        <v>-149.39000000000033</v>
      </c>
      <c r="Y29" s="2"/>
      <c r="Z29" s="6">
        <f t="shared" si="19"/>
        <v>-5.7373838236423808E-2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>
        <v>986.74</v>
      </c>
      <c r="E30" s="2"/>
      <c r="F30" s="6">
        <f t="shared" si="12"/>
        <v>0.20910204410312488</v>
      </c>
      <c r="G30" s="2"/>
      <c r="H30" s="7">
        <v>471.2</v>
      </c>
      <c r="I30" s="2"/>
      <c r="J30" s="6">
        <f t="shared" si="13"/>
        <v>1.109163118537336E-2</v>
      </c>
      <c r="K30" s="2"/>
      <c r="L30" s="7">
        <f t="shared" si="14"/>
        <v>515.54</v>
      </c>
      <c r="M30" s="2"/>
      <c r="N30" s="6">
        <f t="shared" si="15"/>
        <v>1.0941001697792869</v>
      </c>
      <c r="O30" s="11"/>
      <c r="P30" s="7">
        <v>1596.54</v>
      </c>
      <c r="Q30" s="2"/>
      <c r="R30" s="6">
        <f t="shared" si="16"/>
        <v>0.33832597998703101</v>
      </c>
      <c r="S30" s="2"/>
      <c r="T30" s="7">
        <v>4228.7299999999996</v>
      </c>
      <c r="U30" s="2"/>
      <c r="V30" s="6">
        <f t="shared" si="17"/>
        <v>6.2374926893953631E-2</v>
      </c>
      <c r="W30" s="2"/>
      <c r="X30" s="7">
        <f t="shared" si="18"/>
        <v>-2632.1899999999996</v>
      </c>
      <c r="Y30" s="2"/>
      <c r="Z30" s="6">
        <f t="shared" si="19"/>
        <v>-0.62245402283900841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>
        <v>646.41</v>
      </c>
      <c r="E31" s="2"/>
      <c r="F31" s="6">
        <f t="shared" si="12"/>
        <v>0.13698203410087859</v>
      </c>
      <c r="G31" s="2"/>
      <c r="H31" s="7">
        <v>353.71</v>
      </c>
      <c r="I31" s="2"/>
      <c r="J31" s="6">
        <f t="shared" si="13"/>
        <v>8.32602051480987E-3</v>
      </c>
      <c r="K31" s="2"/>
      <c r="L31" s="7">
        <f t="shared" si="14"/>
        <v>292.7</v>
      </c>
      <c r="M31" s="2"/>
      <c r="N31" s="6">
        <f t="shared" si="15"/>
        <v>0.82751406519465098</v>
      </c>
      <c r="O31" s="11"/>
      <c r="P31" s="7">
        <v>918.16</v>
      </c>
      <c r="Q31" s="2"/>
      <c r="R31" s="6">
        <f t="shared" si="16"/>
        <v>0.19456911933612211</v>
      </c>
      <c r="S31" s="2"/>
      <c r="T31" s="7">
        <v>621.76</v>
      </c>
      <c r="U31" s="2"/>
      <c r="V31" s="6">
        <f t="shared" si="17"/>
        <v>9.17113046838758E-3</v>
      </c>
      <c r="W31" s="2"/>
      <c r="X31" s="7">
        <f t="shared" si="18"/>
        <v>296.39999999999998</v>
      </c>
      <c r="Y31" s="2"/>
      <c r="Z31" s="6">
        <f t="shared" si="19"/>
        <v>0.47671127123005658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19671.969999999998</v>
      </c>
      <c r="E32" s="1"/>
      <c r="F32" s="5">
        <f t="shared" ref="F32:F37" si="20">IF(D$12=0,0,D32/D$12)</f>
        <v>4.168726451279313</v>
      </c>
      <c r="G32" s="1"/>
      <c r="H32" s="1">
        <f>SUM(OSRRefH22_1x_0)</f>
        <v>21079.68</v>
      </c>
      <c r="I32" s="1"/>
      <c r="J32" s="5">
        <f t="shared" ref="J32:J37" si="21">IF(H$12=0,0,H32/H$12)</f>
        <v>0.4961970205129268</v>
      </c>
      <c r="K32" s="1"/>
      <c r="L32" s="1">
        <f t="shared" ref="L32:L37" si="22">+D32-H32</f>
        <v>-1407.7100000000028</v>
      </c>
      <c r="M32" s="1"/>
      <c r="N32" s="5">
        <f t="shared" ref="N32:N37" si="23">IF(H32=0,0,L32/H32)</f>
        <v>-6.6780425509305769E-2</v>
      </c>
      <c r="O32" s="14"/>
      <c r="P32" s="1">
        <f>SUM(OSRRefP22_1x_0)</f>
        <v>37022.879999999997</v>
      </c>
      <c r="Q32" s="1"/>
      <c r="R32" s="5">
        <f t="shared" ref="R32:R37" si="24">IF(P$12=0,0,P32/P$12)</f>
        <v>7.8455924423705321</v>
      </c>
      <c r="S32" s="1"/>
      <c r="T32" s="1">
        <f>SUM(OSRRefT22_1x_0)</f>
        <v>38565.160000000003</v>
      </c>
      <c r="U32" s="1"/>
      <c r="V32" s="5">
        <f t="shared" ref="V32:V37" si="25">IF(T$12=0,0,T32/T$12)</f>
        <v>0.56884668343772837</v>
      </c>
      <c r="W32" s="1"/>
      <c r="X32" s="1">
        <f t="shared" ref="X32:X37" si="26">+P32-T32</f>
        <v>-1542.2800000000061</v>
      </c>
      <c r="Y32" s="1"/>
      <c r="Z32" s="5">
        <f t="shared" ref="Z32:Z37" si="27">IF(T32=0,0,X32/T32)</f>
        <v>-3.9991536402286573E-2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>
        <v>14643.4</v>
      </c>
      <c r="E33" s="2"/>
      <c r="F33" s="6">
        <f t="shared" si="20"/>
        <v>3.1031121395906709</v>
      </c>
      <c r="G33" s="2"/>
      <c r="H33" s="7">
        <v>4981.0600000000004</v>
      </c>
      <c r="I33" s="2"/>
      <c r="J33" s="6">
        <f t="shared" si="21"/>
        <v>0.1172497462483358</v>
      </c>
      <c r="K33" s="2"/>
      <c r="L33" s="7">
        <f t="shared" si="22"/>
        <v>9662.34</v>
      </c>
      <c r="M33" s="2"/>
      <c r="N33" s="6">
        <f t="shared" si="23"/>
        <v>1.9398160230954855</v>
      </c>
      <c r="O33" s="11"/>
      <c r="P33" s="7">
        <v>27872.58</v>
      </c>
      <c r="Q33" s="2"/>
      <c r="R33" s="6">
        <f t="shared" si="24"/>
        <v>5.9065340945212279</v>
      </c>
      <c r="S33" s="2"/>
      <c r="T33" s="7">
        <v>10673.27</v>
      </c>
      <c r="U33" s="2"/>
      <c r="V33" s="6">
        <f t="shared" si="25"/>
        <v>0.1574336587981329</v>
      </c>
      <c r="W33" s="2"/>
      <c r="X33" s="7">
        <f t="shared" si="26"/>
        <v>17199.310000000001</v>
      </c>
      <c r="Y33" s="2"/>
      <c r="Z33" s="6">
        <f t="shared" si="27"/>
        <v>1.6114377318291395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>
        <v>4818.47</v>
      </c>
      <c r="E34" s="2"/>
      <c r="F34" s="6">
        <f t="shared" si="20"/>
        <v>1.0210916010799036</v>
      </c>
      <c r="G34" s="2"/>
      <c r="H34" s="7">
        <v>2938.97</v>
      </c>
      <c r="I34" s="2"/>
      <c r="J34" s="6">
        <f t="shared" si="21"/>
        <v>6.9180754042607678E-2</v>
      </c>
      <c r="K34" s="2"/>
      <c r="L34" s="7">
        <f t="shared" si="22"/>
        <v>1879.5000000000005</v>
      </c>
      <c r="M34" s="2"/>
      <c r="N34" s="6">
        <f t="shared" si="23"/>
        <v>0.63950976022211881</v>
      </c>
      <c r="O34" s="11"/>
      <c r="P34" s="7">
        <v>7590.2</v>
      </c>
      <c r="Q34" s="2"/>
      <c r="R34" s="6">
        <f t="shared" si="24"/>
        <v>1.608454441039725</v>
      </c>
      <c r="S34" s="2"/>
      <c r="T34" s="7">
        <v>6188.29</v>
      </c>
      <c r="U34" s="2"/>
      <c r="V34" s="6">
        <f t="shared" si="25"/>
        <v>9.1278974147931971E-2</v>
      </c>
      <c r="W34" s="2"/>
      <c r="X34" s="7">
        <f t="shared" si="26"/>
        <v>1401.9099999999999</v>
      </c>
      <c r="Y34" s="2"/>
      <c r="Z34" s="6">
        <f t="shared" si="27"/>
        <v>0.22654238893135259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>
        <v>155.1</v>
      </c>
      <c r="E35" s="2"/>
      <c r="F35" s="6">
        <f t="shared" si="20"/>
        <v>3.2867550763518924E-2</v>
      </c>
      <c r="G35" s="2"/>
      <c r="H35" s="7">
        <v>4538.71</v>
      </c>
      <c r="I35" s="2"/>
      <c r="J35" s="6">
        <f t="shared" si="21"/>
        <v>0.10683721854279694</v>
      </c>
      <c r="K35" s="2"/>
      <c r="L35" s="7">
        <f t="shared" si="22"/>
        <v>-4383.6099999999997</v>
      </c>
      <c r="M35" s="2"/>
      <c r="N35" s="6">
        <f t="shared" si="23"/>
        <v>-0.96582729453963778</v>
      </c>
      <c r="O35" s="11"/>
      <c r="P35" s="7">
        <v>155.1</v>
      </c>
      <c r="Q35" s="2"/>
      <c r="R35" s="6">
        <f t="shared" si="24"/>
        <v>3.2867550763518924E-2</v>
      </c>
      <c r="S35" s="2"/>
      <c r="T35" s="7">
        <v>7997.1</v>
      </c>
      <c r="U35" s="2"/>
      <c r="V35" s="6">
        <f t="shared" si="25"/>
        <v>0.11795941757067409</v>
      </c>
      <c r="W35" s="2"/>
      <c r="X35" s="7">
        <f t="shared" si="26"/>
        <v>-7842</v>
      </c>
      <c r="Y35" s="2"/>
      <c r="Z35" s="6">
        <f t="shared" si="27"/>
        <v>-0.98060546948268745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0"/>
        <v>0</v>
      </c>
      <c r="G36" s="2"/>
      <c r="H36" s="7">
        <v>200.5</v>
      </c>
      <c r="I36" s="2"/>
      <c r="J36" s="6">
        <f t="shared" si="21"/>
        <v>4.7195926414842077E-3</v>
      </c>
      <c r="K36" s="2"/>
      <c r="L36" s="7">
        <f t="shared" si="22"/>
        <v>-200.5</v>
      </c>
      <c r="M36" s="2"/>
      <c r="N36" s="6">
        <f t="shared" si="23"/>
        <v>-1</v>
      </c>
      <c r="O36" s="11"/>
      <c r="P36" s="7"/>
      <c r="Q36" s="2"/>
      <c r="R36" s="6">
        <f t="shared" si="24"/>
        <v>0</v>
      </c>
      <c r="S36" s="2"/>
      <c r="T36" s="7">
        <v>200.5</v>
      </c>
      <c r="U36" s="2"/>
      <c r="V36" s="6">
        <f t="shared" si="25"/>
        <v>2.9574299712295899E-3</v>
      </c>
      <c r="W36" s="2"/>
      <c r="X36" s="7">
        <f t="shared" si="26"/>
        <v>-200.5</v>
      </c>
      <c r="Y36" s="2"/>
      <c r="Z36" s="6">
        <f t="shared" si="27"/>
        <v>-1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>
        <v>55</v>
      </c>
      <c r="E37" s="2"/>
      <c r="F37" s="6">
        <f t="shared" si="20"/>
        <v>1.1655159845219478E-2</v>
      </c>
      <c r="G37" s="2"/>
      <c r="H37" s="7">
        <v>8420.44</v>
      </c>
      <c r="I37" s="2"/>
      <c r="J37" s="6">
        <f t="shared" si="21"/>
        <v>0.19820970903770216</v>
      </c>
      <c r="K37" s="2"/>
      <c r="L37" s="7">
        <f t="shared" si="22"/>
        <v>-8365.44</v>
      </c>
      <c r="M37" s="2"/>
      <c r="N37" s="6">
        <f t="shared" si="23"/>
        <v>-0.99346827481699296</v>
      </c>
      <c r="O37" s="11"/>
      <c r="P37" s="7">
        <v>1405</v>
      </c>
      <c r="Q37" s="2"/>
      <c r="R37" s="6">
        <f t="shared" si="24"/>
        <v>0.29773635604606119</v>
      </c>
      <c r="S37" s="2"/>
      <c r="T37" s="7">
        <v>13506</v>
      </c>
      <c r="U37" s="2"/>
      <c r="V37" s="6">
        <f t="shared" si="25"/>
        <v>0.19921720294975981</v>
      </c>
      <c r="W37" s="2"/>
      <c r="X37" s="7">
        <f t="shared" si="26"/>
        <v>-12101</v>
      </c>
      <c r="Y37" s="2"/>
      <c r="Z37" s="6">
        <f t="shared" si="27"/>
        <v>-0.89597216052124984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46" si="28">IF(D$12=0,0,D38/D$12)</f>
        <v>0</v>
      </c>
      <c r="G38" s="1"/>
      <c r="H38" s="1">
        <f>SUM(OSRRefH22_2x_0)</f>
        <v>360.17</v>
      </c>
      <c r="I38" s="1"/>
      <c r="J38" s="5">
        <f t="shared" ref="J38:J46" si="29">IF(H$12=0,0,H38/H$12)</f>
        <v>8.4780832004157959E-3</v>
      </c>
      <c r="K38" s="1"/>
      <c r="L38" s="1">
        <f t="shared" ref="L38:L46" si="30">+D38-H38</f>
        <v>-360.17</v>
      </c>
      <c r="M38" s="1"/>
      <c r="N38" s="5">
        <f t="shared" ref="N38:N46" si="31">IF(H38=0,0,L38/H38)</f>
        <v>-1</v>
      </c>
      <c r="O38" s="14"/>
      <c r="P38" s="1">
        <f>SUM(OSRRefP22_2x_0)</f>
        <v>45.97</v>
      </c>
      <c r="Q38" s="1"/>
      <c r="R38" s="5">
        <f t="shared" ref="R38:R46" si="32">IF(P$12=0,0,P38/P$12)</f>
        <v>9.7415945106316248E-3</v>
      </c>
      <c r="S38" s="1"/>
      <c r="T38" s="1">
        <f>SUM(OSRRefT22_2x_0)</f>
        <v>2000.45</v>
      </c>
      <c r="U38" s="1"/>
      <c r="V38" s="5">
        <f t="shared" ref="V38:V46" si="33">IF(T$12=0,0,T38/T$12)</f>
        <v>2.9507185964819119E-2</v>
      </c>
      <c r="W38" s="1"/>
      <c r="X38" s="1">
        <f t="shared" ref="X38:X46" si="34">+P38-T38</f>
        <v>-1954.48</v>
      </c>
      <c r="Y38" s="1"/>
      <c r="Z38" s="5">
        <f t="shared" ref="Z38:Z46" si="35">IF(T38=0,0,X38/T38)</f>
        <v>-0.97702017046164613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28"/>
        <v>0</v>
      </c>
      <c r="G39" s="2"/>
      <c r="H39" s="7">
        <v>360.17</v>
      </c>
      <c r="I39" s="2"/>
      <c r="J39" s="6">
        <f t="shared" si="29"/>
        <v>8.4780832004157959E-3</v>
      </c>
      <c r="K39" s="2"/>
      <c r="L39" s="7">
        <f t="shared" si="30"/>
        <v>-360.17</v>
      </c>
      <c r="M39" s="2"/>
      <c r="N39" s="6">
        <f t="shared" si="31"/>
        <v>-1</v>
      </c>
      <c r="O39" s="11"/>
      <c r="P39" s="7">
        <v>45.97</v>
      </c>
      <c r="Q39" s="2"/>
      <c r="R39" s="6">
        <f t="shared" si="32"/>
        <v>9.7415945106316248E-3</v>
      </c>
      <c r="S39" s="2"/>
      <c r="T39" s="7">
        <v>2000.45</v>
      </c>
      <c r="U39" s="2"/>
      <c r="V39" s="6">
        <f t="shared" si="33"/>
        <v>2.9507185964819119E-2</v>
      </c>
      <c r="W39" s="2"/>
      <c r="X39" s="7">
        <f t="shared" si="34"/>
        <v>-1954.48</v>
      </c>
      <c r="Y39" s="2"/>
      <c r="Z39" s="6">
        <f t="shared" si="35"/>
        <v>-0.97702017046164613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-0.14000000000000001</v>
      </c>
      <c r="E40" s="1"/>
      <c r="F40" s="5">
        <f t="shared" si="28"/>
        <v>-2.9667679606013222E-5</v>
      </c>
      <c r="G40" s="1"/>
      <c r="H40" s="1">
        <f>SUM(OSRRefH22_3x_0)</f>
        <v>-13.24</v>
      </c>
      <c r="I40" s="1"/>
      <c r="J40" s="5">
        <f t="shared" si="29"/>
        <v>-3.116578881458898E-4</v>
      </c>
      <c r="K40" s="1"/>
      <c r="L40" s="1">
        <f t="shared" si="30"/>
        <v>13.1</v>
      </c>
      <c r="M40" s="1"/>
      <c r="N40" s="5">
        <f t="shared" si="31"/>
        <v>-0.9894259818731117</v>
      </c>
      <c r="O40" s="14"/>
      <c r="P40" s="1">
        <f>SUM(OSRRefP22_3x_0)</f>
        <v>-0.14000000000000001</v>
      </c>
      <c r="Q40" s="1"/>
      <c r="R40" s="5">
        <f t="shared" si="32"/>
        <v>-2.9667679606013222E-5</v>
      </c>
      <c r="S40" s="1"/>
      <c r="T40" s="1">
        <f>SUM(OSRRefT22_3x_0)</f>
        <v>-18.21</v>
      </c>
      <c r="U40" s="1"/>
      <c r="V40" s="5">
        <f t="shared" si="33"/>
        <v>-2.686024926488321E-4</v>
      </c>
      <c r="W40" s="1"/>
      <c r="X40" s="1">
        <f t="shared" si="34"/>
        <v>18.07</v>
      </c>
      <c r="Y40" s="1"/>
      <c r="Z40" s="5">
        <f t="shared" si="35"/>
        <v>-0.99231191652937945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>
        <v>-0.14000000000000001</v>
      </c>
      <c r="E41" s="2"/>
      <c r="F41" s="6">
        <f t="shared" si="28"/>
        <v>-2.9667679606013222E-5</v>
      </c>
      <c r="G41" s="2"/>
      <c r="H41" s="7">
        <v>-13.24</v>
      </c>
      <c r="I41" s="2"/>
      <c r="J41" s="6">
        <f t="shared" si="29"/>
        <v>-3.116578881458898E-4</v>
      </c>
      <c r="K41" s="2"/>
      <c r="L41" s="7">
        <f t="shared" si="30"/>
        <v>13.1</v>
      </c>
      <c r="M41" s="2"/>
      <c r="N41" s="6">
        <f t="shared" si="31"/>
        <v>-0.9894259818731117</v>
      </c>
      <c r="O41" s="11"/>
      <c r="P41" s="7">
        <v>-0.14000000000000001</v>
      </c>
      <c r="Q41" s="2"/>
      <c r="R41" s="6">
        <f t="shared" si="32"/>
        <v>-2.9667679606013222E-5</v>
      </c>
      <c r="S41" s="2"/>
      <c r="T41" s="7">
        <v>-18.21</v>
      </c>
      <c r="U41" s="2"/>
      <c r="V41" s="6">
        <f t="shared" si="33"/>
        <v>-2.686024926488321E-4</v>
      </c>
      <c r="W41" s="2"/>
      <c r="X41" s="7">
        <f t="shared" si="34"/>
        <v>18.07</v>
      </c>
      <c r="Y41" s="2"/>
      <c r="Z41" s="6">
        <f t="shared" si="35"/>
        <v>-0.99231191652937945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1.26</v>
      </c>
      <c r="E42" s="1"/>
      <c r="F42" s="5">
        <f t="shared" si="28"/>
        <v>2.6700911645411894E-4</v>
      </c>
      <c r="G42" s="1"/>
      <c r="H42" s="1">
        <f>SUM(OSRRefH22_4x_0)</f>
        <v>1616.35</v>
      </c>
      <c r="I42" s="1"/>
      <c r="J42" s="5">
        <f t="shared" si="29"/>
        <v>3.8047449207296753E-2</v>
      </c>
      <c r="K42" s="1"/>
      <c r="L42" s="1">
        <f t="shared" si="30"/>
        <v>-1615.09</v>
      </c>
      <c r="M42" s="1"/>
      <c r="N42" s="5">
        <f t="shared" si="31"/>
        <v>-0.99922046586444768</v>
      </c>
      <c r="O42" s="14"/>
      <c r="P42" s="1">
        <f>SUM(OSRRefP22_4x_0)</f>
        <v>1.26</v>
      </c>
      <c r="Q42" s="1"/>
      <c r="R42" s="5">
        <f t="shared" si="32"/>
        <v>2.6700911645411894E-4</v>
      </c>
      <c r="S42" s="1"/>
      <c r="T42" s="1">
        <f>SUM(OSRRefT22_4x_0)</f>
        <v>2468.56</v>
      </c>
      <c r="U42" s="1"/>
      <c r="V42" s="5">
        <f t="shared" si="33"/>
        <v>3.6411936806875392E-2</v>
      </c>
      <c r="W42" s="1"/>
      <c r="X42" s="1">
        <f t="shared" si="34"/>
        <v>-2467.2999999999997</v>
      </c>
      <c r="Y42" s="1"/>
      <c r="Z42" s="5">
        <f t="shared" si="35"/>
        <v>-0.99948958097028218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>
        <v>1.26</v>
      </c>
      <c r="E43" s="2"/>
      <c r="F43" s="6">
        <f t="shared" si="28"/>
        <v>2.6700911645411894E-4</v>
      </c>
      <c r="G43" s="2"/>
      <c r="H43" s="7">
        <v>1616.35</v>
      </c>
      <c r="I43" s="2"/>
      <c r="J43" s="6">
        <f t="shared" si="29"/>
        <v>3.8047449207296753E-2</v>
      </c>
      <c r="K43" s="2"/>
      <c r="L43" s="7">
        <f t="shared" si="30"/>
        <v>-1615.09</v>
      </c>
      <c r="M43" s="2"/>
      <c r="N43" s="6">
        <f t="shared" si="31"/>
        <v>-0.99922046586444768</v>
      </c>
      <c r="O43" s="11"/>
      <c r="P43" s="7">
        <v>1.26</v>
      </c>
      <c r="Q43" s="2"/>
      <c r="R43" s="6">
        <f t="shared" si="32"/>
        <v>2.6700911645411894E-4</v>
      </c>
      <c r="S43" s="2"/>
      <c r="T43" s="7">
        <v>2468.56</v>
      </c>
      <c r="U43" s="2"/>
      <c r="V43" s="6">
        <f t="shared" si="33"/>
        <v>3.6411936806875392E-2</v>
      </c>
      <c r="W43" s="2"/>
      <c r="X43" s="7">
        <f t="shared" si="34"/>
        <v>-2467.2999999999997</v>
      </c>
      <c r="Y43" s="2"/>
      <c r="Z43" s="6">
        <f t="shared" si="35"/>
        <v>-0.99948958097028218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13968.220000000001</v>
      </c>
      <c r="E44" s="1"/>
      <c r="F44" s="5">
        <f t="shared" si="28"/>
        <v>2.9600333973307569</v>
      </c>
      <c r="G44" s="1"/>
      <c r="H44" s="1">
        <f>SUM(OSRRefH22_5x_0)</f>
        <v>13266.91</v>
      </c>
      <c r="I44" s="1"/>
      <c r="J44" s="5">
        <f t="shared" si="29"/>
        <v>0.31229132574181173</v>
      </c>
      <c r="K44" s="1"/>
      <c r="L44" s="1">
        <f t="shared" si="30"/>
        <v>701.31000000000131</v>
      </c>
      <c r="M44" s="1"/>
      <c r="N44" s="5">
        <f t="shared" si="31"/>
        <v>5.2861593242134103E-2</v>
      </c>
      <c r="O44" s="14"/>
      <c r="P44" s="1">
        <f>SUM(OSRRefP22_5x_0)</f>
        <v>27655.18</v>
      </c>
      <c r="Q44" s="1"/>
      <c r="R44" s="5">
        <f t="shared" si="32"/>
        <v>5.8604644263330332</v>
      </c>
      <c r="S44" s="1"/>
      <c r="T44" s="1">
        <f>SUM(OSRRefT22_5x_0)</f>
        <v>26533.82</v>
      </c>
      <c r="U44" s="1"/>
      <c r="V44" s="5">
        <f t="shared" si="33"/>
        <v>0.3913811197965642</v>
      </c>
      <c r="W44" s="1"/>
      <c r="X44" s="1">
        <f t="shared" si="34"/>
        <v>1121.3600000000006</v>
      </c>
      <c r="Y44" s="1"/>
      <c r="Z44" s="5">
        <f t="shared" si="35"/>
        <v>4.2261536409005589E-2</v>
      </c>
    </row>
    <row r="45" spans="1:26" s="24" customFormat="1" hidden="1" outlineLevel="2" x14ac:dyDescent="0.25">
      <c r="A45" s="29"/>
      <c r="B45" s="11" t="str">
        <f>CONCATENATE("          ", "6321", " - ", "BUILDING DEPRECIATION")</f>
        <v xml:space="preserve">          6321 - BUILDING DEPRECIATION</v>
      </c>
      <c r="C45" s="11"/>
      <c r="D45" s="7">
        <v>10597.26</v>
      </c>
      <c r="E45" s="2"/>
      <c r="F45" s="6">
        <f t="shared" si="28"/>
        <v>2.2456865312972831</v>
      </c>
      <c r="G45" s="2"/>
      <c r="H45" s="7">
        <v>10612.46</v>
      </c>
      <c r="I45" s="2"/>
      <c r="J45" s="6">
        <f t="shared" si="29"/>
        <v>0.24980792081818198</v>
      </c>
      <c r="K45" s="2"/>
      <c r="L45" s="7">
        <f t="shared" si="30"/>
        <v>-15.199999999998909</v>
      </c>
      <c r="M45" s="2"/>
      <c r="N45" s="6">
        <f t="shared" si="31"/>
        <v>-1.4322786611208815E-3</v>
      </c>
      <c r="O45" s="11"/>
      <c r="P45" s="7">
        <v>21194.52</v>
      </c>
      <c r="Q45" s="2"/>
      <c r="R45" s="6">
        <f t="shared" si="32"/>
        <v>4.4913730625945663</v>
      </c>
      <c r="S45" s="2"/>
      <c r="T45" s="7">
        <v>21224.92</v>
      </c>
      <c r="U45" s="2"/>
      <c r="V45" s="6">
        <f t="shared" si="33"/>
        <v>0.31307338925162265</v>
      </c>
      <c r="W45" s="2"/>
      <c r="X45" s="7">
        <f t="shared" si="34"/>
        <v>-30.399999999997817</v>
      </c>
      <c r="Y45" s="2"/>
      <c r="Z45" s="6">
        <f t="shared" si="35"/>
        <v>-1.4322786611208815E-3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3370.96</v>
      </c>
      <c r="E46" s="2"/>
      <c r="F46" s="6">
        <f t="shared" si="28"/>
        <v>0.71434686603347364</v>
      </c>
      <c r="G46" s="2"/>
      <c r="H46" s="7">
        <v>2654.45</v>
      </c>
      <c r="I46" s="2"/>
      <c r="J46" s="6">
        <f t="shared" si="29"/>
        <v>6.2483404923629693E-2</v>
      </c>
      <c r="K46" s="2"/>
      <c r="L46" s="7">
        <f t="shared" si="30"/>
        <v>716.51000000000022</v>
      </c>
      <c r="M46" s="2"/>
      <c r="N46" s="6">
        <f t="shared" si="31"/>
        <v>0.26992785699485777</v>
      </c>
      <c r="O46" s="11"/>
      <c r="P46" s="7">
        <v>6460.66</v>
      </c>
      <c r="Q46" s="2"/>
      <c r="R46" s="6">
        <f t="shared" si="32"/>
        <v>1.3690913637384667</v>
      </c>
      <c r="S46" s="2"/>
      <c r="T46" s="7">
        <v>5308.9</v>
      </c>
      <c r="U46" s="2"/>
      <c r="V46" s="6">
        <f t="shared" si="33"/>
        <v>7.8307730544941487E-2</v>
      </c>
      <c r="W46" s="2"/>
      <c r="X46" s="7">
        <f t="shared" si="34"/>
        <v>1151.7600000000002</v>
      </c>
      <c r="Y46" s="2"/>
      <c r="Z46" s="6">
        <f t="shared" si="35"/>
        <v>0.21694889713499976</v>
      </c>
    </row>
    <row r="47" spans="1:26" s="28" customFormat="1" outlineLevel="1" collapsed="1" x14ac:dyDescent="0.2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SUM(OSRRefD22_6x_0)</f>
        <v>0</v>
      </c>
      <c r="E47" s="1"/>
      <c r="F47" s="5">
        <f t="shared" ref="F47:F59" si="36">IF(D$12=0,0,D47/D$12)</f>
        <v>0</v>
      </c>
      <c r="G47" s="1"/>
      <c r="H47" s="1">
        <f>SUM(OSRRefH22_6x_0)</f>
        <v>0</v>
      </c>
      <c r="I47" s="1"/>
      <c r="J47" s="5">
        <f t="shared" ref="J47:J59" si="37">IF(H$12=0,0,H47/H$12)</f>
        <v>0</v>
      </c>
      <c r="K47" s="1"/>
      <c r="L47" s="1">
        <f t="shared" ref="L47:L59" si="38">+D47-H47</f>
        <v>0</v>
      </c>
      <c r="M47" s="1"/>
      <c r="N47" s="5">
        <f t="shared" ref="N47:N59" si="39">IF(H47=0,0,L47/H47)</f>
        <v>0</v>
      </c>
      <c r="O47" s="14"/>
      <c r="P47" s="1">
        <f>SUM(OSRRefP22_6x_0)</f>
        <v>0</v>
      </c>
      <c r="Q47" s="1"/>
      <c r="R47" s="5">
        <f t="shared" ref="R47:R59" si="40">IF(P$12=0,0,P47/P$12)</f>
        <v>0</v>
      </c>
      <c r="S47" s="1"/>
      <c r="T47" s="1">
        <f>SUM(OSRRefT22_6x_0)</f>
        <v>15.35</v>
      </c>
      <c r="U47" s="1"/>
      <c r="V47" s="5">
        <f t="shared" ref="V47:V59" si="41">IF(T$12=0,0,T47/T$12)</f>
        <v>2.2641670852056959E-4</v>
      </c>
      <c r="W47" s="1"/>
      <c r="X47" s="1">
        <f t="shared" ref="X47:X59" si="42">+P47-T47</f>
        <v>-15.35</v>
      </c>
      <c r="Y47" s="1"/>
      <c r="Z47" s="5">
        <f t="shared" ref="Z47:Z59" si="43">IF(T47=0,0,X47/T47)</f>
        <v>-1</v>
      </c>
    </row>
    <row r="48" spans="1:26" s="24" customFormat="1" hidden="1" outlineLevel="2" x14ac:dyDescent="0.25">
      <c r="A48" s="29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6"/>
        <v>0</v>
      </c>
      <c r="G48" s="2"/>
      <c r="H48" s="7"/>
      <c r="I48" s="2"/>
      <c r="J48" s="6">
        <f t="shared" si="37"/>
        <v>0</v>
      </c>
      <c r="K48" s="2"/>
      <c r="L48" s="7">
        <f t="shared" si="38"/>
        <v>0</v>
      </c>
      <c r="M48" s="2"/>
      <c r="N48" s="6">
        <f t="shared" si="39"/>
        <v>0</v>
      </c>
      <c r="O48" s="11"/>
      <c r="P48" s="7"/>
      <c r="Q48" s="2"/>
      <c r="R48" s="6">
        <f t="shared" si="40"/>
        <v>0</v>
      </c>
      <c r="S48" s="2"/>
      <c r="T48" s="7">
        <v>15.35</v>
      </c>
      <c r="U48" s="2"/>
      <c r="V48" s="6">
        <f t="shared" si="41"/>
        <v>2.2641670852056959E-4</v>
      </c>
      <c r="W48" s="2"/>
      <c r="X48" s="7">
        <f t="shared" si="42"/>
        <v>-15.35</v>
      </c>
      <c r="Y48" s="2"/>
      <c r="Z48" s="6">
        <f t="shared" si="43"/>
        <v>-1</v>
      </c>
    </row>
    <row r="49" spans="1:26" s="28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72.540000000000006</v>
      </c>
      <c r="E49" s="1"/>
      <c r="F49" s="5">
        <f t="shared" si="36"/>
        <v>1.5372096275858563E-2</v>
      </c>
      <c r="G49" s="1"/>
      <c r="H49" s="1">
        <f>SUM(OSRRefH22_7x_0)</f>
        <v>146.04</v>
      </c>
      <c r="I49" s="1"/>
      <c r="J49" s="5">
        <f t="shared" si="37"/>
        <v>3.4376524157723374E-3</v>
      </c>
      <c r="K49" s="1"/>
      <c r="L49" s="1">
        <f t="shared" si="38"/>
        <v>-73.499999999999986</v>
      </c>
      <c r="M49" s="1"/>
      <c r="N49" s="5">
        <f t="shared" si="39"/>
        <v>-0.50328677074774031</v>
      </c>
      <c r="O49" s="14"/>
      <c r="P49" s="1">
        <f>SUM(OSRRefP22_7x_0)</f>
        <v>178.15</v>
      </c>
      <c r="Q49" s="1"/>
      <c r="R49" s="5">
        <f t="shared" si="40"/>
        <v>3.7752122298651818E-2</v>
      </c>
      <c r="S49" s="1"/>
      <c r="T49" s="1">
        <f>SUM(OSRRefT22_7x_0)</f>
        <v>292.51</v>
      </c>
      <c r="U49" s="1"/>
      <c r="V49" s="5">
        <f t="shared" si="41"/>
        <v>4.3146026976776429E-3</v>
      </c>
      <c r="W49" s="1"/>
      <c r="X49" s="1">
        <f t="shared" si="42"/>
        <v>-114.35999999999999</v>
      </c>
      <c r="Y49" s="1"/>
      <c r="Z49" s="5">
        <f t="shared" si="43"/>
        <v>-0.39096099278657137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7">
        <v>72.540000000000006</v>
      </c>
      <c r="E50" s="2"/>
      <c r="F50" s="6">
        <f t="shared" si="36"/>
        <v>1.5372096275858563E-2</v>
      </c>
      <c r="G50" s="2"/>
      <c r="H50" s="7">
        <v>146.04</v>
      </c>
      <c r="I50" s="2"/>
      <c r="J50" s="6">
        <f t="shared" si="37"/>
        <v>3.4376524157723374E-3</v>
      </c>
      <c r="K50" s="2"/>
      <c r="L50" s="7">
        <f t="shared" si="38"/>
        <v>-73.499999999999986</v>
      </c>
      <c r="M50" s="2"/>
      <c r="N50" s="6">
        <f t="shared" si="39"/>
        <v>-0.50328677074774031</v>
      </c>
      <c r="O50" s="11"/>
      <c r="P50" s="7">
        <v>178.15</v>
      </c>
      <c r="Q50" s="2"/>
      <c r="R50" s="6">
        <f t="shared" si="40"/>
        <v>3.7752122298651818E-2</v>
      </c>
      <c r="S50" s="2"/>
      <c r="T50" s="7">
        <v>292.51</v>
      </c>
      <c r="U50" s="2"/>
      <c r="V50" s="6">
        <f t="shared" si="41"/>
        <v>4.3146026976776429E-3</v>
      </c>
      <c r="W50" s="2"/>
      <c r="X50" s="7">
        <f t="shared" si="42"/>
        <v>-114.35999999999999</v>
      </c>
      <c r="Y50" s="2"/>
      <c r="Z50" s="6">
        <f t="shared" si="43"/>
        <v>-0.39096099278657137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0</v>
      </c>
      <c r="E51" s="1"/>
      <c r="F51" s="5">
        <f t="shared" si="36"/>
        <v>0</v>
      </c>
      <c r="G51" s="1"/>
      <c r="H51" s="1">
        <f>SUM(OSRRefH22_8x_0)</f>
        <v>0</v>
      </c>
      <c r="I51" s="1"/>
      <c r="J51" s="5">
        <f t="shared" si="37"/>
        <v>0</v>
      </c>
      <c r="K51" s="1"/>
      <c r="L51" s="1">
        <f t="shared" si="38"/>
        <v>0</v>
      </c>
      <c r="M51" s="1"/>
      <c r="N51" s="5">
        <f t="shared" si="39"/>
        <v>0</v>
      </c>
      <c r="O51" s="14"/>
      <c r="P51" s="1">
        <f>SUM(OSRRefP22_8x_0)</f>
        <v>1404.55</v>
      </c>
      <c r="Q51" s="1"/>
      <c r="R51" s="5">
        <f t="shared" si="40"/>
        <v>0.2976409956473276</v>
      </c>
      <c r="S51" s="1"/>
      <c r="T51" s="1">
        <f>SUM(OSRRefT22_8x_0)</f>
        <v>1354.55</v>
      </c>
      <c r="U51" s="1"/>
      <c r="V51" s="5">
        <f t="shared" si="41"/>
        <v>1.997998387795033E-2</v>
      </c>
      <c r="W51" s="1"/>
      <c r="X51" s="1">
        <f t="shared" si="42"/>
        <v>50</v>
      </c>
      <c r="Y51" s="1"/>
      <c r="Z51" s="5">
        <f t="shared" si="43"/>
        <v>3.6912627809973793E-2</v>
      </c>
    </row>
    <row r="52" spans="1:26" s="24" customFormat="1" hidden="1" outlineLevel="2" x14ac:dyDescent="0.25">
      <c r="A52" s="29"/>
      <c r="B52" s="11" t="str">
        <f>CONCATENATE("          ", "6279", " - ", "GENERAL EXPENSE")</f>
        <v xml:space="preserve">          6279 - GENERAL EXPENSE</v>
      </c>
      <c r="C52" s="11"/>
      <c r="D52" s="7"/>
      <c r="E52" s="2"/>
      <c r="F52" s="6">
        <f t="shared" si="36"/>
        <v>0</v>
      </c>
      <c r="G52" s="2"/>
      <c r="H52" s="7"/>
      <c r="I52" s="2"/>
      <c r="J52" s="6">
        <f t="shared" si="37"/>
        <v>0</v>
      </c>
      <c r="K52" s="2"/>
      <c r="L52" s="7">
        <f t="shared" si="38"/>
        <v>0</v>
      </c>
      <c r="M52" s="2"/>
      <c r="N52" s="6">
        <f t="shared" si="39"/>
        <v>0</v>
      </c>
      <c r="O52" s="11"/>
      <c r="P52" s="7">
        <v>1404.55</v>
      </c>
      <c r="Q52" s="2"/>
      <c r="R52" s="6">
        <f t="shared" si="40"/>
        <v>0.2976409956473276</v>
      </c>
      <c r="S52" s="2"/>
      <c r="T52" s="7">
        <v>1354.55</v>
      </c>
      <c r="U52" s="2"/>
      <c r="V52" s="6">
        <f t="shared" si="41"/>
        <v>1.997998387795033E-2</v>
      </c>
      <c r="W52" s="2"/>
      <c r="X52" s="7">
        <f t="shared" si="42"/>
        <v>50</v>
      </c>
      <c r="Y52" s="2"/>
      <c r="Z52" s="6">
        <f t="shared" si="43"/>
        <v>3.6912627809973793E-2</v>
      </c>
    </row>
    <row r="53" spans="1:26" s="28" customFormat="1" outlineLevel="1" collapsed="1" x14ac:dyDescent="0.25">
      <c r="A53" s="27"/>
      <c r="B53" s="14" t="str">
        <f>CONCATENATE("     ","Insurance                                         ")</f>
        <v xml:space="preserve">     Insurance                                         </v>
      </c>
      <c r="C53" s="14"/>
      <c r="D53" s="1">
        <f>SUM(OSRRefD22_9x_0)</f>
        <v>641.28</v>
      </c>
      <c r="E53" s="1"/>
      <c r="F53" s="5">
        <f t="shared" si="36"/>
        <v>0.1358949255553154</v>
      </c>
      <c r="G53" s="1"/>
      <c r="H53" s="1">
        <f>SUM(OSRRefH22_9x_0)</f>
        <v>641.28</v>
      </c>
      <c r="I53" s="1"/>
      <c r="J53" s="5">
        <f t="shared" si="37"/>
        <v>1.5095163935815423E-2</v>
      </c>
      <c r="K53" s="1"/>
      <c r="L53" s="1">
        <f t="shared" si="38"/>
        <v>0</v>
      </c>
      <c r="M53" s="1"/>
      <c r="N53" s="5">
        <f t="shared" si="39"/>
        <v>0</v>
      </c>
      <c r="O53" s="14"/>
      <c r="P53" s="1">
        <f>SUM(OSRRefP22_9x_0)</f>
        <v>1282.56</v>
      </c>
      <c r="Q53" s="1"/>
      <c r="R53" s="5">
        <f t="shared" si="40"/>
        <v>0.27178985111063081</v>
      </c>
      <c r="S53" s="1"/>
      <c r="T53" s="1">
        <f>SUM(OSRRefT22_9x_0)</f>
        <v>1282.56</v>
      </c>
      <c r="U53" s="1"/>
      <c r="V53" s="5">
        <f t="shared" si="41"/>
        <v>1.8918111640400113E-2</v>
      </c>
      <c r="W53" s="1"/>
      <c r="X53" s="1">
        <f t="shared" si="42"/>
        <v>0</v>
      </c>
      <c r="Y53" s="1"/>
      <c r="Z53" s="5">
        <f t="shared" si="43"/>
        <v>0</v>
      </c>
    </row>
    <row r="54" spans="1:26" s="24" customFormat="1" hidden="1" outlineLevel="2" x14ac:dyDescent="0.25">
      <c r="A54" s="29"/>
      <c r="B54" s="11" t="str">
        <f>CONCATENATE("          ", "6314", " - ", "LIABILITY INSURANCE")</f>
        <v xml:space="preserve">          6314 - LIABILITY INSURANCE</v>
      </c>
      <c r="C54" s="11"/>
      <c r="D54" s="7">
        <v>641.28</v>
      </c>
      <c r="E54" s="2"/>
      <c r="F54" s="6">
        <f t="shared" si="36"/>
        <v>0.1358949255553154</v>
      </c>
      <c r="G54" s="2"/>
      <c r="H54" s="7">
        <v>641.28</v>
      </c>
      <c r="I54" s="2"/>
      <c r="J54" s="6">
        <f t="shared" si="37"/>
        <v>1.5095163935815423E-2</v>
      </c>
      <c r="K54" s="2"/>
      <c r="L54" s="7">
        <f t="shared" si="38"/>
        <v>0</v>
      </c>
      <c r="M54" s="2"/>
      <c r="N54" s="6">
        <f t="shared" si="39"/>
        <v>0</v>
      </c>
      <c r="O54" s="11"/>
      <c r="P54" s="7">
        <v>1282.56</v>
      </c>
      <c r="Q54" s="2"/>
      <c r="R54" s="6">
        <f t="shared" si="40"/>
        <v>0.27178985111063081</v>
      </c>
      <c r="S54" s="2"/>
      <c r="T54" s="7">
        <v>1282.56</v>
      </c>
      <c r="U54" s="2"/>
      <c r="V54" s="6">
        <f t="shared" si="41"/>
        <v>1.8918111640400113E-2</v>
      </c>
      <c r="W54" s="2"/>
      <c r="X54" s="7">
        <f t="shared" si="42"/>
        <v>0</v>
      </c>
      <c r="Y54" s="2"/>
      <c r="Z54" s="6">
        <f t="shared" si="43"/>
        <v>0</v>
      </c>
    </row>
    <row r="55" spans="1:26" s="28" customFormat="1" outlineLevel="1" collapsed="1" x14ac:dyDescent="0.25">
      <c r="A55" s="27"/>
      <c r="B55" s="14" t="str">
        <f>CONCATENATE("     ","Interest                                          ")</f>
        <v xml:space="preserve">     Interest                                          </v>
      </c>
      <c r="C55" s="14"/>
      <c r="D55" s="1">
        <f>SUM(OSRRefD22_10x_0)</f>
        <v>7510</v>
      </c>
      <c r="E55" s="1"/>
      <c r="F55" s="5">
        <f t="shared" si="36"/>
        <v>1.5914590988654234</v>
      </c>
      <c r="G55" s="1"/>
      <c r="H55" s="1">
        <f>SUM(OSRRefH22_10x_0)</f>
        <v>7630</v>
      </c>
      <c r="I55" s="1"/>
      <c r="J55" s="5">
        <f t="shared" si="37"/>
        <v>0.1796034506460075</v>
      </c>
      <c r="K55" s="1"/>
      <c r="L55" s="1">
        <f t="shared" si="38"/>
        <v>-120</v>
      </c>
      <c r="M55" s="1"/>
      <c r="N55" s="5">
        <f t="shared" si="39"/>
        <v>-1.5727391874180863E-2</v>
      </c>
      <c r="O55" s="14"/>
      <c r="P55" s="1">
        <f>SUM(OSRRefP22_10x_0)</f>
        <v>15020</v>
      </c>
      <c r="Q55" s="1"/>
      <c r="R55" s="5">
        <f t="shared" si="40"/>
        <v>3.1829181977308467</v>
      </c>
      <c r="S55" s="1"/>
      <c r="T55" s="1">
        <f>SUM(OSRRefT22_10x_0)</f>
        <v>15260</v>
      </c>
      <c r="U55" s="1"/>
      <c r="V55" s="5">
        <f t="shared" si="41"/>
        <v>0.22508918384520471</v>
      </c>
      <c r="W55" s="1"/>
      <c r="X55" s="1">
        <f t="shared" si="42"/>
        <v>-240</v>
      </c>
      <c r="Y55" s="1"/>
      <c r="Z55" s="5">
        <f t="shared" si="43"/>
        <v>-1.5727391874180863E-2</v>
      </c>
    </row>
    <row r="56" spans="1:26" s="24" customFormat="1" hidden="1" outlineLevel="2" x14ac:dyDescent="0.25">
      <c r="A56" s="29"/>
      <c r="B56" s="11" t="str">
        <f>CONCATENATE("          ", "6401", " - ", "INTEREST EXPENSE")</f>
        <v xml:space="preserve">          6401 - INTEREST EXPENSE</v>
      </c>
      <c r="C56" s="11"/>
      <c r="D56" s="7">
        <v>7510</v>
      </c>
      <c r="E56" s="2"/>
      <c r="F56" s="6">
        <f t="shared" si="36"/>
        <v>1.5914590988654234</v>
      </c>
      <c r="G56" s="2"/>
      <c r="H56" s="7">
        <v>7630</v>
      </c>
      <c r="I56" s="2"/>
      <c r="J56" s="6">
        <f t="shared" si="37"/>
        <v>0.1796034506460075</v>
      </c>
      <c r="K56" s="2"/>
      <c r="L56" s="7">
        <f t="shared" si="38"/>
        <v>-120</v>
      </c>
      <c r="M56" s="2"/>
      <c r="N56" s="6">
        <f t="shared" si="39"/>
        <v>-1.5727391874180863E-2</v>
      </c>
      <c r="O56" s="11"/>
      <c r="P56" s="7">
        <v>15020</v>
      </c>
      <c r="Q56" s="2"/>
      <c r="R56" s="6">
        <f t="shared" si="40"/>
        <v>3.1829181977308467</v>
      </c>
      <c r="S56" s="2"/>
      <c r="T56" s="7">
        <v>15260</v>
      </c>
      <c r="U56" s="2"/>
      <c r="V56" s="6">
        <f t="shared" si="41"/>
        <v>0.22508918384520471</v>
      </c>
      <c r="W56" s="2"/>
      <c r="X56" s="7">
        <f t="shared" si="42"/>
        <v>-240</v>
      </c>
      <c r="Y56" s="2"/>
      <c r="Z56" s="6">
        <f t="shared" si="43"/>
        <v>-1.5727391874180863E-2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SUM(OSRRefD22_11x_0)</f>
        <v>2416.6</v>
      </c>
      <c r="E57" s="1"/>
      <c r="F57" s="5">
        <f t="shared" si="36"/>
        <v>0.51210653239922532</v>
      </c>
      <c r="G57" s="1"/>
      <c r="H57" s="1">
        <f>SUM(OSRRefH22_11x_0)</f>
        <v>660.61</v>
      </c>
      <c r="I57" s="1"/>
      <c r="J57" s="5">
        <f t="shared" si="37"/>
        <v>1.5550175036862256E-2</v>
      </c>
      <c r="K57" s="1"/>
      <c r="L57" s="1">
        <f t="shared" si="38"/>
        <v>1755.9899999999998</v>
      </c>
      <c r="M57" s="1"/>
      <c r="N57" s="5">
        <f t="shared" si="39"/>
        <v>2.6581341487413144</v>
      </c>
      <c r="O57" s="14"/>
      <c r="P57" s="1">
        <f>SUM(OSRRefP22_11x_0)</f>
        <v>6488.5</v>
      </c>
      <c r="Q57" s="1"/>
      <c r="R57" s="5">
        <f t="shared" si="40"/>
        <v>1.3749909937401197</v>
      </c>
      <c r="S57" s="1"/>
      <c r="T57" s="1">
        <f>SUM(OSRRefT22_11x_0)</f>
        <v>1498.01</v>
      </c>
      <c r="U57" s="1"/>
      <c r="V57" s="5">
        <f t="shared" si="41"/>
        <v>2.2096058210481984E-2</v>
      </c>
      <c r="W57" s="1"/>
      <c r="X57" s="1">
        <f t="shared" si="42"/>
        <v>4990.49</v>
      </c>
      <c r="Y57" s="1"/>
      <c r="Z57" s="5">
        <f t="shared" si="43"/>
        <v>3.3314130079238455</v>
      </c>
    </row>
    <row r="58" spans="1:26" s="24" customFormat="1" hidden="1" outlineLevel="2" x14ac:dyDescent="0.25">
      <c r="A58" s="29"/>
      <c r="B58" s="11" t="str">
        <f>CONCATENATE("          ", "6373", " - ", "MAINTENANCE CONTRACTS")</f>
        <v xml:space="preserve">          6373 - MAINTENANCE CONTRACTS</v>
      </c>
      <c r="C58" s="11"/>
      <c r="D58" s="7">
        <v>157.19999999999999</v>
      </c>
      <c r="E58" s="2"/>
      <c r="F58" s="6">
        <f t="shared" si="36"/>
        <v>3.3312565957609126E-2</v>
      </c>
      <c r="G58" s="2"/>
      <c r="H58" s="7"/>
      <c r="I58" s="2"/>
      <c r="J58" s="6">
        <f t="shared" si="37"/>
        <v>0</v>
      </c>
      <c r="K58" s="2"/>
      <c r="L58" s="7">
        <f t="shared" si="38"/>
        <v>157.19999999999999</v>
      </c>
      <c r="M58" s="2"/>
      <c r="N58" s="6">
        <f t="shared" si="39"/>
        <v>0</v>
      </c>
      <c r="O58" s="11"/>
      <c r="P58" s="7">
        <v>2509.7399999999998</v>
      </c>
      <c r="Q58" s="2"/>
      <c r="R58" s="6">
        <f t="shared" si="40"/>
        <v>0.53184401581711149</v>
      </c>
      <c r="S58" s="2"/>
      <c r="T58" s="7"/>
      <c r="U58" s="2"/>
      <c r="V58" s="6">
        <f t="shared" si="41"/>
        <v>0</v>
      </c>
      <c r="W58" s="2"/>
      <c r="X58" s="7">
        <f t="shared" si="42"/>
        <v>2509.7399999999998</v>
      </c>
      <c r="Y58" s="2"/>
      <c r="Z58" s="6">
        <f t="shared" si="43"/>
        <v>0</v>
      </c>
    </row>
    <row r="59" spans="1:26" s="24" customFormat="1" hidden="1" outlineLevel="2" x14ac:dyDescent="0.25">
      <c r="A59" s="29"/>
      <c r="B59" s="11" t="str">
        <f>CONCATENATE("          ", "6375", " - ", "OUTSIDE REPAIRS &amp; MAINTENANCE")</f>
        <v xml:space="preserve">          6375 - OUTSIDE REPAIRS &amp; MAINTENANCE</v>
      </c>
      <c r="C59" s="11"/>
      <c r="D59" s="7">
        <v>2259.4</v>
      </c>
      <c r="E59" s="2"/>
      <c r="F59" s="6">
        <f t="shared" si="36"/>
        <v>0.4787939664416162</v>
      </c>
      <c r="G59" s="2"/>
      <c r="H59" s="7">
        <v>660.61</v>
      </c>
      <c r="I59" s="2"/>
      <c r="J59" s="6">
        <f t="shared" si="37"/>
        <v>1.5550175036862256E-2</v>
      </c>
      <c r="K59" s="2"/>
      <c r="L59" s="7">
        <f t="shared" si="38"/>
        <v>1598.79</v>
      </c>
      <c r="M59" s="2"/>
      <c r="N59" s="6">
        <f t="shared" si="39"/>
        <v>2.420172265027777</v>
      </c>
      <c r="O59" s="11"/>
      <c r="P59" s="7">
        <v>3978.76</v>
      </c>
      <c r="Q59" s="2"/>
      <c r="R59" s="6">
        <f t="shared" si="40"/>
        <v>0.8431469779230083</v>
      </c>
      <c r="S59" s="2"/>
      <c r="T59" s="7">
        <v>1498.01</v>
      </c>
      <c r="U59" s="2"/>
      <c r="V59" s="6">
        <f t="shared" si="41"/>
        <v>2.2096058210481984E-2</v>
      </c>
      <c r="W59" s="2"/>
      <c r="X59" s="7">
        <f t="shared" si="42"/>
        <v>2480.75</v>
      </c>
      <c r="Y59" s="2"/>
      <c r="Z59" s="6">
        <f t="shared" si="43"/>
        <v>1.6560303335758773</v>
      </c>
    </row>
    <row r="60" spans="1:26" s="28" customFormat="1" outlineLevel="1" collapsed="1" x14ac:dyDescent="0.25">
      <c r="A60" s="27"/>
      <c r="B60" s="14" t="str">
        <f>CONCATENATE("     ","Services                                          ")</f>
        <v xml:space="preserve">     Services                                          </v>
      </c>
      <c r="C60" s="14"/>
      <c r="D60" s="1">
        <f>SUM(OSRRefD22_12x_0)</f>
        <v>4789.1799999999994</v>
      </c>
      <c r="E60" s="1"/>
      <c r="F60" s="5">
        <f t="shared" ref="F60:F65" si="44">IF(D$12=0,0,D60/D$12)</f>
        <v>1.0148846986823312</v>
      </c>
      <c r="G60" s="1"/>
      <c r="H60" s="1">
        <f>SUM(OSRRefH22_12x_0)</f>
        <v>3663.96</v>
      </c>
      <c r="I60" s="1"/>
      <c r="J60" s="5">
        <f t="shared" ref="J60:J65" si="45">IF(H$12=0,0,H60/H$12)</f>
        <v>8.6246377330137042E-2</v>
      </c>
      <c r="K60" s="1"/>
      <c r="L60" s="1">
        <f t="shared" ref="L60:L65" si="46">+D60-H60</f>
        <v>1125.2199999999993</v>
      </c>
      <c r="M60" s="1"/>
      <c r="N60" s="5">
        <f t="shared" ref="N60:N65" si="47">IF(H60=0,0,L60/H60)</f>
        <v>0.30710488105765327</v>
      </c>
      <c r="O60" s="14"/>
      <c r="P60" s="1">
        <f>SUM(OSRRefP22_12x_0)</f>
        <v>5789.1799999999994</v>
      </c>
      <c r="Q60" s="1"/>
      <c r="R60" s="5">
        <f t="shared" ref="R60:R65" si="48">IF(P$12=0,0,P60/P$12)</f>
        <v>1.2267966958681398</v>
      </c>
      <c r="S60" s="1"/>
      <c r="T60" s="1">
        <f>SUM(OSRRefT22_12x_0)</f>
        <v>7957.66</v>
      </c>
      <c r="U60" s="1"/>
      <c r="V60" s="5">
        <f t="shared" ref="V60:V65" si="49">IF(T$12=0,0,T60/T$12)</f>
        <v>0.11737766675738084</v>
      </c>
      <c r="W60" s="1"/>
      <c r="X60" s="1">
        <f t="shared" ref="X60:X65" si="50">+P60-T60</f>
        <v>-2168.4800000000005</v>
      </c>
      <c r="Y60" s="1"/>
      <c r="Z60" s="5">
        <f t="shared" ref="Z60:Z65" si="51">IF(T60=0,0,X60/T60)</f>
        <v>-0.27250221798870528</v>
      </c>
    </row>
    <row r="61" spans="1:26" s="24" customFormat="1" hidden="1" outlineLevel="2" x14ac:dyDescent="0.25">
      <c r="A61" s="29"/>
      <c r="B61" s="11" t="str">
        <f>CONCATENATE("          ", "6282", " - ", "JANITORIAL/EXTERMINATOR EXPENS")</f>
        <v xml:space="preserve">          6282 - JANITORIAL/EXTERMINATOR EXPENS</v>
      </c>
      <c r="C61" s="11"/>
      <c r="D61" s="7">
        <v>485.89</v>
      </c>
      <c r="E61" s="2"/>
      <c r="F61" s="6">
        <f t="shared" si="44"/>
        <v>0.10296592031261258</v>
      </c>
      <c r="G61" s="2"/>
      <c r="H61" s="7">
        <v>328.54</v>
      </c>
      <c r="I61" s="2"/>
      <c r="J61" s="6">
        <f t="shared" si="45"/>
        <v>7.733540979716816E-3</v>
      </c>
      <c r="K61" s="2"/>
      <c r="L61" s="7">
        <f t="shared" si="46"/>
        <v>157.34999999999997</v>
      </c>
      <c r="M61" s="2"/>
      <c r="N61" s="6">
        <f t="shared" si="47"/>
        <v>0.47893711572411263</v>
      </c>
      <c r="O61" s="11"/>
      <c r="P61" s="7">
        <v>485.89</v>
      </c>
      <c r="Q61" s="2"/>
      <c r="R61" s="6">
        <f t="shared" si="48"/>
        <v>0.10296592031261258</v>
      </c>
      <c r="S61" s="2"/>
      <c r="T61" s="7">
        <v>657.08</v>
      </c>
      <c r="U61" s="2"/>
      <c r="V61" s="6">
        <f t="shared" si="49"/>
        <v>9.6921101520974513E-3</v>
      </c>
      <c r="W61" s="2"/>
      <c r="X61" s="7">
        <f t="shared" si="50"/>
        <v>-171.19000000000005</v>
      </c>
      <c r="Y61" s="2"/>
      <c r="Z61" s="6">
        <f t="shared" si="51"/>
        <v>-0.26053144213794371</v>
      </c>
    </row>
    <row r="62" spans="1:26" s="24" customFormat="1" hidden="1" outlineLevel="2" x14ac:dyDescent="0.25">
      <c r="A62" s="29"/>
      <c r="B62" s="11" t="str">
        <f>CONCATENATE("          ", "6283", " - ", "PLANT SERVICE")</f>
        <v xml:space="preserve">          6283 - PLANT SERVICE</v>
      </c>
      <c r="C62" s="11"/>
      <c r="D62" s="7"/>
      <c r="E62" s="2"/>
      <c r="F62" s="6">
        <f t="shared" si="44"/>
        <v>0</v>
      </c>
      <c r="G62" s="2"/>
      <c r="H62" s="7">
        <v>61.55</v>
      </c>
      <c r="I62" s="2"/>
      <c r="J62" s="6">
        <f t="shared" si="45"/>
        <v>1.4488325540316857E-3</v>
      </c>
      <c r="K62" s="2"/>
      <c r="L62" s="7">
        <f t="shared" si="46"/>
        <v>-61.55</v>
      </c>
      <c r="M62" s="2"/>
      <c r="N62" s="6">
        <f t="shared" si="47"/>
        <v>-1</v>
      </c>
      <c r="O62" s="11"/>
      <c r="P62" s="7"/>
      <c r="Q62" s="2"/>
      <c r="R62" s="6">
        <f t="shared" si="48"/>
        <v>0</v>
      </c>
      <c r="S62" s="2"/>
      <c r="T62" s="7">
        <v>123.1</v>
      </c>
      <c r="U62" s="2"/>
      <c r="V62" s="6">
        <f t="shared" si="49"/>
        <v>1.8157587504157731E-3</v>
      </c>
      <c r="W62" s="2"/>
      <c r="X62" s="7">
        <f t="shared" si="50"/>
        <v>-123.1</v>
      </c>
      <c r="Y62" s="2"/>
      <c r="Z62" s="6">
        <f t="shared" si="51"/>
        <v>-1</v>
      </c>
    </row>
    <row r="63" spans="1:26" s="24" customFormat="1" hidden="1" outlineLevel="2" x14ac:dyDescent="0.25">
      <c r="A63" s="29"/>
      <c r="B63" s="11" t="str">
        <f>CONCATENATE("          ", "6284", " - ", "TRASH REMOVAL EXPENSE")</f>
        <v xml:space="preserve">          6284 - TRASH REMOVAL EXPENSE</v>
      </c>
      <c r="C63" s="11"/>
      <c r="D63" s="7">
        <v>1000</v>
      </c>
      <c r="E63" s="2"/>
      <c r="F63" s="6">
        <f t="shared" si="44"/>
        <v>0.21191199718580869</v>
      </c>
      <c r="G63" s="2"/>
      <c r="H63" s="7"/>
      <c r="I63" s="2"/>
      <c r="J63" s="6">
        <f t="shared" si="45"/>
        <v>0</v>
      </c>
      <c r="K63" s="2"/>
      <c r="L63" s="7">
        <f t="shared" si="46"/>
        <v>1000</v>
      </c>
      <c r="M63" s="2"/>
      <c r="N63" s="6">
        <f t="shared" si="47"/>
        <v>0</v>
      </c>
      <c r="O63" s="11"/>
      <c r="P63" s="7">
        <v>2000</v>
      </c>
      <c r="Q63" s="2"/>
      <c r="R63" s="6">
        <f t="shared" si="48"/>
        <v>0.42382399437161739</v>
      </c>
      <c r="S63" s="2"/>
      <c r="T63" s="7">
        <v>623</v>
      </c>
      <c r="U63" s="2"/>
      <c r="V63" s="6">
        <f t="shared" si="49"/>
        <v>9.1894208083592738E-3</v>
      </c>
      <c r="W63" s="2"/>
      <c r="X63" s="7">
        <f t="shared" si="50"/>
        <v>1377</v>
      </c>
      <c r="Y63" s="2"/>
      <c r="Z63" s="6">
        <f t="shared" si="51"/>
        <v>2.2102728731942216</v>
      </c>
    </row>
    <row r="64" spans="1:26" s="24" customFormat="1" hidden="1" outlineLevel="2" x14ac:dyDescent="0.25">
      <c r="A64" s="29"/>
      <c r="B64" s="11" t="str">
        <f>CONCATENATE("          ", "6285", " - ", "JANITORIAL SERVICES")</f>
        <v xml:space="preserve">          6285 - JANITORIAL SERVICES</v>
      </c>
      <c r="C64" s="11"/>
      <c r="D64" s="7">
        <v>3155.58</v>
      </c>
      <c r="E64" s="2"/>
      <c r="F64" s="6">
        <f t="shared" si="44"/>
        <v>0.66870526007959419</v>
      </c>
      <c r="G64" s="2"/>
      <c r="H64" s="7">
        <v>3040.95</v>
      </c>
      <c r="I64" s="2"/>
      <c r="J64" s="6">
        <f t="shared" si="45"/>
        <v>7.1581273033024445E-2</v>
      </c>
      <c r="K64" s="2"/>
      <c r="L64" s="7">
        <f t="shared" si="46"/>
        <v>114.63000000000011</v>
      </c>
      <c r="M64" s="2"/>
      <c r="N64" s="6">
        <f t="shared" si="47"/>
        <v>3.769545701178912E-2</v>
      </c>
      <c r="O64" s="11"/>
      <c r="P64" s="7">
        <v>3155.58</v>
      </c>
      <c r="Q64" s="2"/>
      <c r="R64" s="6">
        <f t="shared" si="48"/>
        <v>0.66870526007959419</v>
      </c>
      <c r="S64" s="2"/>
      <c r="T64" s="7">
        <v>6081.9</v>
      </c>
      <c r="U64" s="2"/>
      <c r="V64" s="6">
        <f t="shared" si="49"/>
        <v>8.9709692478908934E-2</v>
      </c>
      <c r="W64" s="2"/>
      <c r="X64" s="7">
        <f t="shared" si="50"/>
        <v>-2926.3199999999997</v>
      </c>
      <c r="Y64" s="2"/>
      <c r="Z64" s="6">
        <f t="shared" si="51"/>
        <v>-0.48115227149410544</v>
      </c>
    </row>
    <row r="65" spans="1:26" s="24" customFormat="1" hidden="1" outlineLevel="2" x14ac:dyDescent="0.25">
      <c r="A65" s="29"/>
      <c r="B65" s="11" t="str">
        <f>CONCATENATE("          ", "6286", " - ", "LAUNDRY EXPENSE")</f>
        <v xml:space="preserve">          6286 - LAUNDRY EXPENSE</v>
      </c>
      <c r="C65" s="11"/>
      <c r="D65" s="7">
        <v>147.71</v>
      </c>
      <c r="E65" s="2"/>
      <c r="F65" s="6">
        <f t="shared" si="44"/>
        <v>3.1301521104315805E-2</v>
      </c>
      <c r="G65" s="2"/>
      <c r="H65" s="7">
        <v>232.92</v>
      </c>
      <c r="I65" s="2"/>
      <c r="J65" s="6">
        <f t="shared" si="45"/>
        <v>5.4827307633640975E-3</v>
      </c>
      <c r="K65" s="2"/>
      <c r="L65" s="7">
        <f t="shared" si="46"/>
        <v>-85.20999999999998</v>
      </c>
      <c r="M65" s="2"/>
      <c r="N65" s="6">
        <f t="shared" si="47"/>
        <v>-0.36583376266529272</v>
      </c>
      <c r="O65" s="11"/>
      <c r="P65" s="7">
        <v>147.71</v>
      </c>
      <c r="Q65" s="2"/>
      <c r="R65" s="6">
        <f t="shared" si="48"/>
        <v>3.1301521104315805E-2</v>
      </c>
      <c r="S65" s="2"/>
      <c r="T65" s="7">
        <v>472.58</v>
      </c>
      <c r="U65" s="2"/>
      <c r="V65" s="6">
        <f t="shared" si="49"/>
        <v>6.9706845675993993E-3</v>
      </c>
      <c r="W65" s="2"/>
      <c r="X65" s="7">
        <f t="shared" si="50"/>
        <v>-324.87</v>
      </c>
      <c r="Y65" s="2"/>
      <c r="Z65" s="6">
        <f t="shared" si="51"/>
        <v>-0.68743916373947267</v>
      </c>
    </row>
    <row r="66" spans="1:26" s="28" customFormat="1" outlineLevel="1" collapsed="1" x14ac:dyDescent="0.25">
      <c r="A66" s="27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1">
        <f>SUM(OSRRefD22_13x_0)</f>
        <v>0</v>
      </c>
      <c r="E66" s="1"/>
      <c r="F66" s="5">
        <f t="shared" ref="F66:F75" si="52">IF(D$12=0,0,D66/D$12)</f>
        <v>0</v>
      </c>
      <c r="G66" s="1"/>
      <c r="H66" s="1">
        <f>SUM(OSRRefH22_13x_0)</f>
        <v>196.71</v>
      </c>
      <c r="I66" s="1"/>
      <c r="J66" s="5">
        <f t="shared" ref="J66:J75" si="53">IF(H$12=0,0,H66/H$12)</f>
        <v>4.6303793940466759E-3</v>
      </c>
      <c r="K66" s="1"/>
      <c r="L66" s="1">
        <f t="shared" ref="L66:L75" si="54">+D66-H66</f>
        <v>-196.71</v>
      </c>
      <c r="M66" s="1"/>
      <c r="N66" s="5">
        <f t="shared" ref="N66:N75" si="55">IF(H66=0,0,L66/H66)</f>
        <v>-1</v>
      </c>
      <c r="O66" s="14"/>
      <c r="P66" s="1">
        <f>SUM(OSRRefP22_13x_0)</f>
        <v>9.32</v>
      </c>
      <c r="Q66" s="1"/>
      <c r="R66" s="5">
        <f t="shared" ref="R66:R75" si="56">IF(P$12=0,0,P66/P$12)</f>
        <v>1.9750198137717372E-3</v>
      </c>
      <c r="S66" s="1"/>
      <c r="T66" s="1">
        <f>SUM(OSRRefT22_13x_0)</f>
        <v>393.42</v>
      </c>
      <c r="U66" s="1"/>
      <c r="V66" s="5">
        <f t="shared" ref="V66:V75" si="57">IF(T$12=0,0,T66/T$12)</f>
        <v>5.8030528642451142E-3</v>
      </c>
      <c r="W66" s="1"/>
      <c r="X66" s="1">
        <f t="shared" ref="X66:X75" si="58">+P66-T66</f>
        <v>-384.1</v>
      </c>
      <c r="Y66" s="1"/>
      <c r="Z66" s="5">
        <f t="shared" ref="Z66:Z75" si="59">IF(T66=0,0,X66/T66)</f>
        <v>-0.976310304509176</v>
      </c>
    </row>
    <row r="67" spans="1:26" s="24" customFormat="1" hidden="1" outlineLevel="2" x14ac:dyDescent="0.25">
      <c r="A67" s="29"/>
      <c r="B67" s="11" t="str">
        <f>CONCATENATE("          ", "6275", " - ", "SUBSCRIPTIONS")</f>
        <v xml:space="preserve">          6275 - SUBSCRIPTIONS</v>
      </c>
      <c r="C67" s="11"/>
      <c r="D67" s="7"/>
      <c r="E67" s="2"/>
      <c r="F67" s="6">
        <f t="shared" si="52"/>
        <v>0</v>
      </c>
      <c r="G67" s="2"/>
      <c r="H67" s="7">
        <v>196.71</v>
      </c>
      <c r="I67" s="2"/>
      <c r="J67" s="6">
        <f t="shared" si="53"/>
        <v>4.6303793940466759E-3</v>
      </c>
      <c r="K67" s="2"/>
      <c r="L67" s="7">
        <f t="shared" si="54"/>
        <v>-196.71</v>
      </c>
      <c r="M67" s="2"/>
      <c r="N67" s="6">
        <f t="shared" si="55"/>
        <v>-1</v>
      </c>
      <c r="O67" s="11"/>
      <c r="P67" s="7">
        <v>9.32</v>
      </c>
      <c r="Q67" s="2"/>
      <c r="R67" s="6">
        <f t="shared" si="56"/>
        <v>1.9750198137717372E-3</v>
      </c>
      <c r="S67" s="2"/>
      <c r="T67" s="7">
        <v>393.42</v>
      </c>
      <c r="U67" s="2"/>
      <c r="V67" s="6">
        <f t="shared" si="57"/>
        <v>5.8030528642451142E-3</v>
      </c>
      <c r="W67" s="2"/>
      <c r="X67" s="7">
        <f t="shared" si="58"/>
        <v>-384.1</v>
      </c>
      <c r="Y67" s="2"/>
      <c r="Z67" s="6">
        <f t="shared" si="59"/>
        <v>-0.976310304509176</v>
      </c>
    </row>
    <row r="68" spans="1:26" s="28" customFormat="1" outlineLevel="1" collapsed="1" x14ac:dyDescent="0.25">
      <c r="A68" s="27"/>
      <c r="B68" s="14" t="str">
        <f>CONCATENATE("     ","Supplies                                          ")</f>
        <v xml:space="preserve">     Supplies                                          </v>
      </c>
      <c r="C68" s="14"/>
      <c r="D68" s="1">
        <f>SUM(OSRRefD22_14x_0)</f>
        <v>541.92999999999995</v>
      </c>
      <c r="E68" s="1"/>
      <c r="F68" s="5">
        <f t="shared" si="52"/>
        <v>0.1148414686349053</v>
      </c>
      <c r="G68" s="1"/>
      <c r="H68" s="1">
        <f>SUM(OSRRefH22_14x_0)</f>
        <v>6442.49</v>
      </c>
      <c r="I68" s="1"/>
      <c r="J68" s="5">
        <f t="shared" si="53"/>
        <v>0.15165051569494062</v>
      </c>
      <c r="K68" s="1"/>
      <c r="L68" s="1">
        <f t="shared" si="54"/>
        <v>-5900.5599999999995</v>
      </c>
      <c r="M68" s="1"/>
      <c r="N68" s="5">
        <f t="shared" si="55"/>
        <v>-0.91588190280466086</v>
      </c>
      <c r="O68" s="14"/>
      <c r="P68" s="1">
        <f>SUM(OSRRefP22_14x_0)</f>
        <v>1084.3699999999999</v>
      </c>
      <c r="Q68" s="1"/>
      <c r="R68" s="5">
        <f t="shared" si="56"/>
        <v>0.22979101238837535</v>
      </c>
      <c r="S68" s="1"/>
      <c r="T68" s="1">
        <f>SUM(OSRRefT22_14x_0)</f>
        <v>7431.25</v>
      </c>
      <c r="U68" s="1"/>
      <c r="V68" s="5">
        <f t="shared" si="57"/>
        <v>0.10961297493117152</v>
      </c>
      <c r="W68" s="1"/>
      <c r="X68" s="1">
        <f t="shared" si="58"/>
        <v>-6346.88</v>
      </c>
      <c r="Y68" s="1"/>
      <c r="Z68" s="5">
        <f t="shared" si="59"/>
        <v>-0.8540797308662742</v>
      </c>
    </row>
    <row r="69" spans="1:26" s="24" customFormat="1" hidden="1" outlineLevel="2" x14ac:dyDescent="0.25">
      <c r="A69" s="29"/>
      <c r="B69" s="11" t="str">
        <f>CONCATENATE("          ", "6234", " - ", "EXPENDABLE SUPPLIES &amp; EQUIPMEN")</f>
        <v xml:space="preserve">          6234 - EXPENDABLE SUPPLIES &amp; EQUIPMEN</v>
      </c>
      <c r="C69" s="11"/>
      <c r="D69" s="7">
        <v>255.78</v>
      </c>
      <c r="E69" s="2"/>
      <c r="F69" s="6">
        <f t="shared" si="52"/>
        <v>5.4202850640186151E-2</v>
      </c>
      <c r="G69" s="2"/>
      <c r="H69" s="7"/>
      <c r="I69" s="2"/>
      <c r="J69" s="6">
        <f t="shared" si="53"/>
        <v>0</v>
      </c>
      <c r="K69" s="2"/>
      <c r="L69" s="7">
        <f t="shared" si="54"/>
        <v>255.78</v>
      </c>
      <c r="M69" s="2"/>
      <c r="N69" s="6">
        <f t="shared" si="55"/>
        <v>0</v>
      </c>
      <c r="O69" s="11"/>
      <c r="P69" s="7">
        <v>255.78</v>
      </c>
      <c r="Q69" s="2"/>
      <c r="R69" s="6">
        <f t="shared" si="56"/>
        <v>5.4202850640186151E-2</v>
      </c>
      <c r="S69" s="2"/>
      <c r="T69" s="7"/>
      <c r="U69" s="2"/>
      <c r="V69" s="6">
        <f t="shared" si="57"/>
        <v>0</v>
      </c>
      <c r="W69" s="2"/>
      <c r="X69" s="7">
        <f t="shared" si="58"/>
        <v>255.78</v>
      </c>
      <c r="Y69" s="2"/>
      <c r="Z69" s="6">
        <f t="shared" si="59"/>
        <v>0</v>
      </c>
    </row>
    <row r="70" spans="1:26" s="24" customFormat="1" hidden="1" outlineLevel="2" x14ac:dyDescent="0.25">
      <c r="A70" s="29"/>
      <c r="B70" s="11" t="str">
        <f>CONCATENATE("          ", "6235", " - ", "COVID-19 EXPENSES")</f>
        <v xml:space="preserve">          6235 - COVID-19 EXPENSES</v>
      </c>
      <c r="C70" s="11"/>
      <c r="D70" s="7">
        <v>286.14999999999998</v>
      </c>
      <c r="E70" s="2"/>
      <c r="F70" s="6">
        <f t="shared" si="52"/>
        <v>6.0638617994719153E-2</v>
      </c>
      <c r="G70" s="2"/>
      <c r="H70" s="7"/>
      <c r="I70" s="2"/>
      <c r="J70" s="6">
        <f t="shared" si="53"/>
        <v>0</v>
      </c>
      <c r="K70" s="2"/>
      <c r="L70" s="7">
        <f t="shared" si="54"/>
        <v>286.14999999999998</v>
      </c>
      <c r="M70" s="2"/>
      <c r="N70" s="6">
        <f t="shared" si="55"/>
        <v>0</v>
      </c>
      <c r="O70" s="11"/>
      <c r="P70" s="7">
        <v>821.97</v>
      </c>
      <c r="Q70" s="2"/>
      <c r="R70" s="6">
        <f t="shared" si="56"/>
        <v>0.17418530432681917</v>
      </c>
      <c r="S70" s="2"/>
      <c r="T70" s="7"/>
      <c r="U70" s="2"/>
      <c r="V70" s="6">
        <f t="shared" si="57"/>
        <v>0</v>
      </c>
      <c r="W70" s="2"/>
      <c r="X70" s="7">
        <f t="shared" si="58"/>
        <v>821.97</v>
      </c>
      <c r="Y70" s="2"/>
      <c r="Z70" s="6">
        <f t="shared" si="59"/>
        <v>0</v>
      </c>
    </row>
    <row r="71" spans="1:26" s="24" customFormat="1" hidden="1" outlineLevel="2" x14ac:dyDescent="0.25">
      <c r="A71" s="29"/>
      <c r="B71" s="11" t="str">
        <f>CONCATENATE("          ", "6237", " - ", "JANITORIAL SUPPLIES")</f>
        <v xml:space="preserve">          6237 - JANITORIAL SUPPLIES</v>
      </c>
      <c r="C71" s="11"/>
      <c r="D71" s="7"/>
      <c r="E71" s="2"/>
      <c r="F71" s="6">
        <f t="shared" si="52"/>
        <v>0</v>
      </c>
      <c r="G71" s="2"/>
      <c r="H71" s="7">
        <v>718.66</v>
      </c>
      <c r="I71" s="2"/>
      <c r="J71" s="6">
        <f t="shared" si="53"/>
        <v>1.6916620686927883E-2</v>
      </c>
      <c r="K71" s="2"/>
      <c r="L71" s="7">
        <f t="shared" si="54"/>
        <v>-718.66</v>
      </c>
      <c r="M71" s="2"/>
      <c r="N71" s="6">
        <f t="shared" si="55"/>
        <v>-1</v>
      </c>
      <c r="O71" s="11"/>
      <c r="P71" s="7"/>
      <c r="Q71" s="2"/>
      <c r="R71" s="6">
        <f t="shared" si="56"/>
        <v>0</v>
      </c>
      <c r="S71" s="2"/>
      <c r="T71" s="7">
        <v>1241.52</v>
      </c>
      <c r="U71" s="2"/>
      <c r="V71" s="6">
        <f t="shared" si="57"/>
        <v>1.8312760388433717E-2</v>
      </c>
      <c r="W71" s="2"/>
      <c r="X71" s="7">
        <f t="shared" si="58"/>
        <v>-1241.52</v>
      </c>
      <c r="Y71" s="2"/>
      <c r="Z71" s="6">
        <f t="shared" si="59"/>
        <v>-1</v>
      </c>
    </row>
    <row r="72" spans="1:26" s="24" customFormat="1" hidden="1" outlineLevel="2" x14ac:dyDescent="0.25">
      <c r="A72" s="29"/>
      <c r="B72" s="11" t="str">
        <f>CONCATENATE("          ", "6239", " - ", "KITCHEN SUPPLIES")</f>
        <v xml:space="preserve">          6239 - KITCHEN SUPPLIES</v>
      </c>
      <c r="C72" s="11"/>
      <c r="D72" s="7"/>
      <c r="E72" s="2"/>
      <c r="F72" s="6">
        <f t="shared" si="52"/>
        <v>0</v>
      </c>
      <c r="G72" s="2"/>
      <c r="H72" s="7">
        <v>72.53</v>
      </c>
      <c r="I72" s="2"/>
      <c r="J72" s="6">
        <f t="shared" si="53"/>
        <v>1.7072920413309207E-3</v>
      </c>
      <c r="K72" s="2"/>
      <c r="L72" s="7">
        <f t="shared" si="54"/>
        <v>-72.53</v>
      </c>
      <c r="M72" s="2"/>
      <c r="N72" s="6">
        <f t="shared" si="55"/>
        <v>-1</v>
      </c>
      <c r="O72" s="11"/>
      <c r="P72" s="7"/>
      <c r="Q72" s="2"/>
      <c r="R72" s="6">
        <f t="shared" si="56"/>
        <v>0</v>
      </c>
      <c r="S72" s="2"/>
      <c r="T72" s="7">
        <v>135.76</v>
      </c>
      <c r="U72" s="2"/>
      <c r="V72" s="6">
        <f t="shared" si="57"/>
        <v>2.0024972214171028E-3</v>
      </c>
      <c r="W72" s="2"/>
      <c r="X72" s="7">
        <f t="shared" si="58"/>
        <v>-135.76</v>
      </c>
      <c r="Y72" s="2"/>
      <c r="Z72" s="6">
        <f t="shared" si="59"/>
        <v>-1</v>
      </c>
    </row>
    <row r="73" spans="1:26" s="24" customFormat="1" hidden="1" outlineLevel="2" x14ac:dyDescent="0.25">
      <c r="A73" s="29"/>
      <c r="B73" s="11" t="str">
        <f>CONCATENATE("          ", "6241", " - ", "OFFICE EXPENSE")</f>
        <v xml:space="preserve">          6241 - OFFICE EXPENSE</v>
      </c>
      <c r="C73" s="11"/>
      <c r="D73" s="7"/>
      <c r="E73" s="2"/>
      <c r="F73" s="6">
        <f t="shared" si="52"/>
        <v>0</v>
      </c>
      <c r="G73" s="2"/>
      <c r="H73" s="7">
        <v>4739.95</v>
      </c>
      <c r="I73" s="2"/>
      <c r="J73" s="6">
        <f t="shared" si="53"/>
        <v>0.11157423012969112</v>
      </c>
      <c r="K73" s="2"/>
      <c r="L73" s="7">
        <f t="shared" si="54"/>
        <v>-4739.95</v>
      </c>
      <c r="M73" s="2"/>
      <c r="N73" s="6">
        <f t="shared" si="55"/>
        <v>-1</v>
      </c>
      <c r="O73" s="11"/>
      <c r="P73" s="7">
        <v>6.62</v>
      </c>
      <c r="Q73" s="2"/>
      <c r="R73" s="6">
        <f t="shared" si="56"/>
        <v>1.4028574213700536E-3</v>
      </c>
      <c r="S73" s="2"/>
      <c r="T73" s="7">
        <v>4784.01</v>
      </c>
      <c r="U73" s="2"/>
      <c r="V73" s="6">
        <f t="shared" si="57"/>
        <v>7.0565459135471673E-2</v>
      </c>
      <c r="W73" s="2"/>
      <c r="X73" s="7">
        <f t="shared" si="58"/>
        <v>-4777.3900000000003</v>
      </c>
      <c r="Y73" s="2"/>
      <c r="Z73" s="6">
        <f t="shared" si="59"/>
        <v>-0.99861622362829516</v>
      </c>
    </row>
    <row r="74" spans="1:26" s="24" customFormat="1" hidden="1" outlineLevel="2" x14ac:dyDescent="0.25">
      <c r="A74" s="29"/>
      <c r="B74" s="11" t="str">
        <f>CONCATENATE("          ", "6243", " - ", "PAPER SUPPLIES")</f>
        <v xml:space="preserve">          6243 - PAPER SUPPLIES</v>
      </c>
      <c r="C74" s="11"/>
      <c r="D74" s="7"/>
      <c r="E74" s="2"/>
      <c r="F74" s="6">
        <f t="shared" si="52"/>
        <v>0</v>
      </c>
      <c r="G74" s="2"/>
      <c r="H74" s="7">
        <v>500.79</v>
      </c>
      <c r="I74" s="2"/>
      <c r="J74" s="6">
        <f t="shared" si="53"/>
        <v>1.1788153610617837E-2</v>
      </c>
      <c r="K74" s="2"/>
      <c r="L74" s="7">
        <f t="shared" si="54"/>
        <v>-500.79</v>
      </c>
      <c r="M74" s="2"/>
      <c r="N74" s="6">
        <f t="shared" si="55"/>
        <v>-1</v>
      </c>
      <c r="O74" s="11"/>
      <c r="P74" s="7"/>
      <c r="Q74" s="2"/>
      <c r="R74" s="6">
        <f t="shared" si="56"/>
        <v>0</v>
      </c>
      <c r="S74" s="2"/>
      <c r="T74" s="7">
        <v>859.4</v>
      </c>
      <c r="U74" s="2"/>
      <c r="V74" s="6">
        <f t="shared" si="57"/>
        <v>1.2676385622317753E-2</v>
      </c>
      <c r="W74" s="2"/>
      <c r="X74" s="7">
        <f t="shared" si="58"/>
        <v>-859.4</v>
      </c>
      <c r="Y74" s="2"/>
      <c r="Z74" s="6">
        <f t="shared" si="59"/>
        <v>-1</v>
      </c>
    </row>
    <row r="75" spans="1:26" s="24" customFormat="1" hidden="1" outlineLevel="2" x14ac:dyDescent="0.25">
      <c r="A75" s="29"/>
      <c r="B75" s="11" t="str">
        <f>CONCATENATE("          ", "6247", " - ", "STORE SUPPLIES")</f>
        <v xml:space="preserve">          6247 - STORE SUPPLIES</v>
      </c>
      <c r="C75" s="11"/>
      <c r="D75" s="7"/>
      <c r="E75" s="2"/>
      <c r="F75" s="6">
        <f t="shared" si="52"/>
        <v>0</v>
      </c>
      <c r="G75" s="2"/>
      <c r="H75" s="7">
        <v>410.56</v>
      </c>
      <c r="I75" s="2"/>
      <c r="J75" s="6">
        <f t="shared" si="53"/>
        <v>9.6642192263728492E-3</v>
      </c>
      <c r="K75" s="2"/>
      <c r="L75" s="7">
        <f t="shared" si="54"/>
        <v>-410.56</v>
      </c>
      <c r="M75" s="2"/>
      <c r="N75" s="6">
        <f t="shared" si="55"/>
        <v>-1</v>
      </c>
      <c r="O75" s="11"/>
      <c r="P75" s="7"/>
      <c r="Q75" s="2"/>
      <c r="R75" s="6">
        <f t="shared" si="56"/>
        <v>0</v>
      </c>
      <c r="S75" s="2"/>
      <c r="T75" s="7">
        <v>410.56</v>
      </c>
      <c r="U75" s="2"/>
      <c r="V75" s="6">
        <f t="shared" si="57"/>
        <v>6.0558725635312741E-3</v>
      </c>
      <c r="W75" s="2"/>
      <c r="X75" s="7">
        <f t="shared" si="58"/>
        <v>-410.56</v>
      </c>
      <c r="Y75" s="2"/>
      <c r="Z75" s="6">
        <f t="shared" si="59"/>
        <v>-1</v>
      </c>
    </row>
    <row r="76" spans="1:26" s="28" customFormat="1" outlineLevel="1" collapsed="1" x14ac:dyDescent="0.25">
      <c r="A76" s="27"/>
      <c r="B76" s="14" t="str">
        <f>CONCATENATE("     ","Telephone/Data Lines                              ")</f>
        <v xml:space="preserve">     Telephone/Data Lines                              </v>
      </c>
      <c r="C76" s="14"/>
      <c r="D76" s="1">
        <f>SUM(OSRRefD22_15x_0)</f>
        <v>232</v>
      </c>
      <c r="E76" s="1"/>
      <c r="F76" s="5">
        <f t="shared" ref="F76:F79" si="60">IF(D$12=0,0,D76/D$12)</f>
        <v>4.9163583347107617E-2</v>
      </c>
      <c r="G76" s="1"/>
      <c r="H76" s="1">
        <f>SUM(OSRRefH22_15x_0)</f>
        <v>150.5</v>
      </c>
      <c r="I76" s="1"/>
      <c r="J76" s="5">
        <f t="shared" ref="J76:J79" si="61">IF(H$12=0,0,H76/H$12)</f>
        <v>3.5426368705405147E-3</v>
      </c>
      <c r="K76" s="1"/>
      <c r="L76" s="1">
        <f t="shared" ref="L76:L79" si="62">+D76-H76</f>
        <v>81.5</v>
      </c>
      <c r="M76" s="1"/>
      <c r="N76" s="5">
        <f t="shared" ref="N76:N79" si="63">IF(H76=0,0,L76/H76)</f>
        <v>0.5415282392026578</v>
      </c>
      <c r="O76" s="14"/>
      <c r="P76" s="1">
        <f>SUM(OSRRefP22_15x_0)</f>
        <v>464</v>
      </c>
      <c r="Q76" s="1"/>
      <c r="R76" s="5">
        <f t="shared" ref="R76:R79" si="64">IF(P$12=0,0,P76/P$12)</f>
        <v>9.8327166694215234E-2</v>
      </c>
      <c r="S76" s="1"/>
      <c r="T76" s="1">
        <f>SUM(OSRRefT22_15x_0)</f>
        <v>242.5</v>
      </c>
      <c r="U76" s="1"/>
      <c r="V76" s="5">
        <f t="shared" ref="V76:V79" si="65">IF(T$12=0,0,T76/T$12)</f>
        <v>3.576941486399878E-3</v>
      </c>
      <c r="W76" s="1"/>
      <c r="X76" s="1">
        <f t="shared" ref="X76:X79" si="66">+P76-T76</f>
        <v>221.5</v>
      </c>
      <c r="Y76" s="1"/>
      <c r="Z76" s="5">
        <f t="shared" ref="Z76:Z79" si="67">IF(T76=0,0,X76/T76)</f>
        <v>0.91340206185567008</v>
      </c>
    </row>
    <row r="77" spans="1:26" s="24" customFormat="1" hidden="1" outlineLevel="2" x14ac:dyDescent="0.25">
      <c r="A77" s="29"/>
      <c r="B77" s="11" t="str">
        <f>CONCATENATE("          ", "6309", " - ", "TELEPHONE")</f>
        <v xml:space="preserve">          6309 - TELEPHONE</v>
      </c>
      <c r="C77" s="11"/>
      <c r="D77" s="7">
        <v>232</v>
      </c>
      <c r="E77" s="2"/>
      <c r="F77" s="6">
        <f t="shared" si="60"/>
        <v>4.9163583347107617E-2</v>
      </c>
      <c r="G77" s="2"/>
      <c r="H77" s="7">
        <v>150.5</v>
      </c>
      <c r="I77" s="2"/>
      <c r="J77" s="6">
        <f t="shared" si="61"/>
        <v>3.5426368705405147E-3</v>
      </c>
      <c r="K77" s="2"/>
      <c r="L77" s="7">
        <f t="shared" si="62"/>
        <v>81.5</v>
      </c>
      <c r="M77" s="2"/>
      <c r="N77" s="6">
        <f t="shared" si="63"/>
        <v>0.5415282392026578</v>
      </c>
      <c r="O77" s="11"/>
      <c r="P77" s="7">
        <v>464</v>
      </c>
      <c r="Q77" s="2"/>
      <c r="R77" s="6">
        <f t="shared" si="64"/>
        <v>9.8327166694215234E-2</v>
      </c>
      <c r="S77" s="2"/>
      <c r="T77" s="7">
        <v>242.5</v>
      </c>
      <c r="U77" s="2"/>
      <c r="V77" s="6">
        <f t="shared" si="65"/>
        <v>3.576941486399878E-3</v>
      </c>
      <c r="W77" s="2"/>
      <c r="X77" s="7">
        <f t="shared" si="66"/>
        <v>221.5</v>
      </c>
      <c r="Y77" s="2"/>
      <c r="Z77" s="6">
        <f t="shared" si="67"/>
        <v>0.91340206185567008</v>
      </c>
    </row>
    <row r="78" spans="1:26" s="28" customFormat="1" outlineLevel="1" collapsed="1" x14ac:dyDescent="0.25">
      <c r="A78" s="27"/>
      <c r="B78" s="14" t="str">
        <f>CONCATENATE("     ","Utilities                                         ")</f>
        <v xml:space="preserve">     Utilities                                         </v>
      </c>
      <c r="C78" s="14"/>
      <c r="D78" s="1">
        <f>SUM(OSRRefD22_16x_0)</f>
        <v>2300</v>
      </c>
      <c r="E78" s="1"/>
      <c r="F78" s="5">
        <f t="shared" si="60"/>
        <v>0.48739759352736001</v>
      </c>
      <c r="G78" s="1"/>
      <c r="H78" s="1">
        <f>SUM(OSRRefH22_16x_0)</f>
        <v>0</v>
      </c>
      <c r="I78" s="1"/>
      <c r="J78" s="5">
        <f t="shared" si="61"/>
        <v>0</v>
      </c>
      <c r="K78" s="1"/>
      <c r="L78" s="1">
        <f t="shared" si="62"/>
        <v>2300</v>
      </c>
      <c r="M78" s="1"/>
      <c r="N78" s="5">
        <f t="shared" si="63"/>
        <v>0</v>
      </c>
      <c r="O78" s="14"/>
      <c r="P78" s="1">
        <f>SUM(OSRRefP22_16x_0)</f>
        <v>4600</v>
      </c>
      <c r="Q78" s="1"/>
      <c r="R78" s="5">
        <f t="shared" si="64"/>
        <v>0.97479518705472001</v>
      </c>
      <c r="S78" s="1"/>
      <c r="T78" s="1">
        <f>SUM(OSRRefT22_16x_0)</f>
        <v>2031</v>
      </c>
      <c r="U78" s="1"/>
      <c r="V78" s="5">
        <f t="shared" si="65"/>
        <v>2.9957806840734649E-2</v>
      </c>
      <c r="W78" s="1"/>
      <c r="X78" s="1">
        <f t="shared" si="66"/>
        <v>2569</v>
      </c>
      <c r="Y78" s="1"/>
      <c r="Z78" s="5">
        <f t="shared" si="67"/>
        <v>1.2648941408173313</v>
      </c>
    </row>
    <row r="79" spans="1:26" s="24" customFormat="1" hidden="1" outlineLevel="2" x14ac:dyDescent="0.25">
      <c r="A79" s="29"/>
      <c r="B79" s="11" t="str">
        <f>CONCATENATE("          ", "6274", " - ", "UTILITIES")</f>
        <v xml:space="preserve">          6274 - UTILITIES</v>
      </c>
      <c r="C79" s="11"/>
      <c r="D79" s="7">
        <v>2300</v>
      </c>
      <c r="E79" s="2"/>
      <c r="F79" s="6">
        <f t="shared" si="60"/>
        <v>0.48739759352736001</v>
      </c>
      <c r="G79" s="2"/>
      <c r="H79" s="7"/>
      <c r="I79" s="2"/>
      <c r="J79" s="6">
        <f t="shared" si="61"/>
        <v>0</v>
      </c>
      <c r="K79" s="2"/>
      <c r="L79" s="7">
        <f t="shared" si="62"/>
        <v>2300</v>
      </c>
      <c r="M79" s="2"/>
      <c r="N79" s="6">
        <f t="shared" si="63"/>
        <v>0</v>
      </c>
      <c r="O79" s="11"/>
      <c r="P79" s="7">
        <v>4600</v>
      </c>
      <c r="Q79" s="2"/>
      <c r="R79" s="6">
        <f t="shared" si="64"/>
        <v>0.97479518705472001</v>
      </c>
      <c r="S79" s="2"/>
      <c r="T79" s="7">
        <v>2031</v>
      </c>
      <c r="U79" s="2"/>
      <c r="V79" s="6">
        <f t="shared" si="65"/>
        <v>2.9957806840734649E-2</v>
      </c>
      <c r="W79" s="2"/>
      <c r="X79" s="7">
        <f t="shared" si="66"/>
        <v>2569</v>
      </c>
      <c r="Y79" s="2"/>
      <c r="Z79" s="6">
        <f t="shared" si="67"/>
        <v>1.2648941408173313</v>
      </c>
    </row>
    <row r="80" spans="1:26" s="52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5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6" t="s">
        <v>3</v>
      </c>
      <c r="C83" s="26"/>
      <c r="D83" s="22">
        <f>+D20-D22+D81</f>
        <v>-67308.87</v>
      </c>
      <c r="E83" s="13"/>
      <c r="F83" s="21">
        <f>IF(D$12=0,0,D83/D$12)</f>
        <v>-14.263557070019962</v>
      </c>
      <c r="G83" s="13"/>
      <c r="H83" s="22">
        <f>+H20-H22+H81</f>
        <v>-37476.719999999987</v>
      </c>
      <c r="I83" s="13"/>
      <c r="J83" s="21">
        <f>IF(H$12=0,0,H83/H$12)</f>
        <v>-0.88216883760081777</v>
      </c>
      <c r="K83" s="16"/>
      <c r="L83" s="22">
        <f>+D83-H83</f>
        <v>-29832.150000000009</v>
      </c>
      <c r="M83" s="16"/>
      <c r="N83" s="21">
        <f>IF(H83=0,0,L83/H83)</f>
        <v>0.79601816807874382</v>
      </c>
      <c r="O83" s="25"/>
      <c r="P83" s="22">
        <f>+P20-P22+P81</f>
        <v>-123965.71</v>
      </c>
      <c r="Q83" s="13"/>
      <c r="R83" s="21">
        <f>IF(P$12=0,0,P83/P$12)</f>
        <v>-26.269821188656778</v>
      </c>
      <c r="S83" s="13"/>
      <c r="T83" s="22">
        <f>+T20-T22+T81</f>
        <v>-80859.279999999955</v>
      </c>
      <c r="U83" s="13"/>
      <c r="V83" s="21">
        <f>IF(T$12=0,0,T83/T$12)</f>
        <v>-1.1926965492471084</v>
      </c>
      <c r="W83" s="16"/>
      <c r="X83" s="22">
        <f>+P83-T83</f>
        <v>-43106.430000000051</v>
      </c>
      <c r="Y83" s="16"/>
      <c r="Z83" s="21">
        <f>IF(T83=0,0,X83/T83)</f>
        <v>0.53310430169548972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796.73</v>
      </c>
      <c r="E85" s="4"/>
      <c r="F85" s="12">
        <f>IF(D$12=0,0,D85/D$12)</f>
        <v>0.16883664551784935</v>
      </c>
      <c r="G85" s="4"/>
      <c r="H85" s="4">
        <v>3189.55</v>
      </c>
      <c r="I85" s="4"/>
      <c r="J85" s="12">
        <f>IF(H$12=0,0,H85/H$12)</f>
        <v>7.5079185584269098E-2</v>
      </c>
      <c r="K85" s="4"/>
      <c r="L85" s="4">
        <f>+D85-H85</f>
        <v>-2392.8200000000002</v>
      </c>
      <c r="M85" s="4"/>
      <c r="N85" s="12">
        <f>IF(H85=0,0,L85/H85)</f>
        <v>-0.75020614193224755</v>
      </c>
      <c r="O85" s="10"/>
      <c r="P85" s="4">
        <v>796.73</v>
      </c>
      <c r="Q85" s="4"/>
      <c r="R85" s="12">
        <f>IF(P$12=0,0,P85/P$12)</f>
        <v>0.16883664551784935</v>
      </c>
      <c r="S85" s="4"/>
      <c r="T85" s="4">
        <v>8452.84</v>
      </c>
      <c r="U85" s="4"/>
      <c r="V85" s="12">
        <f>IF(T$12=0,0,T85/T$12)</f>
        <v>0.12468170752123854</v>
      </c>
      <c r="W85" s="4"/>
      <c r="X85" s="4">
        <f>+P85-T85</f>
        <v>-7656.1100000000006</v>
      </c>
      <c r="Y85" s="4"/>
      <c r="Z85" s="12">
        <f>IF(T85=0,0,X85/T85)</f>
        <v>-0.90574410493987823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4</v>
      </c>
      <c r="C87" s="26"/>
      <c r="D87" s="36">
        <f>+D83-D85</f>
        <v>-68105.599999999991</v>
      </c>
      <c r="E87" s="13"/>
      <c r="F87" s="34">
        <f>IF(D$12=0,0,D87/D$12)</f>
        <v>-14.432393715537811</v>
      </c>
      <c r="G87" s="13"/>
      <c r="H87" s="36">
        <f>+H83-H85</f>
        <v>-40666.26999999999</v>
      </c>
      <c r="I87" s="13"/>
      <c r="J87" s="34">
        <f>IF(H$12=0,0,H87/H$12)</f>
        <v>-0.95724802318508695</v>
      </c>
      <c r="K87" s="16"/>
      <c r="L87" s="36">
        <f>D87-H87</f>
        <v>-27439.33</v>
      </c>
      <c r="M87" s="16"/>
      <c r="N87" s="34">
        <f>IF(H87=0,0,L87/H87)</f>
        <v>0.67474420447215855</v>
      </c>
      <c r="O87" s="25"/>
      <c r="P87" s="36">
        <f>+P83-P85</f>
        <v>-124762.44</v>
      </c>
      <c r="Q87" s="13"/>
      <c r="R87" s="34">
        <f>IF(P$12=0,0,P87/P$12)</f>
        <v>-26.438657834174627</v>
      </c>
      <c r="S87" s="13"/>
      <c r="T87" s="36">
        <f>+T83-T85</f>
        <v>-89312.119999999952</v>
      </c>
      <c r="U87" s="13"/>
      <c r="V87" s="34">
        <f>IF(T$12=0,0,T87/T$12)</f>
        <v>-1.317378256768347</v>
      </c>
      <c r="W87" s="16"/>
      <c r="X87" s="36">
        <f>P87-T87</f>
        <v>-35450.320000000051</v>
      </c>
      <c r="Y87" s="16"/>
      <c r="Z87" s="34">
        <f>IF(T87=0,0,X87/T87)</f>
        <v>0.3969261954592509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5</v>
      </c>
      <c r="C90" s="26"/>
      <c r="D90" s="30">
        <f>SUM(D87:D89)</f>
        <v>-68105.599999999991</v>
      </c>
      <c r="E90" s="13"/>
      <c r="F90" s="31">
        <f>IF(D$12=0,0,D90/D$12)</f>
        <v>-14.432393715537811</v>
      </c>
      <c r="G90" s="13"/>
      <c r="H90" s="30">
        <f>SUM(H87:H89)</f>
        <v>-40666.26999999999</v>
      </c>
      <c r="I90" s="13"/>
      <c r="J90" s="31">
        <f>IF(H$12=0,0,H90/H$12)</f>
        <v>-0.95724802318508695</v>
      </c>
      <c r="K90" s="16"/>
      <c r="L90" s="30">
        <f>+D90-H90</f>
        <v>-27439.33</v>
      </c>
      <c r="M90" s="16"/>
      <c r="N90" s="31">
        <f>IF(H90=0,0,L90/H90)</f>
        <v>0.67474420447215855</v>
      </c>
      <c r="O90" s="25"/>
      <c r="P90" s="30">
        <f>SUM(P87:P89)</f>
        <v>-124762.44</v>
      </c>
      <c r="Q90" s="13"/>
      <c r="R90" s="31">
        <f>IF(P$12=0,0,P90/P$12)</f>
        <v>-26.438657834174627</v>
      </c>
      <c r="S90" s="13"/>
      <c r="T90" s="30">
        <f>SUM(T87:T89)</f>
        <v>-89312.119999999952</v>
      </c>
      <c r="U90" s="13"/>
      <c r="V90" s="31">
        <f>IF(T$12=0,0,T90/T$12)</f>
        <v>-1.317378256768347</v>
      </c>
      <c r="W90" s="16"/>
      <c r="X90" s="30">
        <f>+P90-T90</f>
        <v>-35450.320000000051</v>
      </c>
      <c r="Y90" s="16"/>
      <c r="Z90" s="31">
        <f>IF(T90=0,0,X90/T90)</f>
        <v>0.3969261954592509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1">
        <v>44113.696655706015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6" t="s">
        <v>313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8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","418", " - ", "Nugget")</f>
        <v>Department 418 - Nugget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74781.83</v>
      </c>
      <c r="I12" s="4"/>
      <c r="J12" s="12"/>
      <c r="K12" s="4"/>
      <c r="L12" s="4">
        <f t="shared" ref="L12:L14" si="0">+D12-H12</f>
        <v>-74781.83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114662.12</v>
      </c>
      <c r="U12" s="4"/>
      <c r="V12" s="12"/>
      <c r="W12" s="4"/>
      <c r="X12" s="4">
        <f t="shared" ref="X12:X14" si="2">+P12-T12</f>
        <v>-114662.12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--29693.44</f>
        <v>29693.439999999999</v>
      </c>
      <c r="I13" s="2"/>
      <c r="J13" s="19"/>
      <c r="K13" s="2"/>
      <c r="L13" s="2">
        <f t="shared" si="0"/>
        <v>-29693.439999999999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--43937.07</f>
        <v>43937.07</v>
      </c>
      <c r="U13" s="2"/>
      <c r="V13" s="19"/>
      <c r="W13" s="2"/>
      <c r="X13" s="2">
        <f t="shared" si="2"/>
        <v>-43937.07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--45088.39</f>
        <v>45088.39</v>
      </c>
      <c r="I14" s="2"/>
      <c r="J14" s="19"/>
      <c r="K14" s="2"/>
      <c r="L14" s="2">
        <f t="shared" si="0"/>
        <v>-45088.39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--70725.05</f>
        <v>70725.05</v>
      </c>
      <c r="U14" s="2"/>
      <c r="V14" s="19"/>
      <c r="W14" s="2"/>
      <c r="X14" s="2">
        <f t="shared" si="2"/>
        <v>-70725.05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22583.630000000005</v>
      </c>
      <c r="I16" s="4"/>
      <c r="J16" s="12">
        <f t="shared" ref="J16:J18" si="7">IF(H$12=0,0,H16/H$12)</f>
        <v>0.30199354575837478</v>
      </c>
      <c r="K16" s="4"/>
      <c r="L16" s="4">
        <f t="shared" ref="L16:L18" si="8">+D16-H16</f>
        <v>-22583.630000000005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38615.769999999997</v>
      </c>
      <c r="U16" s="4"/>
      <c r="V16" s="12">
        <f t="shared" ref="V16:V18" si="11">IF(T$12=0,0,T16/T$12)</f>
        <v>0.33677878971712716</v>
      </c>
      <c r="W16" s="4"/>
      <c r="X16" s="4">
        <f t="shared" ref="X16:X18" si="12">+P16-T16</f>
        <v>-38615.769999999997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36734.630000000005</v>
      </c>
      <c r="I17" s="2"/>
      <c r="J17" s="19">
        <f t="shared" si="7"/>
        <v>0.49122400454762882</v>
      </c>
      <c r="K17" s="2"/>
      <c r="L17" s="2">
        <f t="shared" si="8"/>
        <v>-36734.630000000005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51739.77</v>
      </c>
      <c r="U17" s="2"/>
      <c r="V17" s="19">
        <f t="shared" si="11"/>
        <v>0.45123681648307218</v>
      </c>
      <c r="W17" s="2"/>
      <c r="X17" s="2">
        <f t="shared" si="12"/>
        <v>-51739.77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-14151</v>
      </c>
      <c r="I18" s="2"/>
      <c r="J18" s="19">
        <f t="shared" si="7"/>
        <v>-0.18923045878925401</v>
      </c>
      <c r="K18" s="2"/>
      <c r="L18" s="2">
        <f t="shared" si="8"/>
        <v>14151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-13124</v>
      </c>
      <c r="U18" s="2"/>
      <c r="V18" s="19">
        <f t="shared" si="11"/>
        <v>-0.11445802676594502</v>
      </c>
      <c r="W18" s="2"/>
      <c r="X18" s="2">
        <f t="shared" si="12"/>
        <v>13124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52198.2</v>
      </c>
      <c r="I20" s="13"/>
      <c r="J20" s="21">
        <f>IF(H$12=0,0,H20/H$12)</f>
        <v>0.69800645424162522</v>
      </c>
      <c r="K20" s="16"/>
      <c r="L20" s="22">
        <f>+D20-H20</f>
        <v>-52198.2</v>
      </c>
      <c r="M20" s="16"/>
      <c r="N20" s="21">
        <f>IF(H20=0,0,L20/H20)</f>
        <v>-1</v>
      </c>
      <c r="O20" s="25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76046.350000000006</v>
      </c>
      <c r="U20" s="13"/>
      <c r="V20" s="21">
        <f>IF(T$12=0,0,T20/T$12)</f>
        <v>0.66322121028287295</v>
      </c>
      <c r="W20" s="16"/>
      <c r="X20" s="22">
        <f>+P20-T20</f>
        <v>-76046.350000000006</v>
      </c>
      <c r="Y20" s="16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7362.1500000000005</v>
      </c>
      <c r="E22" s="20"/>
      <c r="F22" s="35">
        <f t="shared" ref="F22:F31" si="14">IF(D$12=0,0,D22/D$12)</f>
        <v>0</v>
      </c>
      <c r="G22" s="20"/>
      <c r="H22" s="20">
        <f>SUM(OSRRefH22x_0)</f>
        <v>45574.299999999988</v>
      </c>
      <c r="I22" s="20"/>
      <c r="J22" s="35">
        <f t="shared" ref="J22:J31" si="15">IF(H$12=0,0,H22/H$12)</f>
        <v>0.60943012493810311</v>
      </c>
      <c r="K22" s="4"/>
      <c r="L22" s="20">
        <f t="shared" ref="L22:L31" si="16">+D22-H22</f>
        <v>-38212.149999999987</v>
      </c>
      <c r="M22" s="4"/>
      <c r="N22" s="35">
        <f t="shared" ref="N22:N31" si="17">IF(H22=0,0,L22/H22)</f>
        <v>-0.83845829776869851</v>
      </c>
      <c r="O22" s="10"/>
      <c r="P22" s="20">
        <f>SUM(OSRRefP22x_0)</f>
        <v>24429.62</v>
      </c>
      <c r="Q22" s="20"/>
      <c r="R22" s="35">
        <f t="shared" ref="R22:R31" si="18">IF(P$12=0,0,P22/P$12)</f>
        <v>0</v>
      </c>
      <c r="S22" s="20"/>
      <c r="T22" s="20">
        <f>SUM(OSRRefT22x_0)</f>
        <v>82321.540000000008</v>
      </c>
      <c r="U22" s="20"/>
      <c r="V22" s="35">
        <f t="shared" ref="V22:V31" si="19">IF(T$12=0,0,T22/T$12)</f>
        <v>0.71794887448444189</v>
      </c>
      <c r="W22" s="4"/>
      <c r="X22" s="20">
        <f t="shared" ref="X22:X31" si="20">+P22-T22</f>
        <v>-57891.920000000013</v>
      </c>
      <c r="Y22" s="4"/>
      <c r="Z22" s="35">
        <f t="shared" ref="Z22:Z31" si="21">IF(T22=0,0,X22/T22)</f>
        <v>-0.7032414602545094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5647.7600000000011</v>
      </c>
      <c r="I23" s="1"/>
      <c r="J23" s="5">
        <f t="shared" si="15"/>
        <v>7.5523158499865559E-2</v>
      </c>
      <c r="K23" s="1"/>
      <c r="L23" s="1">
        <f t="shared" si="16"/>
        <v>-5647.7600000000011</v>
      </c>
      <c r="M23" s="1"/>
      <c r="N23" s="5">
        <f t="shared" si="17"/>
        <v>-1</v>
      </c>
      <c r="O23" s="14"/>
      <c r="P23" s="1">
        <f>SUM(OSRRefP22_0x_0)</f>
        <v>6083.9599999999991</v>
      </c>
      <c r="Q23" s="1"/>
      <c r="R23" s="5">
        <f t="shared" si="18"/>
        <v>0</v>
      </c>
      <c r="S23" s="1"/>
      <c r="T23" s="1">
        <f>SUM(OSRRefT22_0x_0)</f>
        <v>10909.109999999999</v>
      </c>
      <c r="U23" s="1"/>
      <c r="V23" s="5">
        <f t="shared" si="19"/>
        <v>9.5141359674842912E-2</v>
      </c>
      <c r="W23" s="1"/>
      <c r="X23" s="1">
        <f t="shared" si="20"/>
        <v>-4825.1499999999996</v>
      </c>
      <c r="Y23" s="1"/>
      <c r="Z23" s="5">
        <f t="shared" si="21"/>
        <v>-0.44230464263354208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1212.46</v>
      </c>
      <c r="I24" s="2"/>
      <c r="J24" s="6">
        <f t="shared" si="15"/>
        <v>1.621329673264214E-2</v>
      </c>
      <c r="K24" s="2"/>
      <c r="L24" s="7">
        <f t="shared" si="16"/>
        <v>-1212.46</v>
      </c>
      <c r="M24" s="2"/>
      <c r="N24" s="6">
        <f t="shared" si="17"/>
        <v>-1</v>
      </c>
      <c r="O24" s="11"/>
      <c r="P24" s="7">
        <v>235.15</v>
      </c>
      <c r="Q24" s="2"/>
      <c r="R24" s="6">
        <f t="shared" si="18"/>
        <v>0</v>
      </c>
      <c r="S24" s="2"/>
      <c r="T24" s="7">
        <v>2330.29</v>
      </c>
      <c r="U24" s="2"/>
      <c r="V24" s="6">
        <f t="shared" si="19"/>
        <v>2.0323102346267451E-2</v>
      </c>
      <c r="W24" s="2"/>
      <c r="X24" s="7">
        <f t="shared" si="20"/>
        <v>-2095.14</v>
      </c>
      <c r="Y24" s="2"/>
      <c r="Z24" s="6">
        <f t="shared" si="21"/>
        <v>-0.89908981285591061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599.66</v>
      </c>
      <c r="I25" s="2"/>
      <c r="J25" s="6">
        <f t="shared" si="15"/>
        <v>8.0187928003366583E-3</v>
      </c>
      <c r="K25" s="2"/>
      <c r="L25" s="7">
        <f t="shared" si="16"/>
        <v>-599.66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1102.71</v>
      </c>
      <c r="U25" s="2"/>
      <c r="V25" s="6">
        <f t="shared" si="19"/>
        <v>9.6170383034955235E-3</v>
      </c>
      <c r="W25" s="2"/>
      <c r="X25" s="7">
        <f t="shared" si="20"/>
        <v>-1102.71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2533.4</v>
      </c>
      <c r="I26" s="2"/>
      <c r="J26" s="6">
        <f t="shared" si="15"/>
        <v>3.3877213221446975E-2</v>
      </c>
      <c r="K26" s="2"/>
      <c r="L26" s="7">
        <f t="shared" si="16"/>
        <v>-2533.4</v>
      </c>
      <c r="M26" s="2"/>
      <c r="N26" s="6">
        <f t="shared" si="17"/>
        <v>-1</v>
      </c>
      <c r="O26" s="11"/>
      <c r="P26" s="7">
        <v>4780.67</v>
      </c>
      <c r="Q26" s="2"/>
      <c r="R26" s="6">
        <f t="shared" si="18"/>
        <v>0</v>
      </c>
      <c r="S26" s="2"/>
      <c r="T26" s="7">
        <v>5066.8</v>
      </c>
      <c r="U26" s="2"/>
      <c r="V26" s="6">
        <f t="shared" si="19"/>
        <v>4.4188961446029434E-2</v>
      </c>
      <c r="W26" s="2"/>
      <c r="X26" s="7">
        <f t="shared" si="20"/>
        <v>-286.13000000000011</v>
      </c>
      <c r="Y26" s="2"/>
      <c r="Z26" s="6">
        <f t="shared" si="21"/>
        <v>-5.6471540222625738E-2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40.18</v>
      </c>
      <c r="I27" s="2"/>
      <c r="J27" s="6">
        <f t="shared" si="15"/>
        <v>5.3729629242825429E-4</v>
      </c>
      <c r="K27" s="2"/>
      <c r="L27" s="7">
        <f t="shared" si="16"/>
        <v>-40.18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73.89</v>
      </c>
      <c r="U27" s="2"/>
      <c r="V27" s="6">
        <f t="shared" si="19"/>
        <v>6.4441508669122816E-4</v>
      </c>
      <c r="W27" s="2"/>
      <c r="X27" s="7">
        <f t="shared" si="20"/>
        <v>-73.89</v>
      </c>
      <c r="Y27" s="2"/>
      <c r="Z27" s="6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268.22000000000003</v>
      </c>
      <c r="I28" s="2"/>
      <c r="J28" s="6">
        <f t="shared" si="15"/>
        <v>3.5867001382555099E-3</v>
      </c>
      <c r="K28" s="2"/>
      <c r="L28" s="7">
        <f t="shared" si="16"/>
        <v>-268.22000000000003</v>
      </c>
      <c r="M28" s="2"/>
      <c r="N28" s="6">
        <f t="shared" si="17"/>
        <v>-1</v>
      </c>
      <c r="O28" s="11"/>
      <c r="P28" s="7">
        <v>678.15</v>
      </c>
      <c r="Q28" s="2"/>
      <c r="R28" s="6">
        <f t="shared" si="18"/>
        <v>0</v>
      </c>
      <c r="S28" s="2"/>
      <c r="T28" s="7">
        <v>536.44000000000005</v>
      </c>
      <c r="U28" s="2"/>
      <c r="V28" s="6">
        <f t="shared" si="19"/>
        <v>4.6784413195918593E-3</v>
      </c>
      <c r="W28" s="2"/>
      <c r="X28" s="7">
        <f t="shared" si="20"/>
        <v>141.70999999999992</v>
      </c>
      <c r="Y28" s="2"/>
      <c r="Z28" s="6">
        <f t="shared" si="21"/>
        <v>0.26416747446126299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329.14</v>
      </c>
      <c r="I29" s="2"/>
      <c r="J29" s="6">
        <f t="shared" si="15"/>
        <v>4.4013365278704726E-3</v>
      </c>
      <c r="K29" s="2"/>
      <c r="L29" s="7">
        <f t="shared" si="16"/>
        <v>-329.14</v>
      </c>
      <c r="M29" s="2"/>
      <c r="N29" s="6">
        <f t="shared" si="17"/>
        <v>-1</v>
      </c>
      <c r="O29" s="11"/>
      <c r="P29" s="7">
        <v>248.21</v>
      </c>
      <c r="Q29" s="2"/>
      <c r="R29" s="6">
        <f t="shared" si="18"/>
        <v>0</v>
      </c>
      <c r="S29" s="2"/>
      <c r="T29" s="7">
        <v>696.65</v>
      </c>
      <c r="U29" s="2"/>
      <c r="V29" s="6">
        <f t="shared" si="19"/>
        <v>6.0756769541676012E-3</v>
      </c>
      <c r="W29" s="2"/>
      <c r="X29" s="7">
        <f t="shared" si="20"/>
        <v>-448.43999999999994</v>
      </c>
      <c r="Y29" s="2"/>
      <c r="Z29" s="6">
        <f t="shared" si="21"/>
        <v>-0.64370917964544605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306.33999999999997</v>
      </c>
      <c r="I30" s="2"/>
      <c r="J30" s="6">
        <f t="shared" si="15"/>
        <v>4.0964496322168096E-3</v>
      </c>
      <c r="K30" s="2"/>
      <c r="L30" s="7">
        <f t="shared" si="16"/>
        <v>-306.33999999999997</v>
      </c>
      <c r="M30" s="2"/>
      <c r="N30" s="6">
        <f t="shared" si="17"/>
        <v>-1</v>
      </c>
      <c r="O30" s="11"/>
      <c r="P30" s="7">
        <v>141.78</v>
      </c>
      <c r="Q30" s="2"/>
      <c r="R30" s="6">
        <f t="shared" si="18"/>
        <v>0</v>
      </c>
      <c r="S30" s="2"/>
      <c r="T30" s="7">
        <v>632.08000000000004</v>
      </c>
      <c r="U30" s="2"/>
      <c r="V30" s="6">
        <f t="shared" si="19"/>
        <v>5.5125441601812358E-3</v>
      </c>
      <c r="W30" s="2"/>
      <c r="X30" s="7">
        <f t="shared" si="20"/>
        <v>-490.30000000000007</v>
      </c>
      <c r="Y30" s="2"/>
      <c r="Z30" s="6">
        <f t="shared" si="21"/>
        <v>-0.77569295025946083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358.36</v>
      </c>
      <c r="I31" s="2"/>
      <c r="J31" s="6">
        <f t="shared" si="15"/>
        <v>4.7920731546687214E-3</v>
      </c>
      <c r="K31" s="2"/>
      <c r="L31" s="7">
        <f t="shared" si="16"/>
        <v>-358.36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470.25</v>
      </c>
      <c r="U31" s="2"/>
      <c r="V31" s="6">
        <f t="shared" si="19"/>
        <v>4.1011800584185958E-3</v>
      </c>
      <c r="W31" s="2"/>
      <c r="X31" s="7">
        <f t="shared" si="20"/>
        <v>-470.25</v>
      </c>
      <c r="Y31" s="2"/>
      <c r="Z31" s="6">
        <f t="shared" si="21"/>
        <v>-1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21037.230000000003</v>
      </c>
      <c r="I32" s="1"/>
      <c r="J32" s="5">
        <f t="shared" ref="J32:J37" si="23">IF(H$12=0,0,H32/H$12)</f>
        <v>0.28131472578298772</v>
      </c>
      <c r="K32" s="1"/>
      <c r="L32" s="1">
        <f t="shared" ref="L32:L37" si="24">+D32-H32</f>
        <v>-21037.230000000003</v>
      </c>
      <c r="M32" s="1"/>
      <c r="N32" s="5">
        <f t="shared" ref="N32:N37" si="25">IF(H32=0,0,L32/H32)</f>
        <v>-1</v>
      </c>
      <c r="O32" s="14"/>
      <c r="P32" s="1">
        <f>SUM(OSRRefP22_1x_0)</f>
        <v>2151.69</v>
      </c>
      <c r="Q32" s="1"/>
      <c r="R32" s="5">
        <f t="shared" ref="R32:R37" si="26">IF(P$12=0,0,P32/P$12)</f>
        <v>0</v>
      </c>
      <c r="S32" s="1"/>
      <c r="T32" s="1">
        <f>SUM(OSRRefT22_1x_0)</f>
        <v>36779.590000000004</v>
      </c>
      <c r="U32" s="1"/>
      <c r="V32" s="5">
        <f t="shared" ref="V32:V37" si="27">IF(T$12=0,0,T32/T$12)</f>
        <v>0.32076495707562364</v>
      </c>
      <c r="W32" s="1"/>
      <c r="X32" s="1">
        <f t="shared" ref="X32:X37" si="28">+P32-T32</f>
        <v>-34627.9</v>
      </c>
      <c r="Y32" s="1"/>
      <c r="Z32" s="5">
        <f t="shared" ref="Z32:Z37" si="29">IF(T32=0,0,X32/T32)</f>
        <v>-0.94149771653245717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3648</v>
      </c>
      <c r="I33" s="2"/>
      <c r="J33" s="6">
        <f t="shared" si="23"/>
        <v>4.8781903304586156E-2</v>
      </c>
      <c r="K33" s="2"/>
      <c r="L33" s="7">
        <f t="shared" si="24"/>
        <v>-3648</v>
      </c>
      <c r="M33" s="2"/>
      <c r="N33" s="6">
        <f t="shared" si="25"/>
        <v>-1</v>
      </c>
      <c r="O33" s="11"/>
      <c r="P33" s="7">
        <v>2151.69</v>
      </c>
      <c r="Q33" s="2"/>
      <c r="R33" s="6">
        <f t="shared" si="26"/>
        <v>0</v>
      </c>
      <c r="S33" s="2"/>
      <c r="T33" s="7">
        <v>7488</v>
      </c>
      <c r="U33" s="2"/>
      <c r="V33" s="6">
        <f t="shared" si="27"/>
        <v>6.5304914997210944E-2</v>
      </c>
      <c r="W33" s="2"/>
      <c r="X33" s="7">
        <f t="shared" si="28"/>
        <v>-5336.3099999999995</v>
      </c>
      <c r="Y33" s="2"/>
      <c r="Z33" s="6">
        <f t="shared" si="29"/>
        <v>-0.71264823717948711</v>
      </c>
    </row>
    <row r="34" spans="1:26" s="24" customFormat="1" hidden="1" outlineLevel="2" x14ac:dyDescent="0.25">
      <c r="A34" s="29"/>
      <c r="B34" s="11" t="str">
        <f>CONCATENATE("          ", "6004", " - ", "STAFF HOURLY")</f>
        <v xml:space="preserve">          6004 - STAFF HOURLY</v>
      </c>
      <c r="C34" s="11"/>
      <c r="D34" s="7"/>
      <c r="E34" s="2"/>
      <c r="F34" s="6">
        <f t="shared" si="22"/>
        <v>0</v>
      </c>
      <c r="G34" s="2"/>
      <c r="H34" s="7">
        <v>1746.62</v>
      </c>
      <c r="I34" s="2"/>
      <c r="J34" s="6">
        <f t="shared" si="23"/>
        <v>2.335620831958779E-2</v>
      </c>
      <c r="K34" s="2"/>
      <c r="L34" s="7">
        <f t="shared" si="24"/>
        <v>-1746.62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1886.7</v>
      </c>
      <c r="U34" s="2"/>
      <c r="V34" s="6">
        <f t="shared" si="27"/>
        <v>1.6454431507109759E-2</v>
      </c>
      <c r="W34" s="2"/>
      <c r="X34" s="7">
        <f t="shared" si="28"/>
        <v>-1886.7</v>
      </c>
      <c r="Y34" s="2"/>
      <c r="Z34" s="6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"6005", " - ", "TEMPORARY WAGES-HOURLY")</f>
        <v xml:space="preserve">          6005 - TEMPORARY WAGES-HOURLY</v>
      </c>
      <c r="C35" s="11"/>
      <c r="D35" s="7"/>
      <c r="E35" s="2"/>
      <c r="F35" s="6">
        <f t="shared" si="22"/>
        <v>0</v>
      </c>
      <c r="G35" s="2"/>
      <c r="H35" s="7">
        <v>5504.67</v>
      </c>
      <c r="I35" s="2"/>
      <c r="J35" s="6">
        <f t="shared" si="23"/>
        <v>7.3609725784993488E-2</v>
      </c>
      <c r="K35" s="2"/>
      <c r="L35" s="7">
        <f t="shared" si="24"/>
        <v>-5504.67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11700.82</v>
      </c>
      <c r="U35" s="2"/>
      <c r="V35" s="6">
        <f t="shared" si="27"/>
        <v>0.10204608112949595</v>
      </c>
      <c r="W35" s="2"/>
      <c r="X35" s="7">
        <f t="shared" si="28"/>
        <v>-11700.82</v>
      </c>
      <c r="Y35" s="2"/>
      <c r="Z35" s="6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"6006", " - ", "TEMPORARY PART TIME")</f>
        <v xml:space="preserve">          6006 - TEMPORARY PART TIME</v>
      </c>
      <c r="C36" s="11"/>
      <c r="D36" s="7"/>
      <c r="E36" s="2"/>
      <c r="F36" s="6">
        <f t="shared" si="22"/>
        <v>0</v>
      </c>
      <c r="G36" s="2"/>
      <c r="H36" s="7">
        <v>975</v>
      </c>
      <c r="I36" s="2"/>
      <c r="J36" s="6">
        <f t="shared" si="23"/>
        <v>1.3037926458873765E-2</v>
      </c>
      <c r="K36" s="2"/>
      <c r="L36" s="7">
        <f t="shared" si="24"/>
        <v>-975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1945.13</v>
      </c>
      <c r="U36" s="2"/>
      <c r="V36" s="6">
        <f t="shared" si="27"/>
        <v>1.6964015666202582E-2</v>
      </c>
      <c r="W36" s="2"/>
      <c r="X36" s="7">
        <f t="shared" si="28"/>
        <v>-1945.13</v>
      </c>
      <c r="Y36" s="2"/>
      <c r="Z36" s="6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"6007", " - ", "STUDENT HOURLY")</f>
        <v xml:space="preserve">          6007 - STUDENT HOURLY</v>
      </c>
      <c r="C37" s="11"/>
      <c r="D37" s="7"/>
      <c r="E37" s="2"/>
      <c r="F37" s="6">
        <f t="shared" si="22"/>
        <v>0</v>
      </c>
      <c r="G37" s="2"/>
      <c r="H37" s="7">
        <v>9162.94</v>
      </c>
      <c r="I37" s="2"/>
      <c r="J37" s="6">
        <f t="shared" si="23"/>
        <v>0.12252896191494646</v>
      </c>
      <c r="K37" s="2"/>
      <c r="L37" s="7">
        <f t="shared" si="24"/>
        <v>-9162.94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13758.94</v>
      </c>
      <c r="U37" s="2"/>
      <c r="V37" s="6">
        <f t="shared" si="27"/>
        <v>0.11999551377560437</v>
      </c>
      <c r="W37" s="2"/>
      <c r="X37" s="7">
        <f t="shared" si="28"/>
        <v>-13758.94</v>
      </c>
      <c r="Y37" s="2"/>
      <c r="Z37" s="6">
        <f t="shared" si="29"/>
        <v>-1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46" si="30">IF(D$12=0,0,D38/D$12)</f>
        <v>0</v>
      </c>
      <c r="G38" s="1"/>
      <c r="H38" s="1">
        <f>SUM(OSRRefH22_2x_0)</f>
        <v>1126.9100000000001</v>
      </c>
      <c r="I38" s="1"/>
      <c r="J38" s="5">
        <f t="shared" ref="J38:J46" si="31">IF(H$12=0,0,H38/H$12)</f>
        <v>1.5069302262327628E-2</v>
      </c>
      <c r="K38" s="1"/>
      <c r="L38" s="1">
        <f t="shared" ref="L38:L46" si="32">+D38-H38</f>
        <v>-1126.9100000000001</v>
      </c>
      <c r="M38" s="1"/>
      <c r="N38" s="5">
        <f t="shared" ref="N38:N46" si="33">IF(H38=0,0,L38/H38)</f>
        <v>-1</v>
      </c>
      <c r="O38" s="14"/>
      <c r="P38" s="1">
        <f>SUM(OSRRefP22_2x_0)</f>
        <v>0</v>
      </c>
      <c r="Q38" s="1"/>
      <c r="R38" s="5">
        <f t="shared" ref="R38:R46" si="34">IF(P$12=0,0,P38/P$12)</f>
        <v>0</v>
      </c>
      <c r="S38" s="1"/>
      <c r="T38" s="1">
        <f>SUM(OSRRefT22_2x_0)</f>
        <v>1436.9</v>
      </c>
      <c r="U38" s="1"/>
      <c r="V38" s="5">
        <f t="shared" ref="V38:V46" si="35">IF(T$12=0,0,T38/T$12)</f>
        <v>1.2531601543735631E-2</v>
      </c>
      <c r="W38" s="1"/>
      <c r="X38" s="1">
        <f t="shared" ref="X38:X46" si="36">+P38-T38</f>
        <v>-1436.9</v>
      </c>
      <c r="Y38" s="1"/>
      <c r="Z38" s="5">
        <f t="shared" ref="Z38:Z46" si="37">IF(T38=0,0,X38/T38)</f>
        <v>-1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>
        <v>1126.9100000000001</v>
      </c>
      <c r="I39" s="2"/>
      <c r="J39" s="6">
        <f t="shared" si="31"/>
        <v>1.5069302262327628E-2</v>
      </c>
      <c r="K39" s="2"/>
      <c r="L39" s="7">
        <f t="shared" si="32"/>
        <v>-1126.9100000000001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1436.9</v>
      </c>
      <c r="U39" s="2"/>
      <c r="V39" s="6">
        <f t="shared" si="35"/>
        <v>1.2531601543735631E-2</v>
      </c>
      <c r="W39" s="2"/>
      <c r="X39" s="7">
        <f t="shared" si="36"/>
        <v>-1436.9</v>
      </c>
      <c r="Y39" s="2"/>
      <c r="Z39" s="6">
        <f t="shared" si="37"/>
        <v>-1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4</v>
      </c>
      <c r="I40" s="1"/>
      <c r="J40" s="5">
        <f t="shared" si="31"/>
        <v>5.3488929062046222E-5</v>
      </c>
      <c r="K40" s="1"/>
      <c r="L40" s="1">
        <f t="shared" si="32"/>
        <v>-4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14.53</v>
      </c>
      <c r="U40" s="1"/>
      <c r="V40" s="5">
        <f t="shared" si="35"/>
        <v>1.2672014088000466E-4</v>
      </c>
      <c r="W40" s="1"/>
      <c r="X40" s="1">
        <f t="shared" si="36"/>
        <v>-14.53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4</v>
      </c>
      <c r="I41" s="2"/>
      <c r="J41" s="6">
        <f t="shared" si="31"/>
        <v>5.3488929062046222E-5</v>
      </c>
      <c r="K41" s="2"/>
      <c r="L41" s="7">
        <f t="shared" si="32"/>
        <v>-4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14.53</v>
      </c>
      <c r="U41" s="2"/>
      <c r="V41" s="6">
        <f t="shared" si="35"/>
        <v>1.2672014088000466E-4</v>
      </c>
      <c r="W41" s="2"/>
      <c r="X41" s="7">
        <f t="shared" si="36"/>
        <v>-14.53</v>
      </c>
      <c r="Y41" s="2"/>
      <c r="Z41" s="6">
        <f t="shared" si="37"/>
        <v>-1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2534.0700000000002</v>
      </c>
      <c r="I42" s="1"/>
      <c r="J42" s="5">
        <f t="shared" si="31"/>
        <v>3.3886172617064871E-2</v>
      </c>
      <c r="K42" s="1"/>
      <c r="L42" s="1">
        <f t="shared" si="32"/>
        <v>-2534.0700000000002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3827.41</v>
      </c>
      <c r="U42" s="1"/>
      <c r="V42" s="5">
        <f t="shared" si="35"/>
        <v>3.3379899133209816E-2</v>
      </c>
      <c r="W42" s="1"/>
      <c r="X42" s="1">
        <f t="shared" si="36"/>
        <v>-3827.41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2534.0700000000002</v>
      </c>
      <c r="I43" s="2"/>
      <c r="J43" s="6">
        <f t="shared" si="31"/>
        <v>3.3886172617064871E-2</v>
      </c>
      <c r="K43" s="2"/>
      <c r="L43" s="7">
        <f t="shared" si="32"/>
        <v>-2534.0700000000002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3827.41</v>
      </c>
      <c r="U43" s="2"/>
      <c r="V43" s="6">
        <f t="shared" si="35"/>
        <v>3.3379899133209816E-2</v>
      </c>
      <c r="W43" s="2"/>
      <c r="X43" s="7">
        <f t="shared" si="36"/>
        <v>-3827.41</v>
      </c>
      <c r="Y43" s="2"/>
      <c r="Z43" s="6">
        <f t="shared" si="37"/>
        <v>-1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7177.55</v>
      </c>
      <c r="E44" s="1"/>
      <c r="F44" s="5">
        <f t="shared" si="30"/>
        <v>0</v>
      </c>
      <c r="G44" s="1"/>
      <c r="H44" s="1">
        <f>SUM(OSRRefH22_5x_0)</f>
        <v>8263.4700000000012</v>
      </c>
      <c r="I44" s="1"/>
      <c r="J44" s="5">
        <f t="shared" si="31"/>
        <v>0.11050104015908678</v>
      </c>
      <c r="K44" s="1"/>
      <c r="L44" s="1">
        <f t="shared" si="32"/>
        <v>-1085.920000000001</v>
      </c>
      <c r="M44" s="1"/>
      <c r="N44" s="5">
        <f t="shared" si="33"/>
        <v>-0.13141210653635832</v>
      </c>
      <c r="O44" s="14"/>
      <c r="P44" s="1">
        <f>SUM(OSRRefP22_5x_0)</f>
        <v>14355.1</v>
      </c>
      <c r="Q44" s="1"/>
      <c r="R44" s="5">
        <f t="shared" si="34"/>
        <v>0</v>
      </c>
      <c r="S44" s="1"/>
      <c r="T44" s="1">
        <f>SUM(OSRRefT22_5x_0)</f>
        <v>16526.940000000002</v>
      </c>
      <c r="U44" s="1"/>
      <c r="V44" s="5">
        <f t="shared" si="35"/>
        <v>0.14413600585790673</v>
      </c>
      <c r="W44" s="1"/>
      <c r="X44" s="1">
        <f t="shared" si="36"/>
        <v>-2171.840000000002</v>
      </c>
      <c r="Y44" s="1"/>
      <c r="Z44" s="5">
        <f t="shared" si="37"/>
        <v>-0.13141210653635832</v>
      </c>
    </row>
    <row r="45" spans="1:26" s="24" customFormat="1" hidden="1" outlineLevel="2" x14ac:dyDescent="0.25">
      <c r="A45" s="29"/>
      <c r="B45" s="11" t="str">
        <f>CONCATENATE("          ", "6321", " - ", "BUILDING DEPRECIATION")</f>
        <v xml:space="preserve">          6321 - BUILDING DEPRECIATION</v>
      </c>
      <c r="C45" s="11"/>
      <c r="D45" s="7">
        <v>6537.05</v>
      </c>
      <c r="E45" s="2"/>
      <c r="F45" s="6">
        <f t="shared" si="30"/>
        <v>0</v>
      </c>
      <c r="G45" s="2"/>
      <c r="H45" s="7">
        <v>6537.05</v>
      </c>
      <c r="I45" s="2"/>
      <c r="J45" s="6">
        <f t="shared" si="31"/>
        <v>8.7414950931262309E-2</v>
      </c>
      <c r="K45" s="2"/>
      <c r="L45" s="7">
        <f t="shared" si="32"/>
        <v>0</v>
      </c>
      <c r="M45" s="2"/>
      <c r="N45" s="6">
        <f t="shared" si="33"/>
        <v>0</v>
      </c>
      <c r="O45" s="11"/>
      <c r="P45" s="7">
        <v>13074.1</v>
      </c>
      <c r="Q45" s="2"/>
      <c r="R45" s="6">
        <f t="shared" si="34"/>
        <v>0</v>
      </c>
      <c r="S45" s="2"/>
      <c r="T45" s="7">
        <v>13074.1</v>
      </c>
      <c r="U45" s="2"/>
      <c r="V45" s="6">
        <f t="shared" si="35"/>
        <v>0.11402283509148445</v>
      </c>
      <c r="W45" s="2"/>
      <c r="X45" s="7">
        <f t="shared" si="36"/>
        <v>0</v>
      </c>
      <c r="Y45" s="2"/>
      <c r="Z45" s="6">
        <f t="shared" si="37"/>
        <v>0</v>
      </c>
    </row>
    <row r="46" spans="1:26" s="24" customFormat="1" hidden="1" outlineLevel="2" x14ac:dyDescent="0.25">
      <c r="A46" s="29"/>
      <c r="B46" s="11" t="str">
        <f>CONCATENATE("          ", "6322", " - ", "EQUIPMENT DEPRECIATION EXPENSE")</f>
        <v xml:space="preserve">          6322 - EQUIPMENT DEPRECIATION EXPENSE</v>
      </c>
      <c r="C46" s="11"/>
      <c r="D46" s="7">
        <v>640.5</v>
      </c>
      <c r="E46" s="2"/>
      <c r="F46" s="6">
        <f t="shared" si="30"/>
        <v>0</v>
      </c>
      <c r="G46" s="2"/>
      <c r="H46" s="7">
        <v>1726.42</v>
      </c>
      <c r="I46" s="2"/>
      <c r="J46" s="6">
        <f t="shared" si="31"/>
        <v>2.3086089227824461E-2</v>
      </c>
      <c r="K46" s="2"/>
      <c r="L46" s="7">
        <f t="shared" si="32"/>
        <v>-1085.92</v>
      </c>
      <c r="M46" s="2"/>
      <c r="N46" s="6">
        <f t="shared" si="33"/>
        <v>-0.62900105420465469</v>
      </c>
      <c r="O46" s="11"/>
      <c r="P46" s="7">
        <v>1281</v>
      </c>
      <c r="Q46" s="2"/>
      <c r="R46" s="6">
        <f t="shared" si="34"/>
        <v>0</v>
      </c>
      <c r="S46" s="2"/>
      <c r="T46" s="7">
        <v>3452.84</v>
      </c>
      <c r="U46" s="2"/>
      <c r="V46" s="6">
        <f t="shared" si="35"/>
        <v>3.0113170766422254E-2</v>
      </c>
      <c r="W46" s="2"/>
      <c r="X46" s="7">
        <f t="shared" si="36"/>
        <v>-2171.84</v>
      </c>
      <c r="Y46" s="2"/>
      <c r="Z46" s="6">
        <f t="shared" si="37"/>
        <v>-0.62900105420465469</v>
      </c>
    </row>
    <row r="47" spans="1:26" s="28" customFormat="1" outlineLevel="1" collapsed="1" x14ac:dyDescent="0.25">
      <c r="A47" s="27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SUM(OSRRefD22_6x_0)</f>
        <v>0</v>
      </c>
      <c r="E47" s="1"/>
      <c r="F47" s="5">
        <f t="shared" ref="F47:F53" si="38">IF(D$12=0,0,D47/D$12)</f>
        <v>0</v>
      </c>
      <c r="G47" s="1"/>
      <c r="H47" s="1">
        <f>SUM(OSRRefH22_6x_0)</f>
        <v>8.25</v>
      </c>
      <c r="I47" s="1"/>
      <c r="J47" s="5">
        <f t="shared" ref="J47:J53" si="39">IF(H$12=0,0,H47/H$12)</f>
        <v>1.1032091619047033E-4</v>
      </c>
      <c r="K47" s="1"/>
      <c r="L47" s="1">
        <f t="shared" ref="L47:L53" si="40">+D47-H47</f>
        <v>-8.25</v>
      </c>
      <c r="M47" s="1"/>
      <c r="N47" s="5">
        <f t="shared" ref="N47:N53" si="41">IF(H47=0,0,L47/H47)</f>
        <v>-1</v>
      </c>
      <c r="O47" s="14"/>
      <c r="P47" s="1">
        <f>SUM(OSRRefP22_6x_0)</f>
        <v>0</v>
      </c>
      <c r="Q47" s="1"/>
      <c r="R47" s="5">
        <f t="shared" ref="R47:R53" si="42">IF(P$12=0,0,P47/P$12)</f>
        <v>0</v>
      </c>
      <c r="S47" s="1"/>
      <c r="T47" s="1">
        <f>SUM(OSRRefT22_6x_0)</f>
        <v>8.25</v>
      </c>
      <c r="U47" s="1"/>
      <c r="V47" s="5">
        <f t="shared" ref="V47:V53" si="43">IF(T$12=0,0,T47/T$12)</f>
        <v>7.1950527340677121E-5</v>
      </c>
      <c r="W47" s="1"/>
      <c r="X47" s="1">
        <f t="shared" ref="X47:X53" si="44">+P47-T47</f>
        <v>-8.25</v>
      </c>
      <c r="Y47" s="1"/>
      <c r="Z47" s="5">
        <f t="shared" ref="Z47:Z53" si="45">IF(T47=0,0,X47/T47)</f>
        <v>-1</v>
      </c>
    </row>
    <row r="48" spans="1:26" s="24" customFormat="1" hidden="1" outlineLevel="2" x14ac:dyDescent="0.25">
      <c r="A48" s="29"/>
      <c r="B48" s="11" t="str">
        <f>CONCATENATE("          ", "6277", " - ", "EMPLOYEE APPRECIATION")</f>
        <v xml:space="preserve">          6277 - EMPLOYEE APPRECIATION</v>
      </c>
      <c r="C48" s="11"/>
      <c r="D48" s="7"/>
      <c r="E48" s="2"/>
      <c r="F48" s="6">
        <f t="shared" si="38"/>
        <v>0</v>
      </c>
      <c r="G48" s="2"/>
      <c r="H48" s="7">
        <v>8.25</v>
      </c>
      <c r="I48" s="2"/>
      <c r="J48" s="6">
        <f t="shared" si="39"/>
        <v>1.1032091619047033E-4</v>
      </c>
      <c r="K48" s="2"/>
      <c r="L48" s="7">
        <f t="shared" si="40"/>
        <v>-8.25</v>
      </c>
      <c r="M48" s="2"/>
      <c r="N48" s="6">
        <f t="shared" si="41"/>
        <v>-1</v>
      </c>
      <c r="O48" s="11"/>
      <c r="P48" s="7"/>
      <c r="Q48" s="2"/>
      <c r="R48" s="6">
        <f t="shared" si="42"/>
        <v>0</v>
      </c>
      <c r="S48" s="2"/>
      <c r="T48" s="7">
        <v>8.25</v>
      </c>
      <c r="U48" s="2"/>
      <c r="V48" s="6">
        <f t="shared" si="43"/>
        <v>7.1950527340677121E-5</v>
      </c>
      <c r="W48" s="2"/>
      <c r="X48" s="7">
        <f t="shared" si="44"/>
        <v>-8.25</v>
      </c>
      <c r="Y48" s="2"/>
      <c r="Z48" s="6">
        <f t="shared" si="45"/>
        <v>-1</v>
      </c>
    </row>
    <row r="49" spans="1:26" s="28" customFormat="1" outlineLevel="1" collapsed="1" x14ac:dyDescent="0.25">
      <c r="A49" s="27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SUM(OSRRefD22_7x_0)</f>
        <v>0</v>
      </c>
      <c r="E49" s="1"/>
      <c r="F49" s="5">
        <f t="shared" si="38"/>
        <v>0</v>
      </c>
      <c r="G49" s="1"/>
      <c r="H49" s="1">
        <f>SUM(OSRRefH22_7x_0)</f>
        <v>453.29</v>
      </c>
      <c r="I49" s="1"/>
      <c r="J49" s="5">
        <f t="shared" si="39"/>
        <v>6.061499163633733E-3</v>
      </c>
      <c r="K49" s="1"/>
      <c r="L49" s="1">
        <f t="shared" si="40"/>
        <v>-453.29</v>
      </c>
      <c r="M49" s="1"/>
      <c r="N49" s="5">
        <f t="shared" si="41"/>
        <v>-1</v>
      </c>
      <c r="O49" s="14"/>
      <c r="P49" s="1">
        <f>SUM(OSRRefP22_7x_0)</f>
        <v>263.72000000000003</v>
      </c>
      <c r="Q49" s="1"/>
      <c r="R49" s="5">
        <f t="shared" si="42"/>
        <v>0</v>
      </c>
      <c r="S49" s="1"/>
      <c r="T49" s="1">
        <f>SUM(OSRRefT22_7x_0)</f>
        <v>453.29</v>
      </c>
      <c r="U49" s="1"/>
      <c r="V49" s="5">
        <f t="shared" si="43"/>
        <v>3.9532672167582458E-3</v>
      </c>
      <c r="W49" s="1"/>
      <c r="X49" s="1">
        <f t="shared" si="44"/>
        <v>-189.57</v>
      </c>
      <c r="Y49" s="1"/>
      <c r="Z49" s="5">
        <f t="shared" si="45"/>
        <v>-0.41820909351629199</v>
      </c>
    </row>
    <row r="50" spans="1:26" s="24" customFormat="1" hidden="1" outlineLevel="2" x14ac:dyDescent="0.25">
      <c r="A50" s="29"/>
      <c r="B50" s="11" t="str">
        <f>CONCATENATE("          ", "6351", " - ", "EQUIPMENT RENTAL")</f>
        <v xml:space="preserve">          6351 - EQUIPMENT RENTAL</v>
      </c>
      <c r="C50" s="11"/>
      <c r="D50" s="7"/>
      <c r="E50" s="2"/>
      <c r="F50" s="6">
        <f t="shared" si="38"/>
        <v>0</v>
      </c>
      <c r="G50" s="2"/>
      <c r="H50" s="7">
        <v>453.29</v>
      </c>
      <c r="I50" s="2"/>
      <c r="J50" s="6">
        <f t="shared" si="39"/>
        <v>6.061499163633733E-3</v>
      </c>
      <c r="K50" s="2"/>
      <c r="L50" s="7">
        <f t="shared" si="40"/>
        <v>-453.29</v>
      </c>
      <c r="M50" s="2"/>
      <c r="N50" s="6">
        <f t="shared" si="41"/>
        <v>-1</v>
      </c>
      <c r="O50" s="11"/>
      <c r="P50" s="7">
        <v>263.72000000000003</v>
      </c>
      <c r="Q50" s="2"/>
      <c r="R50" s="6">
        <f t="shared" si="42"/>
        <v>0</v>
      </c>
      <c r="S50" s="2"/>
      <c r="T50" s="7">
        <v>453.29</v>
      </c>
      <c r="U50" s="2"/>
      <c r="V50" s="6">
        <f t="shared" si="43"/>
        <v>3.9532672167582458E-3</v>
      </c>
      <c r="W50" s="2"/>
      <c r="X50" s="7">
        <f t="shared" si="44"/>
        <v>-189.57</v>
      </c>
      <c r="Y50" s="2"/>
      <c r="Z50" s="6">
        <f t="shared" si="45"/>
        <v>-0.41820909351629199</v>
      </c>
    </row>
    <row r="51" spans="1:26" s="28" customFormat="1" outlineLevel="1" collapsed="1" x14ac:dyDescent="0.25">
      <c r="A51" s="27"/>
      <c r="B51" s="14" t="str">
        <f>CONCATENATE("     ","General                                           ")</f>
        <v xml:space="preserve">     General                                           </v>
      </c>
      <c r="C51" s="14"/>
      <c r="D51" s="1">
        <f>SUM(OSRRefD22_8x_0)</f>
        <v>0</v>
      </c>
      <c r="E51" s="1"/>
      <c r="F51" s="5">
        <f t="shared" si="38"/>
        <v>0</v>
      </c>
      <c r="G51" s="1"/>
      <c r="H51" s="1">
        <f>SUM(OSRRefH22_8x_0)</f>
        <v>2600</v>
      </c>
      <c r="I51" s="1"/>
      <c r="J51" s="5">
        <f t="shared" si="39"/>
        <v>3.4767803890330046E-2</v>
      </c>
      <c r="K51" s="1"/>
      <c r="L51" s="1">
        <f t="shared" si="40"/>
        <v>-2600</v>
      </c>
      <c r="M51" s="1"/>
      <c r="N51" s="5">
        <f t="shared" si="41"/>
        <v>-1</v>
      </c>
      <c r="O51" s="14"/>
      <c r="P51" s="1">
        <f>SUM(OSRRefP22_8x_0)</f>
        <v>1284.55</v>
      </c>
      <c r="Q51" s="1"/>
      <c r="R51" s="5">
        <f t="shared" si="42"/>
        <v>0</v>
      </c>
      <c r="S51" s="1"/>
      <c r="T51" s="1">
        <f>SUM(OSRRefT22_8x_0)</f>
        <v>3839.55</v>
      </c>
      <c r="U51" s="1"/>
      <c r="V51" s="5">
        <f t="shared" si="43"/>
        <v>3.3485775424351133E-2</v>
      </c>
      <c r="W51" s="1"/>
      <c r="X51" s="1">
        <f t="shared" si="44"/>
        <v>-2555</v>
      </c>
      <c r="Y51" s="1"/>
      <c r="Z51" s="5">
        <f t="shared" si="45"/>
        <v>-0.66544256488390563</v>
      </c>
    </row>
    <row r="52" spans="1:26" s="24" customFormat="1" hidden="1" outlineLevel="2" x14ac:dyDescent="0.25">
      <c r="A52" s="29"/>
      <c r="B52" s="11" t="str">
        <f>CONCATENATE("          ", "6269", " - ", "ENTERTAINMENT")</f>
        <v xml:space="preserve">          6269 - ENTERTAINMENT</v>
      </c>
      <c r="C52" s="11"/>
      <c r="D52" s="7"/>
      <c r="E52" s="2"/>
      <c r="F52" s="6">
        <f t="shared" si="38"/>
        <v>0</v>
      </c>
      <c r="G52" s="2"/>
      <c r="H52" s="7">
        <v>2600</v>
      </c>
      <c r="I52" s="2"/>
      <c r="J52" s="6">
        <f t="shared" si="39"/>
        <v>3.4767803890330046E-2</v>
      </c>
      <c r="K52" s="2"/>
      <c r="L52" s="7">
        <f t="shared" si="40"/>
        <v>-2600</v>
      </c>
      <c r="M52" s="2"/>
      <c r="N52" s="6">
        <f t="shared" si="41"/>
        <v>-1</v>
      </c>
      <c r="O52" s="11"/>
      <c r="P52" s="7"/>
      <c r="Q52" s="2"/>
      <c r="R52" s="6">
        <f t="shared" si="42"/>
        <v>0</v>
      </c>
      <c r="S52" s="2"/>
      <c r="T52" s="7">
        <v>2600</v>
      </c>
      <c r="U52" s="2"/>
      <c r="V52" s="6">
        <f t="shared" si="43"/>
        <v>2.267531770736491E-2</v>
      </c>
      <c r="W52" s="2"/>
      <c r="X52" s="7">
        <f t="shared" si="44"/>
        <v>-2600</v>
      </c>
      <c r="Y52" s="2"/>
      <c r="Z52" s="6">
        <f t="shared" si="45"/>
        <v>-1</v>
      </c>
    </row>
    <row r="53" spans="1:26" s="24" customFormat="1" hidden="1" outlineLevel="2" x14ac:dyDescent="0.25">
      <c r="A53" s="29"/>
      <c r="B53" s="11" t="str">
        <f>CONCATENATE("          ", "6279", " - ", "GENERAL EXPENSE")</f>
        <v xml:space="preserve">          6279 - GENERAL EXPENSE</v>
      </c>
      <c r="C53" s="11"/>
      <c r="D53" s="7"/>
      <c r="E53" s="2"/>
      <c r="F53" s="6">
        <f t="shared" si="38"/>
        <v>0</v>
      </c>
      <c r="G53" s="2"/>
      <c r="H53" s="7"/>
      <c r="I53" s="2"/>
      <c r="J53" s="6">
        <f t="shared" si="39"/>
        <v>0</v>
      </c>
      <c r="K53" s="2"/>
      <c r="L53" s="7">
        <f t="shared" si="40"/>
        <v>0</v>
      </c>
      <c r="M53" s="2"/>
      <c r="N53" s="6">
        <f t="shared" si="41"/>
        <v>0</v>
      </c>
      <c r="O53" s="11"/>
      <c r="P53" s="7">
        <v>1284.55</v>
      </c>
      <c r="Q53" s="2"/>
      <c r="R53" s="6">
        <f t="shared" si="42"/>
        <v>0</v>
      </c>
      <c r="S53" s="2"/>
      <c r="T53" s="7">
        <v>1239.55</v>
      </c>
      <c r="U53" s="2"/>
      <c r="V53" s="6">
        <f t="shared" si="43"/>
        <v>1.0810457716986219E-2</v>
      </c>
      <c r="W53" s="2"/>
      <c r="X53" s="7">
        <f t="shared" si="44"/>
        <v>45</v>
      </c>
      <c r="Y53" s="2"/>
      <c r="Z53" s="6">
        <f t="shared" si="45"/>
        <v>3.6303497236900489E-2</v>
      </c>
    </row>
    <row r="54" spans="1:26" s="28" customFormat="1" outlineLevel="1" collapsed="1" x14ac:dyDescent="0.25">
      <c r="A54" s="27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SUM(OSRRefD22_9x_0)</f>
        <v>78.599999999999994</v>
      </c>
      <c r="E54" s="1"/>
      <c r="F54" s="5">
        <f t="shared" ref="F54:F56" si="46">IF(D$12=0,0,D54/D$12)</f>
        <v>0</v>
      </c>
      <c r="G54" s="1"/>
      <c r="H54" s="1">
        <f>SUM(OSRRefH22_9x_0)</f>
        <v>380</v>
      </c>
      <c r="I54" s="1"/>
      <c r="J54" s="5">
        <f t="shared" ref="J54:J56" si="47">IF(H$12=0,0,H54/H$12)</f>
        <v>5.0814482608943909E-3</v>
      </c>
      <c r="K54" s="1"/>
      <c r="L54" s="1">
        <f t="shared" ref="L54:L56" si="48">+D54-H54</f>
        <v>-301.39999999999998</v>
      </c>
      <c r="M54" s="1"/>
      <c r="N54" s="5">
        <f t="shared" ref="N54:N56" si="49">IF(H54=0,0,L54/H54)</f>
        <v>-0.79315789473684206</v>
      </c>
      <c r="O54" s="14"/>
      <c r="P54" s="1">
        <f>SUM(OSRRefP22_9x_0)</f>
        <v>78.599999999999994</v>
      </c>
      <c r="Q54" s="1"/>
      <c r="R54" s="5">
        <f t="shared" ref="R54:R56" si="50">IF(P$12=0,0,P54/P$12)</f>
        <v>0</v>
      </c>
      <c r="S54" s="1"/>
      <c r="T54" s="1">
        <f>SUM(OSRRefT22_9x_0)</f>
        <v>3745.21</v>
      </c>
      <c r="U54" s="1"/>
      <c r="V54" s="5">
        <f t="shared" ref="V54:V56" si="51">IF(T$12=0,0,T54/T$12)</f>
        <v>3.2663010242615434E-2</v>
      </c>
      <c r="W54" s="1"/>
      <c r="X54" s="1">
        <f t="shared" ref="X54:X56" si="52">+P54-T54</f>
        <v>-3666.61</v>
      </c>
      <c r="Y54" s="1"/>
      <c r="Z54" s="5">
        <f t="shared" ref="Z54:Z56" si="53">IF(T54=0,0,X54/T54)</f>
        <v>-0.97901319285166921</v>
      </c>
    </row>
    <row r="55" spans="1:26" s="24" customFormat="1" hidden="1" outlineLevel="2" x14ac:dyDescent="0.25">
      <c r="A55" s="29"/>
      <c r="B55" s="11" t="str">
        <f>CONCATENATE("          ", "6373", " - ", "MAINTENANCE CONTRACTS")</f>
        <v xml:space="preserve">          6373 - MAINTENANCE CONTRACTS</v>
      </c>
      <c r="C55" s="11"/>
      <c r="D55" s="7">
        <v>78.599999999999994</v>
      </c>
      <c r="E55" s="2"/>
      <c r="F55" s="6">
        <f t="shared" si="46"/>
        <v>0</v>
      </c>
      <c r="G55" s="2"/>
      <c r="H55" s="7"/>
      <c r="I55" s="2"/>
      <c r="J55" s="6">
        <f t="shared" si="47"/>
        <v>0</v>
      </c>
      <c r="K55" s="2"/>
      <c r="L55" s="7">
        <f t="shared" si="48"/>
        <v>78.599999999999994</v>
      </c>
      <c r="M55" s="2"/>
      <c r="N55" s="6">
        <f t="shared" si="49"/>
        <v>0</v>
      </c>
      <c r="O55" s="11"/>
      <c r="P55" s="7">
        <v>78.599999999999994</v>
      </c>
      <c r="Q55" s="2"/>
      <c r="R55" s="6">
        <f t="shared" si="50"/>
        <v>0</v>
      </c>
      <c r="S55" s="2"/>
      <c r="T55" s="7"/>
      <c r="U55" s="2"/>
      <c r="V55" s="6">
        <f t="shared" si="51"/>
        <v>0</v>
      </c>
      <c r="W55" s="2"/>
      <c r="X55" s="7">
        <f t="shared" si="52"/>
        <v>78.599999999999994</v>
      </c>
      <c r="Y55" s="2"/>
      <c r="Z55" s="6">
        <f t="shared" si="53"/>
        <v>0</v>
      </c>
    </row>
    <row r="56" spans="1:26" s="24" customFormat="1" hidden="1" outlineLevel="2" x14ac:dyDescent="0.25">
      <c r="A56" s="29"/>
      <c r="B56" s="11" t="str">
        <f>CONCATENATE("          ", "6375", " - ", "OUTSIDE REPAIRS &amp; MAINTENANCE")</f>
        <v xml:space="preserve">          6375 - OUTSIDE REPAIRS &amp; MAINTENANCE</v>
      </c>
      <c r="C56" s="11"/>
      <c r="D56" s="7"/>
      <c r="E56" s="2"/>
      <c r="F56" s="6">
        <f t="shared" si="46"/>
        <v>0</v>
      </c>
      <c r="G56" s="2"/>
      <c r="H56" s="7">
        <v>380</v>
      </c>
      <c r="I56" s="2"/>
      <c r="J56" s="6">
        <f t="shared" si="47"/>
        <v>5.0814482608943909E-3</v>
      </c>
      <c r="K56" s="2"/>
      <c r="L56" s="7">
        <f t="shared" si="48"/>
        <v>-380</v>
      </c>
      <c r="M56" s="2"/>
      <c r="N56" s="6">
        <f t="shared" si="49"/>
        <v>-1</v>
      </c>
      <c r="O56" s="11"/>
      <c r="P56" s="7"/>
      <c r="Q56" s="2"/>
      <c r="R56" s="6">
        <f t="shared" si="50"/>
        <v>0</v>
      </c>
      <c r="S56" s="2"/>
      <c r="T56" s="7">
        <v>3745.21</v>
      </c>
      <c r="U56" s="2"/>
      <c r="V56" s="6">
        <f t="shared" si="51"/>
        <v>3.2663010242615434E-2</v>
      </c>
      <c r="W56" s="2"/>
      <c r="X56" s="7">
        <f t="shared" si="52"/>
        <v>-3745.21</v>
      </c>
      <c r="Y56" s="2"/>
      <c r="Z56" s="6">
        <f t="shared" si="53"/>
        <v>-1</v>
      </c>
    </row>
    <row r="57" spans="1:26" s="28" customFormat="1" outlineLevel="1" collapsed="1" x14ac:dyDescent="0.25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SUM(OSRRefD22_10x_0)</f>
        <v>0</v>
      </c>
      <c r="E57" s="1"/>
      <c r="F57" s="5">
        <f t="shared" ref="F57:F60" si="54">IF(D$12=0,0,D57/D$12)</f>
        <v>0</v>
      </c>
      <c r="G57" s="1"/>
      <c r="H57" s="1">
        <f>SUM(OSRRefH22_10x_0)</f>
        <v>573.35</v>
      </c>
      <c r="I57" s="1"/>
      <c r="J57" s="5">
        <f t="shared" ref="J57:J60" si="55">IF(H$12=0,0,H57/H$12)</f>
        <v>7.66696936943105E-3</v>
      </c>
      <c r="K57" s="1"/>
      <c r="L57" s="1">
        <f t="shared" ref="L57:L60" si="56">+D57-H57</f>
        <v>-573.35</v>
      </c>
      <c r="M57" s="1"/>
      <c r="N57" s="5">
        <f t="shared" ref="N57:N60" si="57">IF(H57=0,0,L57/H57)</f>
        <v>-1</v>
      </c>
      <c r="O57" s="14"/>
      <c r="P57" s="1">
        <f>SUM(OSRRefP22_10x_0)</f>
        <v>0</v>
      </c>
      <c r="Q57" s="1"/>
      <c r="R57" s="5">
        <f t="shared" ref="R57:R60" si="58">IF(P$12=0,0,P57/P$12)</f>
        <v>0</v>
      </c>
      <c r="S57" s="1"/>
      <c r="T57" s="1">
        <f>SUM(OSRRefT22_10x_0)</f>
        <v>823</v>
      </c>
      <c r="U57" s="1"/>
      <c r="V57" s="5">
        <f t="shared" ref="V57:V60" si="59">IF(T$12=0,0,T57/T$12)</f>
        <v>7.1776101819851232E-3</v>
      </c>
      <c r="W57" s="1"/>
      <c r="X57" s="1">
        <f t="shared" ref="X57:X60" si="60">+P57-T57</f>
        <v>-823</v>
      </c>
      <c r="Y57" s="1"/>
      <c r="Z57" s="5">
        <f t="shared" ref="Z57:Z60" si="61">IF(T57=0,0,X57/T57)</f>
        <v>-1</v>
      </c>
    </row>
    <row r="58" spans="1:26" s="24" customFormat="1" hidden="1" outlineLevel="2" x14ac:dyDescent="0.25">
      <c r="A58" s="29"/>
      <c r="B58" s="11" t="str">
        <f>CONCATENATE("          ", "6283", " - ", "PLANT SERVICE")</f>
        <v xml:space="preserve">          6283 - PLANT SERVICE</v>
      </c>
      <c r="C58" s="11"/>
      <c r="D58" s="7"/>
      <c r="E58" s="2"/>
      <c r="F58" s="6">
        <f t="shared" si="54"/>
        <v>0</v>
      </c>
      <c r="G58" s="2"/>
      <c r="H58" s="7">
        <v>39.75</v>
      </c>
      <c r="I58" s="2"/>
      <c r="J58" s="6">
        <f t="shared" si="55"/>
        <v>5.3154623255408432E-4</v>
      </c>
      <c r="K58" s="2"/>
      <c r="L58" s="7">
        <f t="shared" si="56"/>
        <v>-39.75</v>
      </c>
      <c r="M58" s="2"/>
      <c r="N58" s="6">
        <f t="shared" si="57"/>
        <v>-1</v>
      </c>
      <c r="O58" s="11"/>
      <c r="P58" s="7"/>
      <c r="Q58" s="2"/>
      <c r="R58" s="6">
        <f t="shared" si="58"/>
        <v>0</v>
      </c>
      <c r="S58" s="2"/>
      <c r="T58" s="7">
        <v>79.5</v>
      </c>
      <c r="U58" s="2"/>
      <c r="V58" s="6">
        <f t="shared" si="59"/>
        <v>6.9334144528288857E-4</v>
      </c>
      <c r="W58" s="2"/>
      <c r="X58" s="7">
        <f t="shared" si="60"/>
        <v>-79.5</v>
      </c>
      <c r="Y58" s="2"/>
      <c r="Z58" s="6">
        <f t="shared" si="61"/>
        <v>-1</v>
      </c>
    </row>
    <row r="59" spans="1:26" s="24" customFormat="1" hidden="1" outlineLevel="2" x14ac:dyDescent="0.25">
      <c r="A59" s="29"/>
      <c r="B59" s="11" t="str">
        <f>CONCATENATE("          ", "6285", " - ", "JANITORIAL SERVICES")</f>
        <v xml:space="preserve">          6285 - JANITORIAL SERVICES</v>
      </c>
      <c r="C59" s="11"/>
      <c r="D59" s="7"/>
      <c r="E59" s="2"/>
      <c r="F59" s="6">
        <f t="shared" si="54"/>
        <v>0</v>
      </c>
      <c r="G59" s="2"/>
      <c r="H59" s="7">
        <v>350</v>
      </c>
      <c r="I59" s="2"/>
      <c r="J59" s="6">
        <f t="shared" si="55"/>
        <v>4.6802812929290444E-3</v>
      </c>
      <c r="K59" s="2"/>
      <c r="L59" s="7">
        <f t="shared" si="56"/>
        <v>-350</v>
      </c>
      <c r="M59" s="2"/>
      <c r="N59" s="6">
        <f t="shared" si="57"/>
        <v>-1</v>
      </c>
      <c r="O59" s="11"/>
      <c r="P59" s="7"/>
      <c r="Q59" s="2"/>
      <c r="R59" s="6">
        <f t="shared" si="58"/>
        <v>0</v>
      </c>
      <c r="S59" s="2"/>
      <c r="T59" s="7">
        <v>350</v>
      </c>
      <c r="U59" s="2"/>
      <c r="V59" s="6">
        <f t="shared" si="59"/>
        <v>3.0524466144529684E-3</v>
      </c>
      <c r="W59" s="2"/>
      <c r="X59" s="7">
        <f t="shared" si="60"/>
        <v>-350</v>
      </c>
      <c r="Y59" s="2"/>
      <c r="Z59" s="6">
        <f t="shared" si="61"/>
        <v>-1</v>
      </c>
    </row>
    <row r="60" spans="1:26" s="24" customFormat="1" hidden="1" outlineLevel="2" x14ac:dyDescent="0.25">
      <c r="A60" s="29"/>
      <c r="B60" s="11" t="str">
        <f>CONCATENATE("          ", "6286", " - ", "LAUNDRY EXPENSE")</f>
        <v xml:space="preserve">          6286 - LAUNDRY EXPENSE</v>
      </c>
      <c r="C60" s="11"/>
      <c r="D60" s="7"/>
      <c r="E60" s="2"/>
      <c r="F60" s="6">
        <f t="shared" si="54"/>
        <v>0</v>
      </c>
      <c r="G60" s="2"/>
      <c r="H60" s="7">
        <v>183.6</v>
      </c>
      <c r="I60" s="2"/>
      <c r="J60" s="6">
        <f t="shared" si="55"/>
        <v>2.4551418439479216E-3</v>
      </c>
      <c r="K60" s="2"/>
      <c r="L60" s="7">
        <f t="shared" si="56"/>
        <v>-183.6</v>
      </c>
      <c r="M60" s="2"/>
      <c r="N60" s="6">
        <f t="shared" si="57"/>
        <v>-1</v>
      </c>
      <c r="O60" s="11"/>
      <c r="P60" s="7"/>
      <c r="Q60" s="2"/>
      <c r="R60" s="6">
        <f t="shared" si="58"/>
        <v>0</v>
      </c>
      <c r="S60" s="2"/>
      <c r="T60" s="7">
        <v>393.5</v>
      </c>
      <c r="U60" s="2"/>
      <c r="V60" s="6">
        <f t="shared" si="59"/>
        <v>3.431822122249266E-3</v>
      </c>
      <c r="W60" s="2"/>
      <c r="X60" s="7">
        <f t="shared" si="60"/>
        <v>-393.5</v>
      </c>
      <c r="Y60" s="2"/>
      <c r="Z60" s="6">
        <f t="shared" si="61"/>
        <v>-1</v>
      </c>
    </row>
    <row r="61" spans="1:26" s="28" customFormat="1" outlineLevel="1" collapsed="1" x14ac:dyDescent="0.25">
      <c r="A61" s="27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1">
        <f>SUM(OSRRefD22_11x_0)</f>
        <v>0</v>
      </c>
      <c r="E61" s="1"/>
      <c r="F61" s="5">
        <f t="shared" ref="F61:F67" si="62">IF(D$12=0,0,D61/D$12)</f>
        <v>0</v>
      </c>
      <c r="G61" s="1"/>
      <c r="H61" s="1">
        <f>SUM(OSRRefH22_11x_0)</f>
        <v>196.71</v>
      </c>
      <c r="I61" s="1"/>
      <c r="J61" s="5">
        <f t="shared" ref="J61:J67" si="63">IF(H$12=0,0,H61/H$12)</f>
        <v>2.630451808948778E-3</v>
      </c>
      <c r="K61" s="1"/>
      <c r="L61" s="1">
        <f t="shared" ref="L61:L67" si="64">+D61-H61</f>
        <v>-196.71</v>
      </c>
      <c r="M61" s="1"/>
      <c r="N61" s="5">
        <f t="shared" ref="N61:N67" si="65">IF(H61=0,0,L61/H61)</f>
        <v>-1</v>
      </c>
      <c r="O61" s="14"/>
      <c r="P61" s="1">
        <f>SUM(OSRRefP22_11x_0)</f>
        <v>0</v>
      </c>
      <c r="Q61" s="1"/>
      <c r="R61" s="5">
        <f t="shared" ref="R61:R67" si="66">IF(P$12=0,0,P61/P$12)</f>
        <v>0</v>
      </c>
      <c r="S61" s="1"/>
      <c r="T61" s="1">
        <f>SUM(OSRRefT22_11x_0)</f>
        <v>393.42</v>
      </c>
      <c r="U61" s="1"/>
      <c r="V61" s="5">
        <f t="shared" ref="V61:V67" si="67">IF(T$12=0,0,T61/T$12)</f>
        <v>3.4311244201659626E-3</v>
      </c>
      <c r="W61" s="1"/>
      <c r="X61" s="1">
        <f t="shared" ref="X61:X67" si="68">+P61-T61</f>
        <v>-393.42</v>
      </c>
      <c r="Y61" s="1"/>
      <c r="Z61" s="5">
        <f t="shared" ref="Z61:Z67" si="69">IF(T61=0,0,X61/T61)</f>
        <v>-1</v>
      </c>
    </row>
    <row r="62" spans="1:26" s="24" customFormat="1" hidden="1" outlineLevel="2" x14ac:dyDescent="0.25">
      <c r="A62" s="29"/>
      <c r="B62" s="11" t="str">
        <f>CONCATENATE("          ", "6275", " - ", "SUBSCRIPTIONS")</f>
        <v xml:space="preserve">          6275 - SUBSCRIPTIONS</v>
      </c>
      <c r="C62" s="11"/>
      <c r="D62" s="7"/>
      <c r="E62" s="2"/>
      <c r="F62" s="6">
        <f t="shared" si="62"/>
        <v>0</v>
      </c>
      <c r="G62" s="2"/>
      <c r="H62" s="7">
        <v>196.71</v>
      </c>
      <c r="I62" s="2"/>
      <c r="J62" s="6">
        <f t="shared" si="63"/>
        <v>2.630451808948778E-3</v>
      </c>
      <c r="K62" s="2"/>
      <c r="L62" s="7">
        <f t="shared" si="64"/>
        <v>-196.71</v>
      </c>
      <c r="M62" s="2"/>
      <c r="N62" s="6">
        <f t="shared" si="65"/>
        <v>-1</v>
      </c>
      <c r="O62" s="11"/>
      <c r="P62" s="7"/>
      <c r="Q62" s="2"/>
      <c r="R62" s="6">
        <f t="shared" si="66"/>
        <v>0</v>
      </c>
      <c r="S62" s="2"/>
      <c r="T62" s="7">
        <v>393.42</v>
      </c>
      <c r="U62" s="2"/>
      <c r="V62" s="6">
        <f t="shared" si="67"/>
        <v>3.4311244201659626E-3</v>
      </c>
      <c r="W62" s="2"/>
      <c r="X62" s="7">
        <f t="shared" si="68"/>
        <v>-393.42</v>
      </c>
      <c r="Y62" s="2"/>
      <c r="Z62" s="6">
        <f t="shared" si="69"/>
        <v>-1</v>
      </c>
    </row>
    <row r="63" spans="1:26" s="28" customFormat="1" outlineLevel="1" collapsed="1" x14ac:dyDescent="0.2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0</v>
      </c>
      <c r="E63" s="1"/>
      <c r="F63" s="5">
        <f t="shared" si="62"/>
        <v>0</v>
      </c>
      <c r="G63" s="1"/>
      <c r="H63" s="1">
        <f>SUM(OSRRefH22_12x_0)</f>
        <v>2640.5600000000004</v>
      </c>
      <c r="I63" s="1"/>
      <c r="J63" s="5">
        <f t="shared" si="63"/>
        <v>3.5310181631019198E-2</v>
      </c>
      <c r="K63" s="1"/>
      <c r="L63" s="1">
        <f t="shared" si="64"/>
        <v>-2640.5600000000004</v>
      </c>
      <c r="M63" s="1"/>
      <c r="N63" s="5">
        <f t="shared" si="65"/>
        <v>-1</v>
      </c>
      <c r="O63" s="14"/>
      <c r="P63" s="1">
        <f>SUM(OSRRefP22_12x_0)</f>
        <v>0</v>
      </c>
      <c r="Q63" s="1"/>
      <c r="R63" s="5">
        <f t="shared" si="66"/>
        <v>0</v>
      </c>
      <c r="S63" s="1"/>
      <c r="T63" s="1">
        <f>SUM(OSRRefT22_12x_0)</f>
        <v>3257.4399999999996</v>
      </c>
      <c r="U63" s="1"/>
      <c r="V63" s="5">
        <f t="shared" si="67"/>
        <v>2.840903342795336E-2</v>
      </c>
      <c r="W63" s="1"/>
      <c r="X63" s="1">
        <f t="shared" si="68"/>
        <v>-3257.4399999999996</v>
      </c>
      <c r="Y63" s="1"/>
      <c r="Z63" s="5">
        <f t="shared" si="69"/>
        <v>-1</v>
      </c>
    </row>
    <row r="64" spans="1:26" s="24" customFormat="1" hidden="1" outlineLevel="2" x14ac:dyDescent="0.25">
      <c r="A64" s="29"/>
      <c r="B64" s="11" t="str">
        <f>CONCATENATE("          ", "6241", " - ", "OFFICE EXPENSE")</f>
        <v xml:space="preserve">          6241 - OFFICE EXPENSE</v>
      </c>
      <c r="C64" s="11"/>
      <c r="D64" s="7"/>
      <c r="E64" s="2"/>
      <c r="F64" s="6">
        <f t="shared" si="62"/>
        <v>0</v>
      </c>
      <c r="G64" s="2"/>
      <c r="H64" s="7">
        <v>1065.17</v>
      </c>
      <c r="I64" s="2"/>
      <c r="J64" s="6">
        <f t="shared" si="63"/>
        <v>1.4243700642254943E-2</v>
      </c>
      <c r="K64" s="2"/>
      <c r="L64" s="7">
        <f t="shared" si="64"/>
        <v>-1065.17</v>
      </c>
      <c r="M64" s="2"/>
      <c r="N64" s="6">
        <f t="shared" si="65"/>
        <v>-1</v>
      </c>
      <c r="O64" s="11"/>
      <c r="P64" s="7"/>
      <c r="Q64" s="2"/>
      <c r="R64" s="6">
        <f t="shared" si="66"/>
        <v>0</v>
      </c>
      <c r="S64" s="2"/>
      <c r="T64" s="7">
        <v>1403.59</v>
      </c>
      <c r="U64" s="2"/>
      <c r="V64" s="6">
        <f t="shared" si="67"/>
        <v>1.224109583880012E-2</v>
      </c>
      <c r="W64" s="2"/>
      <c r="X64" s="7">
        <f t="shared" si="68"/>
        <v>-1403.59</v>
      </c>
      <c r="Y64" s="2"/>
      <c r="Z64" s="6">
        <f t="shared" si="69"/>
        <v>-1</v>
      </c>
    </row>
    <row r="65" spans="1:26" s="24" customFormat="1" hidden="1" outlineLevel="2" x14ac:dyDescent="0.25">
      <c r="A65" s="29"/>
      <c r="B65" s="11" t="str">
        <f>CONCATENATE("          ", "6243", " - ", "PAPER SUPPLIES")</f>
        <v xml:space="preserve">          6243 - PAPER SUPPLIES</v>
      </c>
      <c r="C65" s="11"/>
      <c r="D65" s="7"/>
      <c r="E65" s="2"/>
      <c r="F65" s="6">
        <f t="shared" si="62"/>
        <v>0</v>
      </c>
      <c r="G65" s="2"/>
      <c r="H65" s="7">
        <v>281.95</v>
      </c>
      <c r="I65" s="2"/>
      <c r="J65" s="6">
        <f t="shared" si="63"/>
        <v>3.7703008872609829E-3</v>
      </c>
      <c r="K65" s="2"/>
      <c r="L65" s="7">
        <f t="shared" si="64"/>
        <v>-281.95</v>
      </c>
      <c r="M65" s="2"/>
      <c r="N65" s="6">
        <f t="shared" si="65"/>
        <v>-1</v>
      </c>
      <c r="O65" s="11"/>
      <c r="P65" s="7"/>
      <c r="Q65" s="2"/>
      <c r="R65" s="6">
        <f t="shared" si="66"/>
        <v>0</v>
      </c>
      <c r="S65" s="2"/>
      <c r="T65" s="7">
        <v>560.41</v>
      </c>
      <c r="U65" s="2"/>
      <c r="V65" s="6">
        <f t="shared" si="67"/>
        <v>4.8874903063016797E-3</v>
      </c>
      <c r="W65" s="2"/>
      <c r="X65" s="7">
        <f t="shared" si="68"/>
        <v>-560.41</v>
      </c>
      <c r="Y65" s="2"/>
      <c r="Z65" s="6">
        <f t="shared" si="69"/>
        <v>-1</v>
      </c>
    </row>
    <row r="66" spans="1:26" s="24" customFormat="1" hidden="1" outlineLevel="2" x14ac:dyDescent="0.25">
      <c r="A66" s="29"/>
      <c r="B66" s="11" t="str">
        <f>CONCATENATE("          ", "6247", " - ", "STORE SUPPLIES")</f>
        <v xml:space="preserve">          6247 - STORE SUPPLIES</v>
      </c>
      <c r="C66" s="11"/>
      <c r="D66" s="7"/>
      <c r="E66" s="2"/>
      <c r="F66" s="6">
        <f t="shared" si="62"/>
        <v>0</v>
      </c>
      <c r="G66" s="2"/>
      <c r="H66" s="7">
        <v>513.20000000000005</v>
      </c>
      <c r="I66" s="2"/>
      <c r="J66" s="6">
        <f t="shared" si="63"/>
        <v>6.8626295986605303E-3</v>
      </c>
      <c r="K66" s="2"/>
      <c r="L66" s="7">
        <f t="shared" si="64"/>
        <v>-513.20000000000005</v>
      </c>
      <c r="M66" s="2"/>
      <c r="N66" s="6">
        <f t="shared" si="65"/>
        <v>-1</v>
      </c>
      <c r="O66" s="11"/>
      <c r="P66" s="7"/>
      <c r="Q66" s="2"/>
      <c r="R66" s="6">
        <f t="shared" si="66"/>
        <v>0</v>
      </c>
      <c r="S66" s="2"/>
      <c r="T66" s="7">
        <v>513.20000000000005</v>
      </c>
      <c r="U66" s="2"/>
      <c r="V66" s="6">
        <f t="shared" si="67"/>
        <v>4.4757588643921818E-3</v>
      </c>
      <c r="W66" s="2"/>
      <c r="X66" s="7">
        <f t="shared" si="68"/>
        <v>-513.20000000000005</v>
      </c>
      <c r="Y66" s="2"/>
      <c r="Z66" s="6">
        <f t="shared" si="69"/>
        <v>-1</v>
      </c>
    </row>
    <row r="67" spans="1:26" s="24" customFormat="1" hidden="1" outlineLevel="2" x14ac:dyDescent="0.25">
      <c r="A67" s="29"/>
      <c r="B67" s="11" t="str">
        <f>CONCATENATE("          ", "6248", " - ", "UNIFORMS")</f>
        <v xml:space="preserve">          6248 - UNIFORMS</v>
      </c>
      <c r="C67" s="11"/>
      <c r="D67" s="7"/>
      <c r="E67" s="2"/>
      <c r="F67" s="6">
        <f t="shared" si="62"/>
        <v>0</v>
      </c>
      <c r="G67" s="2"/>
      <c r="H67" s="7">
        <v>780.24</v>
      </c>
      <c r="I67" s="2"/>
      <c r="J67" s="6">
        <f t="shared" si="63"/>
        <v>1.0433550502842736E-2</v>
      </c>
      <c r="K67" s="2"/>
      <c r="L67" s="7">
        <f t="shared" si="64"/>
        <v>-780.24</v>
      </c>
      <c r="M67" s="2"/>
      <c r="N67" s="6">
        <f t="shared" si="65"/>
        <v>-1</v>
      </c>
      <c r="O67" s="11"/>
      <c r="P67" s="7"/>
      <c r="Q67" s="2"/>
      <c r="R67" s="6">
        <f t="shared" si="66"/>
        <v>0</v>
      </c>
      <c r="S67" s="2"/>
      <c r="T67" s="7">
        <v>780.24</v>
      </c>
      <c r="U67" s="2"/>
      <c r="V67" s="6">
        <f t="shared" si="67"/>
        <v>6.8046884184593832E-3</v>
      </c>
      <c r="W67" s="2"/>
      <c r="X67" s="7">
        <f t="shared" si="68"/>
        <v>-780.24</v>
      </c>
      <c r="Y67" s="2"/>
      <c r="Z67" s="6">
        <f t="shared" si="69"/>
        <v>-1</v>
      </c>
    </row>
    <row r="68" spans="1:26" s="28" customFormat="1" outlineLevel="1" collapsed="1" x14ac:dyDescent="0.25">
      <c r="A68" s="27"/>
      <c r="B68" s="14" t="str">
        <f>CONCATENATE("     ","Telephone/Data Lines                              ")</f>
        <v xml:space="preserve">     Telephone/Data Lines                              </v>
      </c>
      <c r="C68" s="14"/>
      <c r="D68" s="1">
        <f>SUM(OSRRefD22_13x_0)</f>
        <v>106</v>
      </c>
      <c r="E68" s="1"/>
      <c r="F68" s="5">
        <f t="shared" ref="F68:F71" si="70">IF(D$12=0,0,D68/D$12)</f>
        <v>0</v>
      </c>
      <c r="G68" s="1"/>
      <c r="H68" s="1">
        <f>SUM(OSRRefH22_13x_0)</f>
        <v>108.7</v>
      </c>
      <c r="I68" s="1"/>
      <c r="J68" s="5">
        <f t="shared" ref="J68:J71" si="71">IF(H$12=0,0,H68/H$12)</f>
        <v>1.4535616472611062E-3</v>
      </c>
      <c r="K68" s="1"/>
      <c r="L68" s="1">
        <f t="shared" ref="L68:L71" si="72">+D68-H68</f>
        <v>-2.7000000000000028</v>
      </c>
      <c r="M68" s="1"/>
      <c r="N68" s="5">
        <f t="shared" ref="N68:N71" si="73">IF(H68=0,0,L68/H68)</f>
        <v>-2.4839006439742437E-2</v>
      </c>
      <c r="O68" s="14"/>
      <c r="P68" s="1">
        <f>SUM(OSRRefP22_13x_0)</f>
        <v>212</v>
      </c>
      <c r="Q68" s="1"/>
      <c r="R68" s="5">
        <f t="shared" ref="R68:R71" si="74">IF(P$12=0,0,P68/P$12)</f>
        <v>0</v>
      </c>
      <c r="S68" s="1"/>
      <c r="T68" s="1">
        <f>SUM(OSRRefT22_13x_0)</f>
        <v>221.9</v>
      </c>
      <c r="U68" s="1"/>
      <c r="V68" s="5">
        <f t="shared" ref="V68:V71" si="75">IF(T$12=0,0,T68/T$12)</f>
        <v>1.9352511535631822E-3</v>
      </c>
      <c r="W68" s="1"/>
      <c r="X68" s="1">
        <f t="shared" ref="X68:X71" si="76">+P68-T68</f>
        <v>-9.9000000000000057</v>
      </c>
      <c r="Y68" s="1"/>
      <c r="Z68" s="5">
        <f t="shared" ref="Z68:Z71" si="77">IF(T68=0,0,X68/T68)</f>
        <v>-4.4614691302388487E-2</v>
      </c>
    </row>
    <row r="69" spans="1:26" s="24" customFormat="1" hidden="1" outlineLevel="2" x14ac:dyDescent="0.25">
      <c r="A69" s="29"/>
      <c r="B69" s="11" t="str">
        <f>CONCATENATE("          ", "6309", " - ", "TELEPHONE")</f>
        <v xml:space="preserve">          6309 - TELEPHONE</v>
      </c>
      <c r="C69" s="11"/>
      <c r="D69" s="7">
        <v>106</v>
      </c>
      <c r="E69" s="2"/>
      <c r="F69" s="6">
        <f t="shared" si="70"/>
        <v>0</v>
      </c>
      <c r="G69" s="2"/>
      <c r="H69" s="7">
        <v>108.7</v>
      </c>
      <c r="I69" s="2"/>
      <c r="J69" s="6">
        <f t="shared" si="71"/>
        <v>1.4535616472611062E-3</v>
      </c>
      <c r="K69" s="2"/>
      <c r="L69" s="7">
        <f t="shared" si="72"/>
        <v>-2.7000000000000028</v>
      </c>
      <c r="M69" s="2"/>
      <c r="N69" s="6">
        <f t="shared" si="73"/>
        <v>-2.4839006439742437E-2</v>
      </c>
      <c r="O69" s="11"/>
      <c r="P69" s="7">
        <v>212</v>
      </c>
      <c r="Q69" s="2"/>
      <c r="R69" s="6">
        <f t="shared" si="74"/>
        <v>0</v>
      </c>
      <c r="S69" s="2"/>
      <c r="T69" s="7">
        <v>221.9</v>
      </c>
      <c r="U69" s="2"/>
      <c r="V69" s="6">
        <f t="shared" si="75"/>
        <v>1.9352511535631822E-3</v>
      </c>
      <c r="W69" s="2"/>
      <c r="X69" s="7">
        <f t="shared" si="76"/>
        <v>-9.9000000000000057</v>
      </c>
      <c r="Y69" s="2"/>
      <c r="Z69" s="6">
        <f t="shared" si="77"/>
        <v>-4.4614691302388487E-2</v>
      </c>
    </row>
    <row r="70" spans="1:26" s="28" customFormat="1" outlineLevel="1" collapsed="1" x14ac:dyDescent="0.25">
      <c r="A70" s="27"/>
      <c r="B70" s="14" t="str">
        <f>CONCATENATE("     ","Training                                          ")</f>
        <v xml:space="preserve">     Training                                          </v>
      </c>
      <c r="C70" s="14"/>
      <c r="D70" s="1">
        <f>SUM(OSRRefD22_14x_0)</f>
        <v>0</v>
      </c>
      <c r="E70" s="1"/>
      <c r="F70" s="5">
        <f t="shared" si="70"/>
        <v>0</v>
      </c>
      <c r="G70" s="1"/>
      <c r="H70" s="1">
        <f>SUM(OSRRefH22_14x_0)</f>
        <v>0</v>
      </c>
      <c r="I70" s="1"/>
      <c r="J70" s="5">
        <f t="shared" si="71"/>
        <v>0</v>
      </c>
      <c r="K70" s="1"/>
      <c r="L70" s="1">
        <f t="shared" si="72"/>
        <v>0</v>
      </c>
      <c r="M70" s="1"/>
      <c r="N70" s="5">
        <f t="shared" si="73"/>
        <v>0</v>
      </c>
      <c r="O70" s="14"/>
      <c r="P70" s="1">
        <f>SUM(OSRRefP22_14x_0)</f>
        <v>0</v>
      </c>
      <c r="Q70" s="1"/>
      <c r="R70" s="5">
        <f t="shared" si="74"/>
        <v>0</v>
      </c>
      <c r="S70" s="1"/>
      <c r="T70" s="1">
        <f>SUM(OSRRefT22_14x_0)</f>
        <v>85</v>
      </c>
      <c r="U70" s="1"/>
      <c r="V70" s="5">
        <f t="shared" si="75"/>
        <v>7.4130846351000662E-4</v>
      </c>
      <c r="W70" s="1"/>
      <c r="X70" s="1">
        <f t="shared" si="76"/>
        <v>-85</v>
      </c>
      <c r="Y70" s="1"/>
      <c r="Z70" s="5">
        <f t="shared" si="77"/>
        <v>-1</v>
      </c>
    </row>
    <row r="71" spans="1:26" s="24" customFormat="1" hidden="1" outlineLevel="2" x14ac:dyDescent="0.25">
      <c r="A71" s="29"/>
      <c r="B71" s="11" t="str">
        <f>CONCATENATE("          ", "6376", " - ", "TRAINING")</f>
        <v xml:space="preserve">          6376 - TRAINING</v>
      </c>
      <c r="C71" s="11"/>
      <c r="D71" s="7"/>
      <c r="E71" s="2"/>
      <c r="F71" s="6">
        <f t="shared" si="70"/>
        <v>0</v>
      </c>
      <c r="G71" s="2"/>
      <c r="H71" s="7"/>
      <c r="I71" s="2"/>
      <c r="J71" s="6">
        <f t="shared" si="71"/>
        <v>0</v>
      </c>
      <c r="K71" s="2"/>
      <c r="L71" s="7">
        <f t="shared" si="72"/>
        <v>0</v>
      </c>
      <c r="M71" s="2"/>
      <c r="N71" s="6">
        <f t="shared" si="73"/>
        <v>0</v>
      </c>
      <c r="O71" s="11"/>
      <c r="P71" s="7"/>
      <c r="Q71" s="2"/>
      <c r="R71" s="6">
        <f t="shared" si="74"/>
        <v>0</v>
      </c>
      <c r="S71" s="2"/>
      <c r="T71" s="7">
        <v>85</v>
      </c>
      <c r="U71" s="2"/>
      <c r="V71" s="6">
        <f t="shared" si="75"/>
        <v>7.4130846351000662E-4</v>
      </c>
      <c r="W71" s="2"/>
      <c r="X71" s="7">
        <f t="shared" si="76"/>
        <v>-85</v>
      </c>
      <c r="Y71" s="2"/>
      <c r="Z71" s="6">
        <f t="shared" si="77"/>
        <v>-1</v>
      </c>
    </row>
    <row r="72" spans="1:26" s="52" customFormat="1" x14ac:dyDescent="0.25">
      <c r="A72" s="37"/>
      <c r="B72" s="37"/>
      <c r="C72" s="37"/>
      <c r="D72" s="1"/>
      <c r="E72" s="1"/>
      <c r="F72" s="5"/>
      <c r="G72" s="1"/>
      <c r="H72" s="1"/>
      <c r="I72" s="1"/>
      <c r="J72" s="5"/>
      <c r="K72" s="1"/>
      <c r="L72" s="1"/>
      <c r="M72" s="1"/>
      <c r="N72" s="5"/>
      <c r="O72" s="37"/>
      <c r="P72" s="1"/>
      <c r="Q72" s="1"/>
      <c r="R72" s="5"/>
      <c r="S72" s="1"/>
      <c r="T72" s="1"/>
      <c r="U72" s="1"/>
      <c r="V72" s="5"/>
      <c r="W72" s="1"/>
      <c r="X72" s="1"/>
      <c r="Y72" s="1"/>
      <c r="Z72" s="5"/>
    </row>
    <row r="73" spans="1:26" s="23" customFormat="1" collapsed="1" x14ac:dyDescent="0.25">
      <c r="A73" s="10"/>
      <c r="B73" s="25" t="s">
        <v>0</v>
      </c>
      <c r="C73" s="10"/>
      <c r="D73" s="4">
        <f>SUM(OSRRefD25x_0)</f>
        <v>111.42</v>
      </c>
      <c r="E73" s="4"/>
      <c r="F73" s="12">
        <f t="shared" ref="F73:F74" si="78">IF(D$12=0,0,D73/D$12)</f>
        <v>0</v>
      </c>
      <c r="G73" s="4"/>
      <c r="H73" s="4">
        <f>SUM(OSRRefH25x_0)</f>
        <v>0</v>
      </c>
      <c r="I73" s="4"/>
      <c r="J73" s="12">
        <f t="shared" ref="J73:J74" si="79">IF(H$12=0,0,H73/H$12)</f>
        <v>0</v>
      </c>
      <c r="K73" s="4"/>
      <c r="L73" s="4">
        <f t="shared" ref="L73:L74" si="80">+D73-H73</f>
        <v>111.42</v>
      </c>
      <c r="M73" s="4"/>
      <c r="N73" s="12">
        <f t="shared" ref="N73:N74" si="81">IF(H73=0,0,L73/H73)</f>
        <v>0</v>
      </c>
      <c r="O73" s="10"/>
      <c r="P73" s="4">
        <f>SUM(OSRRefP25x_0)</f>
        <v>111.42</v>
      </c>
      <c r="Q73" s="4"/>
      <c r="R73" s="12">
        <f t="shared" ref="R73:R74" si="82">IF(P$12=0,0,P73/P$12)</f>
        <v>0</v>
      </c>
      <c r="S73" s="4"/>
      <c r="T73" s="4">
        <f>SUM(OSRRefT25x_0)</f>
        <v>0</v>
      </c>
      <c r="U73" s="4"/>
      <c r="V73" s="12">
        <f t="shared" ref="V73:V74" si="83">IF(T$12=0,0,T73/T$12)</f>
        <v>0</v>
      </c>
      <c r="W73" s="4"/>
      <c r="X73" s="4">
        <f t="shared" ref="X73:X74" si="84">+P73-T73</f>
        <v>111.42</v>
      </c>
      <c r="Y73" s="4"/>
      <c r="Z73" s="12">
        <f t="shared" ref="Z73:Z74" si="85">IF(T73=0,0,X73/T73)</f>
        <v>0</v>
      </c>
    </row>
    <row r="74" spans="1:26" s="24" customFormat="1" hidden="1" outlineLevel="1" x14ac:dyDescent="0.25">
      <c r="A74" s="44"/>
      <c r="B74" s="11" t="str">
        <f>CONCATENATE("          ", "9150", " - ", "MISC. INCOME")</f>
        <v xml:space="preserve">          9150 - MISC. INCOME</v>
      </c>
      <c r="C74" s="11"/>
      <c r="D74" s="2">
        <f>--111.42</f>
        <v>111.42</v>
      </c>
      <c r="E74" s="2"/>
      <c r="F74" s="19">
        <f t="shared" si="78"/>
        <v>0</v>
      </c>
      <c r="G74" s="2"/>
      <c r="H74" s="2">
        <f>0</f>
        <v>0</v>
      </c>
      <c r="I74" s="2"/>
      <c r="J74" s="19">
        <f t="shared" si="79"/>
        <v>0</v>
      </c>
      <c r="K74" s="2"/>
      <c r="L74" s="2">
        <f t="shared" si="80"/>
        <v>111.42</v>
      </c>
      <c r="M74" s="2"/>
      <c r="N74" s="19">
        <f t="shared" si="81"/>
        <v>0</v>
      </c>
      <c r="O74" s="11"/>
      <c r="P74" s="2">
        <f>--111.42</f>
        <v>111.42</v>
      </c>
      <c r="Q74" s="2"/>
      <c r="R74" s="19">
        <f t="shared" si="82"/>
        <v>0</v>
      </c>
      <c r="S74" s="2"/>
      <c r="T74" s="2">
        <f>0</f>
        <v>0</v>
      </c>
      <c r="U74" s="2"/>
      <c r="V74" s="19">
        <f t="shared" si="83"/>
        <v>0</v>
      </c>
      <c r="W74" s="2"/>
      <c r="X74" s="2">
        <f t="shared" si="84"/>
        <v>111.42</v>
      </c>
      <c r="Y74" s="2"/>
      <c r="Z74" s="19">
        <f t="shared" si="85"/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6" t="s">
        <v>3</v>
      </c>
      <c r="C76" s="26"/>
      <c r="D76" s="22">
        <f>+D20-D22+D73</f>
        <v>-7250.7300000000005</v>
      </c>
      <c r="E76" s="13"/>
      <c r="F76" s="21">
        <f>IF(D$12=0,0,D76/D$12)</f>
        <v>0</v>
      </c>
      <c r="G76" s="13"/>
      <c r="H76" s="22">
        <f>+H20-H22+H73</f>
        <v>6623.9000000000087</v>
      </c>
      <c r="I76" s="13"/>
      <c r="J76" s="21">
        <f>IF(H$12=0,0,H76/H$12)</f>
        <v>8.8576329303522106E-2</v>
      </c>
      <c r="K76" s="16"/>
      <c r="L76" s="22">
        <f>+D76-H76</f>
        <v>-13874.630000000008</v>
      </c>
      <c r="M76" s="16"/>
      <c r="N76" s="21">
        <f>IF(H76=0,0,L76/H76)</f>
        <v>-2.0946315614668083</v>
      </c>
      <c r="O76" s="25"/>
      <c r="P76" s="22">
        <f>+P20-P22+P73</f>
        <v>-24318.2</v>
      </c>
      <c r="Q76" s="13"/>
      <c r="R76" s="21">
        <f>IF(P$12=0,0,P76/P$12)</f>
        <v>0</v>
      </c>
      <c r="S76" s="13"/>
      <c r="T76" s="22">
        <f>+T20-T22+T73</f>
        <v>-6275.1900000000023</v>
      </c>
      <c r="U76" s="13"/>
      <c r="V76" s="21">
        <f>IF(T$12=0,0,T76/T$12)</f>
        <v>-5.4727664201568944E-2</v>
      </c>
      <c r="W76" s="16"/>
      <c r="X76" s="22">
        <f>+P76-T76</f>
        <v>-18043.009999999998</v>
      </c>
      <c r="Y76" s="16"/>
      <c r="Z76" s="21">
        <f>IF(T76=0,0,X76/T76)</f>
        <v>2.8752930190161559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/>
      <c r="E78" s="4"/>
      <c r="F78" s="12">
        <f>IF(D$12=0,0,D78/D$12)</f>
        <v>0</v>
      </c>
      <c r="G78" s="4"/>
      <c r="H78" s="4">
        <v>6003.98</v>
      </c>
      <c r="I78" s="4"/>
      <c r="J78" s="12">
        <f>IF(H$12=0,0,H78/H$12)</f>
        <v>8.0286615077486065E-2</v>
      </c>
      <c r="K78" s="4"/>
      <c r="L78" s="4">
        <f>+D78-H78</f>
        <v>-6003.98</v>
      </c>
      <c r="M78" s="4"/>
      <c r="N78" s="12">
        <f>IF(H78=0,0,L78/H78)</f>
        <v>-1</v>
      </c>
      <c r="O78" s="10"/>
      <c r="P78" s="4"/>
      <c r="Q78" s="4"/>
      <c r="R78" s="12">
        <f>IF(P$12=0,0,P78/P$12)</f>
        <v>0</v>
      </c>
      <c r="S78" s="4"/>
      <c r="T78" s="4">
        <v>14296.27</v>
      </c>
      <c r="U78" s="4"/>
      <c r="V78" s="12">
        <f>IF(T$12=0,0,T78/T$12)</f>
        <v>0.12468171703087298</v>
      </c>
      <c r="W78" s="4"/>
      <c r="X78" s="4">
        <f>+P78-T78</f>
        <v>-14296.27</v>
      </c>
      <c r="Y78" s="4"/>
      <c r="Z78" s="12">
        <f>IF(T78=0,0,X78/T78)</f>
        <v>-1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4</v>
      </c>
      <c r="C80" s="26"/>
      <c r="D80" s="36">
        <f>+D76-D78</f>
        <v>-7250.7300000000005</v>
      </c>
      <c r="E80" s="13"/>
      <c r="F80" s="34">
        <f>IF(D$12=0,0,D80/D$12)</f>
        <v>0</v>
      </c>
      <c r="G80" s="13"/>
      <c r="H80" s="36">
        <f>+H76-H78</f>
        <v>619.92000000000917</v>
      </c>
      <c r="I80" s="13"/>
      <c r="J80" s="34">
        <f>IF(H$12=0,0,H80/H$12)</f>
        <v>8.2897142260360459E-3</v>
      </c>
      <c r="K80" s="16"/>
      <c r="L80" s="36">
        <f>D80-H80</f>
        <v>-7870.6500000000096</v>
      </c>
      <c r="M80" s="16"/>
      <c r="N80" s="34">
        <f>IF(H80=0,0,L80/H80)</f>
        <v>-12.696234998064094</v>
      </c>
      <c r="O80" s="25"/>
      <c r="P80" s="36">
        <f>+P76-P78</f>
        <v>-24318.2</v>
      </c>
      <c r="Q80" s="13"/>
      <c r="R80" s="34">
        <f>IF(P$12=0,0,P80/P$12)</f>
        <v>0</v>
      </c>
      <c r="S80" s="13"/>
      <c r="T80" s="36">
        <f>+T76-T78</f>
        <v>-20571.460000000003</v>
      </c>
      <c r="U80" s="13"/>
      <c r="V80" s="34">
        <f>IF(T$12=0,0,T80/T$12)</f>
        <v>-0.17940938123244193</v>
      </c>
      <c r="W80" s="16"/>
      <c r="X80" s="36">
        <f>P80-T80</f>
        <v>-3746.739999999998</v>
      </c>
      <c r="Y80" s="16"/>
      <c r="Z80" s="34">
        <f>IF(T80=0,0,X80/T80)</f>
        <v>0.18213291618582236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5</v>
      </c>
      <c r="C83" s="26"/>
      <c r="D83" s="30">
        <f>SUM(D80:D82)</f>
        <v>-7250.7300000000005</v>
      </c>
      <c r="E83" s="13"/>
      <c r="F83" s="31">
        <f>IF(D$12=0,0,D83/D$12)</f>
        <v>0</v>
      </c>
      <c r="G83" s="13"/>
      <c r="H83" s="30">
        <f>SUM(H80:H82)</f>
        <v>619.92000000000917</v>
      </c>
      <c r="I83" s="13"/>
      <c r="J83" s="31">
        <f>IF(H$12=0,0,H83/H$12)</f>
        <v>8.2897142260360459E-3</v>
      </c>
      <c r="K83" s="16"/>
      <c r="L83" s="30">
        <f>+D83-H83</f>
        <v>-7870.6500000000096</v>
      </c>
      <c r="M83" s="16"/>
      <c r="N83" s="31">
        <f>IF(H83=0,0,L83/H83)</f>
        <v>-12.696234998064094</v>
      </c>
      <c r="O83" s="25"/>
      <c r="P83" s="30">
        <f>SUM(P80:P82)</f>
        <v>-24318.2</v>
      </c>
      <c r="Q83" s="13"/>
      <c r="R83" s="31">
        <f>IF(P$12=0,0,P83/P$12)</f>
        <v>0</v>
      </c>
      <c r="S83" s="13"/>
      <c r="T83" s="30">
        <f>SUM(T80:T82)</f>
        <v>-20571.460000000003</v>
      </c>
      <c r="U83" s="13"/>
      <c r="V83" s="31">
        <f>IF(T$12=0,0,T83/T$12)</f>
        <v>-0.17940938123244193</v>
      </c>
      <c r="W83" s="16"/>
      <c r="X83" s="30">
        <f>+P83-T83</f>
        <v>-3746.739999999998</v>
      </c>
      <c r="Y83" s="16"/>
      <c r="Z83" s="31">
        <f>IF(T83=0,0,X83/T83)</f>
        <v>0.18213291618582236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1">
        <v>44113.696692129626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6" t="s">
        <v>313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8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","423", " - ", "Contract Revenue")</f>
        <v>Department 423 - Contract Revenue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25">
      <c r="A14" s="10"/>
      <c r="B14" s="25" t="s">
        <v>8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-805.48</v>
      </c>
      <c r="I14" s="4"/>
      <c r="J14" s="12">
        <f t="shared" ref="J14:J15" si="1">IF(H$12=0,0,H14/H$12)</f>
        <v>0</v>
      </c>
      <c r="K14" s="4"/>
      <c r="L14" s="4">
        <f t="shared" ref="L14:L15" si="2">+D14-H14</f>
        <v>805.48</v>
      </c>
      <c r="M14" s="4"/>
      <c r="N14" s="12">
        <f t="shared" ref="N14:N15" si="3">IF(H14=0,0,L14/H14)</f>
        <v>-1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-805.48</v>
      </c>
      <c r="U14" s="4"/>
      <c r="V14" s="12">
        <f t="shared" ref="V14:V15" si="5">IF(T$12=0,0,T14/T$12)</f>
        <v>0</v>
      </c>
      <c r="W14" s="4"/>
      <c r="X14" s="4">
        <f t="shared" ref="X14:X15" si="6">+P14-T14</f>
        <v>805.48</v>
      </c>
      <c r="Y14" s="4"/>
      <c r="Z14" s="12">
        <f t="shared" ref="Z14:Z15" si="7">IF(T14=0,0,X14/T14)</f>
        <v>-1</v>
      </c>
    </row>
    <row r="15" spans="1:26" s="24" customFormat="1" hidden="1" outlineLevel="1" x14ac:dyDescent="0.25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>
        <v>-805.48</v>
      </c>
      <c r="I15" s="2"/>
      <c r="J15" s="19">
        <f t="shared" si="1"/>
        <v>0</v>
      </c>
      <c r="K15" s="2"/>
      <c r="L15" s="2">
        <f t="shared" si="2"/>
        <v>805.48</v>
      </c>
      <c r="M15" s="2"/>
      <c r="N15" s="19">
        <f t="shared" si="3"/>
        <v>-1</v>
      </c>
      <c r="O15" s="11"/>
      <c r="P15" s="2"/>
      <c r="Q15" s="2"/>
      <c r="R15" s="19">
        <f t="shared" si="4"/>
        <v>0</v>
      </c>
      <c r="S15" s="2"/>
      <c r="T15" s="2">
        <v>-805.48</v>
      </c>
      <c r="U15" s="2"/>
      <c r="V15" s="19">
        <f t="shared" si="5"/>
        <v>0</v>
      </c>
      <c r="W15" s="2"/>
      <c r="X15" s="2">
        <f t="shared" si="6"/>
        <v>805.48</v>
      </c>
      <c r="Y15" s="2"/>
      <c r="Z15" s="19">
        <f t="shared" si="7"/>
        <v>-1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2">
        <f>D12-D14</f>
        <v>0</v>
      </c>
      <c r="E17" s="13"/>
      <c r="F17" s="21">
        <f>IF(D$12=0,0,D17/D$12)</f>
        <v>0</v>
      </c>
      <c r="G17" s="13"/>
      <c r="H17" s="22">
        <f>H12-H14</f>
        <v>805.48</v>
      </c>
      <c r="I17" s="13"/>
      <c r="J17" s="21">
        <f>IF(H$12=0,0,H17/H$12)</f>
        <v>0</v>
      </c>
      <c r="K17" s="16"/>
      <c r="L17" s="22">
        <f>+D17-H17</f>
        <v>-805.48</v>
      </c>
      <c r="M17" s="16"/>
      <c r="N17" s="21">
        <f>IF(H17=0,0,L17/H17)</f>
        <v>-1</v>
      </c>
      <c r="O17" s="25"/>
      <c r="P17" s="22">
        <f>P12-P14</f>
        <v>0</v>
      </c>
      <c r="Q17" s="13"/>
      <c r="R17" s="21">
        <f>IF(P$12=0,0,P17/P$12)</f>
        <v>0</v>
      </c>
      <c r="S17" s="13"/>
      <c r="T17" s="22">
        <f>T12-T14</f>
        <v>805.48</v>
      </c>
      <c r="U17" s="13"/>
      <c r="V17" s="21">
        <f>IF(T$12=0,0,T17/T$12)</f>
        <v>0</v>
      </c>
      <c r="W17" s="16"/>
      <c r="X17" s="22">
        <f>+P17-T17</f>
        <v>-805.48</v>
      </c>
      <c r="Y17" s="16"/>
      <c r="Z17" s="21">
        <f>IF(T17=0,0,X17/T17)</f>
        <v>-1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0">
        <f>SUM(OSRRefD22x_0)</f>
        <v>36</v>
      </c>
      <c r="E19" s="20"/>
      <c r="F19" s="35">
        <f t="shared" ref="F19:F28" si="8">IF(D$12=0,0,D19/D$12)</f>
        <v>0</v>
      </c>
      <c r="G19" s="20"/>
      <c r="H19" s="20">
        <f>SUM(OSRRefH22x_0)</f>
        <v>4202.49</v>
      </c>
      <c r="I19" s="20"/>
      <c r="J19" s="35">
        <f t="shared" ref="J19:J28" si="9">IF(H$12=0,0,H19/H$12)</f>
        <v>0</v>
      </c>
      <c r="K19" s="4"/>
      <c r="L19" s="20">
        <f t="shared" ref="L19:L28" si="10">+D19-H19</f>
        <v>-4166.49</v>
      </c>
      <c r="M19" s="4"/>
      <c r="N19" s="35">
        <f t="shared" ref="N19:N28" si="11">IF(H19=0,0,L19/H19)</f>
        <v>-0.99143365005032735</v>
      </c>
      <c r="O19" s="10"/>
      <c r="P19" s="20">
        <f>SUM(OSRRefP22x_0)</f>
        <v>2494.4299999999998</v>
      </c>
      <c r="Q19" s="20"/>
      <c r="R19" s="35">
        <f t="shared" ref="R19:R28" si="12">IF(P$12=0,0,P19/P$12)</f>
        <v>0</v>
      </c>
      <c r="S19" s="20"/>
      <c r="T19" s="20">
        <f>SUM(OSRRefT22x_0)</f>
        <v>26589.519999999997</v>
      </c>
      <c r="U19" s="20"/>
      <c r="V19" s="35">
        <f t="shared" ref="V19:V28" si="13">IF(T$12=0,0,T19/T$12)</f>
        <v>0</v>
      </c>
      <c r="W19" s="4"/>
      <c r="X19" s="20">
        <f t="shared" ref="X19:X28" si="14">+P19-T19</f>
        <v>-24095.089999999997</v>
      </c>
      <c r="Y19" s="4"/>
      <c r="Z19" s="35">
        <f t="shared" ref="Z19:Z28" si="15">IF(T19=0,0,X19/T19)</f>
        <v>-0.90618747536623445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2796.26</v>
      </c>
      <c r="I20" s="1"/>
      <c r="J20" s="5">
        <f t="shared" si="9"/>
        <v>0</v>
      </c>
      <c r="K20" s="1"/>
      <c r="L20" s="1">
        <f t="shared" si="10"/>
        <v>-2796.26</v>
      </c>
      <c r="M20" s="1"/>
      <c r="N20" s="5">
        <f t="shared" si="11"/>
        <v>-1</v>
      </c>
      <c r="O20" s="14"/>
      <c r="P20" s="1">
        <f>SUM(OSRRefP22_0x_0)</f>
        <v>2478.73</v>
      </c>
      <c r="Q20" s="1"/>
      <c r="R20" s="5">
        <f t="shared" si="12"/>
        <v>0</v>
      </c>
      <c r="S20" s="1"/>
      <c r="T20" s="1">
        <f>SUM(OSRRefT22_0x_0)</f>
        <v>7414.0499999999993</v>
      </c>
      <c r="U20" s="1"/>
      <c r="V20" s="5">
        <f t="shared" si="13"/>
        <v>0</v>
      </c>
      <c r="W20" s="1"/>
      <c r="X20" s="1">
        <f t="shared" si="14"/>
        <v>-4935.32</v>
      </c>
      <c r="Y20" s="1"/>
      <c r="Z20" s="5">
        <f t="shared" si="15"/>
        <v>-0.66567125929822435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/>
      <c r="E21" s="2"/>
      <c r="F21" s="6">
        <f t="shared" si="8"/>
        <v>0</v>
      </c>
      <c r="G21" s="2"/>
      <c r="H21" s="7">
        <v>349.92</v>
      </c>
      <c r="I21" s="2"/>
      <c r="J21" s="6">
        <f t="shared" si="9"/>
        <v>0</v>
      </c>
      <c r="K21" s="2"/>
      <c r="L21" s="7">
        <f t="shared" si="10"/>
        <v>-349.92</v>
      </c>
      <c r="M21" s="2"/>
      <c r="N21" s="6">
        <f t="shared" si="11"/>
        <v>-1</v>
      </c>
      <c r="O21" s="11"/>
      <c r="P21" s="7"/>
      <c r="Q21" s="2"/>
      <c r="R21" s="6">
        <f t="shared" si="12"/>
        <v>0</v>
      </c>
      <c r="S21" s="2"/>
      <c r="T21" s="7">
        <v>699.84</v>
      </c>
      <c r="U21" s="2"/>
      <c r="V21" s="6">
        <f t="shared" si="13"/>
        <v>0</v>
      </c>
      <c r="W21" s="2"/>
      <c r="X21" s="7">
        <f t="shared" si="14"/>
        <v>-699.84</v>
      </c>
      <c r="Y21" s="2"/>
      <c r="Z21" s="6">
        <f t="shared" si="15"/>
        <v>-1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/>
      <c r="E22" s="2"/>
      <c r="F22" s="6">
        <f t="shared" si="8"/>
        <v>0</v>
      </c>
      <c r="G22" s="2"/>
      <c r="H22" s="7">
        <v>177.47</v>
      </c>
      <c r="I22" s="2"/>
      <c r="J22" s="6">
        <f t="shared" si="9"/>
        <v>0</v>
      </c>
      <c r="K22" s="2"/>
      <c r="L22" s="7">
        <f t="shared" si="10"/>
        <v>-177.47</v>
      </c>
      <c r="M22" s="2"/>
      <c r="N22" s="6">
        <f t="shared" si="11"/>
        <v>-1</v>
      </c>
      <c r="O22" s="11"/>
      <c r="P22" s="7"/>
      <c r="Q22" s="2"/>
      <c r="R22" s="6">
        <f t="shared" si="12"/>
        <v>0</v>
      </c>
      <c r="S22" s="2"/>
      <c r="T22" s="7">
        <v>354.94</v>
      </c>
      <c r="U22" s="2"/>
      <c r="V22" s="6">
        <f t="shared" si="13"/>
        <v>0</v>
      </c>
      <c r="W22" s="2"/>
      <c r="X22" s="7">
        <f t="shared" si="14"/>
        <v>-354.94</v>
      </c>
      <c r="Y22" s="2"/>
      <c r="Z22" s="6">
        <f t="shared" si="15"/>
        <v>-1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/>
      <c r="E23" s="2"/>
      <c r="F23" s="6">
        <f t="shared" si="8"/>
        <v>0</v>
      </c>
      <c r="G23" s="2"/>
      <c r="H23" s="7">
        <v>1011.43</v>
      </c>
      <c r="I23" s="2"/>
      <c r="J23" s="6">
        <f t="shared" si="9"/>
        <v>0</v>
      </c>
      <c r="K23" s="2"/>
      <c r="L23" s="7">
        <f t="shared" si="10"/>
        <v>-1011.43</v>
      </c>
      <c r="M23" s="2"/>
      <c r="N23" s="6">
        <f t="shared" si="11"/>
        <v>-1</v>
      </c>
      <c r="O23" s="11"/>
      <c r="P23" s="7">
        <v>1868.2</v>
      </c>
      <c r="Q23" s="2"/>
      <c r="R23" s="6">
        <f t="shared" si="12"/>
        <v>0</v>
      </c>
      <c r="S23" s="2"/>
      <c r="T23" s="7">
        <v>2022.86</v>
      </c>
      <c r="U23" s="2"/>
      <c r="V23" s="6">
        <f t="shared" si="13"/>
        <v>0</v>
      </c>
      <c r="W23" s="2"/>
      <c r="X23" s="7">
        <f t="shared" si="14"/>
        <v>-154.65999999999985</v>
      </c>
      <c r="Y23" s="2"/>
      <c r="Z23" s="6">
        <f t="shared" si="15"/>
        <v>-7.6456106700414195E-2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/>
      <c r="E24" s="2"/>
      <c r="F24" s="6">
        <f t="shared" si="8"/>
        <v>0</v>
      </c>
      <c r="G24" s="2"/>
      <c r="H24" s="7">
        <v>11.89</v>
      </c>
      <c r="I24" s="2"/>
      <c r="J24" s="6">
        <f t="shared" si="9"/>
        <v>0</v>
      </c>
      <c r="K24" s="2"/>
      <c r="L24" s="7">
        <f t="shared" si="10"/>
        <v>-11.89</v>
      </c>
      <c r="M24" s="2"/>
      <c r="N24" s="6">
        <f t="shared" si="11"/>
        <v>-1</v>
      </c>
      <c r="O24" s="11"/>
      <c r="P24" s="7"/>
      <c r="Q24" s="2"/>
      <c r="R24" s="6">
        <f t="shared" si="12"/>
        <v>0</v>
      </c>
      <c r="S24" s="2"/>
      <c r="T24" s="7">
        <v>23.78</v>
      </c>
      <c r="U24" s="2"/>
      <c r="V24" s="6">
        <f t="shared" si="13"/>
        <v>0</v>
      </c>
      <c r="W24" s="2"/>
      <c r="X24" s="7">
        <f t="shared" si="14"/>
        <v>-23.78</v>
      </c>
      <c r="Y24" s="2"/>
      <c r="Z24" s="6">
        <f t="shared" si="15"/>
        <v>-1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/>
      <c r="E25" s="2"/>
      <c r="F25" s="6">
        <f t="shared" si="8"/>
        <v>0</v>
      </c>
      <c r="G25" s="2"/>
      <c r="H25" s="7">
        <v>467.52</v>
      </c>
      <c r="I25" s="2"/>
      <c r="J25" s="6">
        <f t="shared" si="9"/>
        <v>0</v>
      </c>
      <c r="K25" s="2"/>
      <c r="L25" s="7">
        <f t="shared" si="10"/>
        <v>-467.52</v>
      </c>
      <c r="M25" s="2"/>
      <c r="N25" s="6">
        <f t="shared" si="11"/>
        <v>-1</v>
      </c>
      <c r="O25" s="11"/>
      <c r="P25" s="7">
        <v>610.53</v>
      </c>
      <c r="Q25" s="2"/>
      <c r="R25" s="6">
        <f t="shared" si="12"/>
        <v>0</v>
      </c>
      <c r="S25" s="2"/>
      <c r="T25" s="7">
        <v>935.04</v>
      </c>
      <c r="U25" s="2"/>
      <c r="V25" s="6">
        <f t="shared" si="13"/>
        <v>0</v>
      </c>
      <c r="W25" s="2"/>
      <c r="X25" s="7">
        <f t="shared" si="14"/>
        <v>-324.51</v>
      </c>
      <c r="Y25" s="2"/>
      <c r="Z25" s="6">
        <f t="shared" si="15"/>
        <v>-0.34705467145790553</v>
      </c>
    </row>
    <row r="26" spans="1:26" s="24" customFormat="1" hidden="1" outlineLevel="2" x14ac:dyDescent="0.25">
      <c r="A26" s="29"/>
      <c r="B26" s="11" t="str">
        <f>CONCATENATE("          ", "6118", " - ", "VACATION")</f>
        <v xml:space="preserve">          6118 - VACATION</v>
      </c>
      <c r="C26" s="11"/>
      <c r="D26" s="7"/>
      <c r="E26" s="2"/>
      <c r="F26" s="6">
        <f t="shared" si="8"/>
        <v>0</v>
      </c>
      <c r="G26" s="2"/>
      <c r="H26" s="7">
        <v>422.53</v>
      </c>
      <c r="I26" s="2"/>
      <c r="J26" s="6">
        <f t="shared" si="9"/>
        <v>0</v>
      </c>
      <c r="K26" s="2"/>
      <c r="L26" s="7">
        <f t="shared" si="10"/>
        <v>-422.53</v>
      </c>
      <c r="M26" s="2"/>
      <c r="N26" s="6">
        <f t="shared" si="11"/>
        <v>-1</v>
      </c>
      <c r="O26" s="11"/>
      <c r="P26" s="7"/>
      <c r="Q26" s="2"/>
      <c r="R26" s="6">
        <f t="shared" si="12"/>
        <v>0</v>
      </c>
      <c r="S26" s="2"/>
      <c r="T26" s="7">
        <v>1178.25</v>
      </c>
      <c r="U26" s="2"/>
      <c r="V26" s="6">
        <f t="shared" si="13"/>
        <v>0</v>
      </c>
      <c r="W26" s="2"/>
      <c r="X26" s="7">
        <f t="shared" si="14"/>
        <v>-1178.25</v>
      </c>
      <c r="Y26" s="2"/>
      <c r="Z26" s="6">
        <f t="shared" si="15"/>
        <v>-1</v>
      </c>
    </row>
    <row r="27" spans="1:26" s="24" customFormat="1" hidden="1" outlineLevel="2" x14ac:dyDescent="0.25">
      <c r="A27" s="29"/>
      <c r="B27" s="11" t="str">
        <f>CONCATENATE("          ", "6119", " - ", "SICK LEAVE")</f>
        <v xml:space="preserve">          6119 - SICK LEAVE</v>
      </c>
      <c r="C27" s="11"/>
      <c r="D27" s="7"/>
      <c r="E27" s="2"/>
      <c r="F27" s="6">
        <f t="shared" si="8"/>
        <v>0</v>
      </c>
      <c r="G27" s="2"/>
      <c r="H27" s="7">
        <v>210.98</v>
      </c>
      <c r="I27" s="2"/>
      <c r="J27" s="6">
        <f t="shared" si="9"/>
        <v>0</v>
      </c>
      <c r="K27" s="2"/>
      <c r="L27" s="7">
        <f t="shared" si="10"/>
        <v>-210.98</v>
      </c>
      <c r="M27" s="2"/>
      <c r="N27" s="6">
        <f t="shared" si="11"/>
        <v>-1</v>
      </c>
      <c r="O27" s="11"/>
      <c r="P27" s="7"/>
      <c r="Q27" s="2"/>
      <c r="R27" s="6">
        <f t="shared" si="12"/>
        <v>0</v>
      </c>
      <c r="S27" s="2"/>
      <c r="T27" s="7">
        <v>1913.32</v>
      </c>
      <c r="U27" s="2"/>
      <c r="V27" s="6">
        <f t="shared" si="13"/>
        <v>0</v>
      </c>
      <c r="W27" s="2"/>
      <c r="X27" s="7">
        <f t="shared" si="14"/>
        <v>-1913.32</v>
      </c>
      <c r="Y27" s="2"/>
      <c r="Z27" s="6">
        <f t="shared" si="15"/>
        <v>-1</v>
      </c>
    </row>
    <row r="28" spans="1:26" s="24" customFormat="1" hidden="1" outlineLevel="2" x14ac:dyDescent="0.25">
      <c r="A28" s="29"/>
      <c r="B28" s="11" t="str">
        <f>CONCATENATE("          ", "6156", " - ", "EMPLOYEE MEALS")</f>
        <v xml:space="preserve">          6156 - EMPLOYEE MEALS</v>
      </c>
      <c r="C28" s="11"/>
      <c r="D28" s="7"/>
      <c r="E28" s="2"/>
      <c r="F28" s="6">
        <f t="shared" si="8"/>
        <v>0</v>
      </c>
      <c r="G28" s="2"/>
      <c r="H28" s="7">
        <v>144.52000000000001</v>
      </c>
      <c r="I28" s="2"/>
      <c r="J28" s="6">
        <f t="shared" si="9"/>
        <v>0</v>
      </c>
      <c r="K28" s="2"/>
      <c r="L28" s="7">
        <f t="shared" si="10"/>
        <v>-144.52000000000001</v>
      </c>
      <c r="M28" s="2"/>
      <c r="N28" s="6">
        <f t="shared" si="11"/>
        <v>-1</v>
      </c>
      <c r="O28" s="11"/>
      <c r="P28" s="7"/>
      <c r="Q28" s="2"/>
      <c r="R28" s="6">
        <f t="shared" si="12"/>
        <v>0</v>
      </c>
      <c r="S28" s="2"/>
      <c r="T28" s="7">
        <v>286.02</v>
      </c>
      <c r="U28" s="2"/>
      <c r="V28" s="6">
        <f t="shared" si="13"/>
        <v>0</v>
      </c>
      <c r="W28" s="2"/>
      <c r="X28" s="7">
        <f t="shared" si="14"/>
        <v>-286.02</v>
      </c>
      <c r="Y28" s="2"/>
      <c r="Z28" s="6">
        <f t="shared" si="15"/>
        <v>-1</v>
      </c>
    </row>
    <row r="29" spans="1:26" s="28" customFormat="1" outlineLevel="1" collapsed="1" x14ac:dyDescent="0.25">
      <c r="A29" s="27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0</v>
      </c>
      <c r="E29" s="1"/>
      <c r="F29" s="5">
        <f t="shared" ref="F29:F38" si="16">IF(D$12=0,0,D29/D$12)</f>
        <v>0</v>
      </c>
      <c r="G29" s="1"/>
      <c r="H29" s="1">
        <f>SUM(OSRRefH22_1x_0)</f>
        <v>3430.58</v>
      </c>
      <c r="I29" s="1"/>
      <c r="J29" s="5">
        <f t="shared" ref="J29:J38" si="17">IF(H$12=0,0,H29/H$12)</f>
        <v>0</v>
      </c>
      <c r="K29" s="1"/>
      <c r="L29" s="1">
        <f t="shared" ref="L29:L38" si="18">+D29-H29</f>
        <v>-3430.58</v>
      </c>
      <c r="M29" s="1"/>
      <c r="N29" s="5">
        <f t="shared" ref="N29:N38" si="19">IF(H29=0,0,L29/H29)</f>
        <v>-1</v>
      </c>
      <c r="O29" s="14"/>
      <c r="P29" s="1">
        <f>SUM(OSRRefP22_1x_0)</f>
        <v>0</v>
      </c>
      <c r="Q29" s="1"/>
      <c r="R29" s="5">
        <f t="shared" ref="R29:R38" si="20">IF(P$12=0,0,P29/P$12)</f>
        <v>0</v>
      </c>
      <c r="S29" s="1"/>
      <c r="T29" s="1">
        <f>SUM(OSRRefT22_1x_0)</f>
        <v>9147.68</v>
      </c>
      <c r="U29" s="1"/>
      <c r="V29" s="5">
        <f t="shared" ref="V29:V38" si="21">IF(T$12=0,0,T29/T$12)</f>
        <v>0</v>
      </c>
      <c r="W29" s="1"/>
      <c r="X29" s="1">
        <f t="shared" ref="X29:X38" si="22">+P29-T29</f>
        <v>-9147.68</v>
      </c>
      <c r="Y29" s="1"/>
      <c r="Z29" s="5">
        <f t="shared" ref="Z29:Z38" si="23">IF(T29=0,0,X29/T29)</f>
        <v>-1</v>
      </c>
    </row>
    <row r="30" spans="1:26" s="24" customFormat="1" hidden="1" outlineLevel="2" x14ac:dyDescent="0.25">
      <c r="A30" s="29"/>
      <c r="B30" s="11" t="str">
        <f>CONCATENATE("          ", "6001", " - ", "ADMINISTRATIVE SALARIES")</f>
        <v xml:space="preserve">          6001 - ADMINISTRATIVE SALARIES</v>
      </c>
      <c r="C30" s="11"/>
      <c r="D30" s="7"/>
      <c r="E30" s="2"/>
      <c r="F30" s="6">
        <f t="shared" si="16"/>
        <v>0</v>
      </c>
      <c r="G30" s="2"/>
      <c r="H30" s="7">
        <v>3430.58</v>
      </c>
      <c r="I30" s="2"/>
      <c r="J30" s="6">
        <f t="shared" si="17"/>
        <v>0</v>
      </c>
      <c r="K30" s="2"/>
      <c r="L30" s="7">
        <f t="shared" si="18"/>
        <v>-3430.58</v>
      </c>
      <c r="M30" s="2"/>
      <c r="N30" s="6">
        <f t="shared" si="19"/>
        <v>-1</v>
      </c>
      <c r="O30" s="11"/>
      <c r="P30" s="7"/>
      <c r="Q30" s="2"/>
      <c r="R30" s="6">
        <f t="shared" si="20"/>
        <v>0</v>
      </c>
      <c r="S30" s="2"/>
      <c r="T30" s="7">
        <v>9147.68</v>
      </c>
      <c r="U30" s="2"/>
      <c r="V30" s="6">
        <f t="shared" si="21"/>
        <v>0</v>
      </c>
      <c r="W30" s="2"/>
      <c r="X30" s="7">
        <f t="shared" si="22"/>
        <v>-9147.68</v>
      </c>
      <c r="Y30" s="2"/>
      <c r="Z30" s="6">
        <f t="shared" si="23"/>
        <v>-1</v>
      </c>
    </row>
    <row r="31" spans="1:26" s="28" customFormat="1" outlineLevel="1" collapsed="1" x14ac:dyDescent="0.25">
      <c r="A31" s="27"/>
      <c r="B31" s="14" t="str">
        <f>CONCATENATE("     ","General                                           ")</f>
        <v xml:space="preserve">     General                                           </v>
      </c>
      <c r="C31" s="14"/>
      <c r="D31" s="1">
        <f>SUM(OSRRefD22_2x_0)</f>
        <v>0</v>
      </c>
      <c r="E31" s="1"/>
      <c r="F31" s="5">
        <f t="shared" si="16"/>
        <v>0</v>
      </c>
      <c r="G31" s="1"/>
      <c r="H31" s="1">
        <f>SUM(OSRRefH22_2x_0)</f>
        <v>0</v>
      </c>
      <c r="I31" s="1"/>
      <c r="J31" s="5">
        <f t="shared" si="17"/>
        <v>0</v>
      </c>
      <c r="K31" s="1"/>
      <c r="L31" s="1">
        <f t="shared" si="18"/>
        <v>0</v>
      </c>
      <c r="M31" s="1"/>
      <c r="N31" s="5">
        <f t="shared" si="19"/>
        <v>0</v>
      </c>
      <c r="O31" s="14"/>
      <c r="P31" s="1">
        <f>SUM(OSRRefP22_2x_0)</f>
        <v>0</v>
      </c>
      <c r="Q31" s="1"/>
      <c r="R31" s="5">
        <f t="shared" si="20"/>
        <v>0</v>
      </c>
      <c r="S31" s="1"/>
      <c r="T31" s="1">
        <f>SUM(OSRRefT22_2x_0)</f>
        <v>2443.65</v>
      </c>
      <c r="U31" s="1"/>
      <c r="V31" s="5">
        <f t="shared" si="21"/>
        <v>0</v>
      </c>
      <c r="W31" s="1"/>
      <c r="X31" s="1">
        <f t="shared" si="22"/>
        <v>-2443.65</v>
      </c>
      <c r="Y31" s="1"/>
      <c r="Z31" s="5">
        <f t="shared" si="23"/>
        <v>-1</v>
      </c>
    </row>
    <row r="32" spans="1:26" s="24" customFormat="1" hidden="1" outlineLevel="2" x14ac:dyDescent="0.25">
      <c r="A32" s="29"/>
      <c r="B32" s="11" t="str">
        <f>CONCATENATE("          ", "6279", " - ", "GENERAL EXPENSE")</f>
        <v xml:space="preserve">          6279 - GENERAL EXPENSE</v>
      </c>
      <c r="C32" s="11"/>
      <c r="D32" s="7"/>
      <c r="E32" s="2"/>
      <c r="F32" s="6">
        <f t="shared" si="16"/>
        <v>0</v>
      </c>
      <c r="G32" s="2"/>
      <c r="H32" s="7"/>
      <c r="I32" s="2"/>
      <c r="J32" s="6">
        <f t="shared" si="17"/>
        <v>0</v>
      </c>
      <c r="K32" s="2"/>
      <c r="L32" s="7">
        <f t="shared" si="18"/>
        <v>0</v>
      </c>
      <c r="M32" s="2"/>
      <c r="N32" s="6">
        <f t="shared" si="19"/>
        <v>0</v>
      </c>
      <c r="O32" s="11"/>
      <c r="P32" s="7"/>
      <c r="Q32" s="2"/>
      <c r="R32" s="6">
        <f t="shared" si="20"/>
        <v>0</v>
      </c>
      <c r="S32" s="2"/>
      <c r="T32" s="7">
        <v>2443.65</v>
      </c>
      <c r="U32" s="2"/>
      <c r="V32" s="6">
        <f t="shared" si="21"/>
        <v>0</v>
      </c>
      <c r="W32" s="2"/>
      <c r="X32" s="7">
        <f t="shared" si="22"/>
        <v>-2443.65</v>
      </c>
      <c r="Y32" s="2"/>
      <c r="Z32" s="6">
        <f t="shared" si="23"/>
        <v>-1</v>
      </c>
    </row>
    <row r="33" spans="1:26" s="28" customFormat="1" outlineLevel="1" collapsed="1" x14ac:dyDescent="0.25">
      <c r="A33" s="27"/>
      <c r="B33" s="14" t="str">
        <f>CONCATENATE("     ","Royalty &amp; Commissions                             ")</f>
        <v xml:space="preserve">     Royalty &amp; Commissions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0</v>
      </c>
      <c r="I33" s="1"/>
      <c r="J33" s="5">
        <f t="shared" si="17"/>
        <v>0</v>
      </c>
      <c r="K33" s="1"/>
      <c r="L33" s="1">
        <f t="shared" si="18"/>
        <v>0</v>
      </c>
      <c r="M33" s="1"/>
      <c r="N33" s="5">
        <f t="shared" si="19"/>
        <v>0</v>
      </c>
      <c r="O33" s="14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7344.9</v>
      </c>
      <c r="U33" s="1"/>
      <c r="V33" s="5">
        <f t="shared" si="21"/>
        <v>0</v>
      </c>
      <c r="W33" s="1"/>
      <c r="X33" s="1">
        <f t="shared" si="22"/>
        <v>-7344.9</v>
      </c>
      <c r="Y33" s="1"/>
      <c r="Z33" s="5">
        <f t="shared" si="23"/>
        <v>-1</v>
      </c>
    </row>
    <row r="34" spans="1:26" s="24" customFormat="1" hidden="1" outlineLevel="2" x14ac:dyDescent="0.25">
      <c r="A34" s="29"/>
      <c r="B34" s="11" t="str">
        <f>CONCATENATE("          ", "6254", " - ", "ROYALTY &amp; COMMISSIONS")</f>
        <v xml:space="preserve">          6254 - ROYALTY &amp; COMMISSIONS</v>
      </c>
      <c r="C34" s="11"/>
      <c r="D34" s="7"/>
      <c r="E34" s="2"/>
      <c r="F34" s="6">
        <f t="shared" si="16"/>
        <v>0</v>
      </c>
      <c r="G34" s="2"/>
      <c r="H34" s="7"/>
      <c r="I34" s="2"/>
      <c r="J34" s="6">
        <f t="shared" si="17"/>
        <v>0</v>
      </c>
      <c r="K34" s="2"/>
      <c r="L34" s="7">
        <f t="shared" si="18"/>
        <v>0</v>
      </c>
      <c r="M34" s="2"/>
      <c r="N34" s="6">
        <f t="shared" si="19"/>
        <v>0</v>
      </c>
      <c r="O34" s="11"/>
      <c r="P34" s="7"/>
      <c r="Q34" s="2"/>
      <c r="R34" s="6">
        <f t="shared" si="20"/>
        <v>0</v>
      </c>
      <c r="S34" s="2"/>
      <c r="T34" s="7">
        <v>7344.9</v>
      </c>
      <c r="U34" s="2"/>
      <c r="V34" s="6">
        <f t="shared" si="21"/>
        <v>0</v>
      </c>
      <c r="W34" s="2"/>
      <c r="X34" s="7">
        <f t="shared" si="22"/>
        <v>-7344.9</v>
      </c>
      <c r="Y34" s="2"/>
      <c r="Z34" s="6">
        <f t="shared" si="23"/>
        <v>-1</v>
      </c>
    </row>
    <row r="35" spans="1:26" s="28" customFormat="1" outlineLevel="1" collapsed="1" x14ac:dyDescent="0.25">
      <c r="A35" s="27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SUM(OSRRefD22_4x_0)</f>
        <v>0</v>
      </c>
      <c r="E35" s="1"/>
      <c r="F35" s="5">
        <f t="shared" si="16"/>
        <v>0</v>
      </c>
      <c r="G35" s="1"/>
      <c r="H35" s="1">
        <f>SUM(OSRRefH22_4x_0)</f>
        <v>-2111.3000000000002</v>
      </c>
      <c r="I35" s="1"/>
      <c r="J35" s="5">
        <f t="shared" si="17"/>
        <v>0</v>
      </c>
      <c r="K35" s="1"/>
      <c r="L35" s="1">
        <f t="shared" si="18"/>
        <v>2111.3000000000002</v>
      </c>
      <c r="M35" s="1"/>
      <c r="N35" s="5">
        <f t="shared" si="19"/>
        <v>-1</v>
      </c>
      <c r="O35" s="14"/>
      <c r="P35" s="1">
        <f>SUM(OSRRefP22_4x_0)</f>
        <v>-56.3</v>
      </c>
      <c r="Q35" s="1"/>
      <c r="R35" s="5">
        <f t="shared" si="20"/>
        <v>0</v>
      </c>
      <c r="S35" s="1"/>
      <c r="T35" s="1">
        <f>SUM(OSRRefT22_4x_0)</f>
        <v>22.94</v>
      </c>
      <c r="U35" s="1"/>
      <c r="V35" s="5">
        <f t="shared" si="21"/>
        <v>0</v>
      </c>
      <c r="W35" s="1"/>
      <c r="X35" s="1">
        <f t="shared" si="22"/>
        <v>-79.239999999999995</v>
      </c>
      <c r="Y35" s="1"/>
      <c r="Z35" s="5">
        <f t="shared" si="23"/>
        <v>-3.454228421970357</v>
      </c>
    </row>
    <row r="36" spans="1:26" s="24" customFormat="1" hidden="1" outlineLevel="2" x14ac:dyDescent="0.25">
      <c r="A36" s="29"/>
      <c r="B36" s="11" t="str">
        <f>CONCATENATE("          ", "6241", " - ", "OFFICE EXPENSE")</f>
        <v xml:space="preserve">          6241 - OFFICE EXPENSE</v>
      </c>
      <c r="C36" s="11"/>
      <c r="D36" s="7"/>
      <c r="E36" s="2"/>
      <c r="F36" s="6">
        <f t="shared" si="16"/>
        <v>0</v>
      </c>
      <c r="G36" s="2"/>
      <c r="H36" s="7">
        <v>-2111.3000000000002</v>
      </c>
      <c r="I36" s="2"/>
      <c r="J36" s="6">
        <f t="shared" si="17"/>
        <v>0</v>
      </c>
      <c r="K36" s="2"/>
      <c r="L36" s="7">
        <f t="shared" si="18"/>
        <v>2111.3000000000002</v>
      </c>
      <c r="M36" s="2"/>
      <c r="N36" s="6">
        <f t="shared" si="19"/>
        <v>-1</v>
      </c>
      <c r="O36" s="11"/>
      <c r="P36" s="7">
        <v>-56.3</v>
      </c>
      <c r="Q36" s="2"/>
      <c r="R36" s="6">
        <f t="shared" si="20"/>
        <v>0</v>
      </c>
      <c r="S36" s="2"/>
      <c r="T36" s="7">
        <v>22.94</v>
      </c>
      <c r="U36" s="2"/>
      <c r="V36" s="6">
        <f t="shared" si="21"/>
        <v>0</v>
      </c>
      <c r="W36" s="2"/>
      <c r="X36" s="7">
        <f t="shared" si="22"/>
        <v>-79.239999999999995</v>
      </c>
      <c r="Y36" s="2"/>
      <c r="Z36" s="6">
        <f t="shared" si="23"/>
        <v>-3.454228421970357</v>
      </c>
    </row>
    <row r="37" spans="1:26" s="28" customFormat="1" outlineLevel="1" collapsed="1" x14ac:dyDescent="0.25">
      <c r="A37" s="27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SUM(OSRRefD22_5x_0)</f>
        <v>36</v>
      </c>
      <c r="E37" s="1"/>
      <c r="F37" s="5">
        <f t="shared" si="16"/>
        <v>0</v>
      </c>
      <c r="G37" s="1"/>
      <c r="H37" s="1">
        <f>SUM(OSRRefH22_5x_0)</f>
        <v>86.95</v>
      </c>
      <c r="I37" s="1"/>
      <c r="J37" s="5">
        <f t="shared" si="17"/>
        <v>0</v>
      </c>
      <c r="K37" s="1"/>
      <c r="L37" s="1">
        <f t="shared" si="18"/>
        <v>-50.95</v>
      </c>
      <c r="M37" s="1"/>
      <c r="N37" s="5">
        <f t="shared" si="19"/>
        <v>-0.58596894767107532</v>
      </c>
      <c r="O37" s="14"/>
      <c r="P37" s="1">
        <f>SUM(OSRRefP22_5x_0)</f>
        <v>72</v>
      </c>
      <c r="Q37" s="1"/>
      <c r="R37" s="5">
        <f t="shared" si="20"/>
        <v>0</v>
      </c>
      <c r="S37" s="1"/>
      <c r="T37" s="1">
        <f>SUM(OSRRefT22_5x_0)</f>
        <v>216.3</v>
      </c>
      <c r="U37" s="1"/>
      <c r="V37" s="5">
        <f t="shared" si="21"/>
        <v>0</v>
      </c>
      <c r="W37" s="1"/>
      <c r="X37" s="1">
        <f t="shared" si="22"/>
        <v>-144.30000000000001</v>
      </c>
      <c r="Y37" s="1"/>
      <c r="Z37" s="5">
        <f t="shared" si="23"/>
        <v>-0.66712898751733707</v>
      </c>
    </row>
    <row r="38" spans="1:26" s="24" customFormat="1" hidden="1" outlineLevel="2" x14ac:dyDescent="0.25">
      <c r="A38" s="29"/>
      <c r="B38" s="11" t="str">
        <f>CONCATENATE("          ", "6309", " - ", "TELEPHONE")</f>
        <v xml:space="preserve">          6309 - TELEPHONE</v>
      </c>
      <c r="C38" s="11"/>
      <c r="D38" s="7">
        <v>36</v>
      </c>
      <c r="E38" s="2"/>
      <c r="F38" s="6">
        <f t="shared" si="16"/>
        <v>0</v>
      </c>
      <c r="G38" s="2"/>
      <c r="H38" s="7">
        <v>86.95</v>
      </c>
      <c r="I38" s="2"/>
      <c r="J38" s="6">
        <f t="shared" si="17"/>
        <v>0</v>
      </c>
      <c r="K38" s="2"/>
      <c r="L38" s="7">
        <f t="shared" si="18"/>
        <v>-50.95</v>
      </c>
      <c r="M38" s="2"/>
      <c r="N38" s="6">
        <f t="shared" si="19"/>
        <v>-0.58596894767107532</v>
      </c>
      <c r="O38" s="11"/>
      <c r="P38" s="7">
        <v>72</v>
      </c>
      <c r="Q38" s="2"/>
      <c r="R38" s="6">
        <f t="shared" si="20"/>
        <v>0</v>
      </c>
      <c r="S38" s="2"/>
      <c r="T38" s="7">
        <v>216.3</v>
      </c>
      <c r="U38" s="2"/>
      <c r="V38" s="6">
        <f t="shared" si="21"/>
        <v>0</v>
      </c>
      <c r="W38" s="2"/>
      <c r="X38" s="7">
        <f t="shared" si="22"/>
        <v>-144.30000000000001</v>
      </c>
      <c r="Y38" s="2"/>
      <c r="Z38" s="6">
        <f t="shared" si="23"/>
        <v>-0.66712898751733707</v>
      </c>
    </row>
    <row r="39" spans="1:26" s="52" customFormat="1" x14ac:dyDescent="0.25">
      <c r="A39" s="37"/>
      <c r="B39" s="37"/>
      <c r="C39" s="37"/>
      <c r="D39" s="1"/>
      <c r="E39" s="1"/>
      <c r="F39" s="5"/>
      <c r="G39" s="1"/>
      <c r="H39" s="1"/>
      <c r="I39" s="1"/>
      <c r="J39" s="5"/>
      <c r="K39" s="1"/>
      <c r="L39" s="1"/>
      <c r="M39" s="1"/>
      <c r="N39" s="5"/>
      <c r="O39" s="37"/>
      <c r="P39" s="1"/>
      <c r="Q39" s="1"/>
      <c r="R39" s="5"/>
      <c r="S39" s="1"/>
      <c r="T39" s="1"/>
      <c r="U39" s="1"/>
      <c r="V39" s="5"/>
      <c r="W39" s="1"/>
      <c r="X39" s="1"/>
      <c r="Y39" s="1"/>
      <c r="Z39" s="5"/>
    </row>
    <row r="40" spans="1:26" s="23" customFormat="1" collapsed="1" x14ac:dyDescent="0.25">
      <c r="A40" s="10"/>
      <c r="B40" s="25" t="s">
        <v>0</v>
      </c>
      <c r="C40" s="10"/>
      <c r="D40" s="4">
        <f>SUM(OSRRefD25x_0)</f>
        <v>0</v>
      </c>
      <c r="E40" s="4"/>
      <c r="F40" s="12">
        <f t="shared" ref="F40:F41" si="24">IF(D$12=0,0,D40/D$12)</f>
        <v>0</v>
      </c>
      <c r="G40" s="4"/>
      <c r="H40" s="4">
        <f>SUM(OSRRefH25x_0)</f>
        <v>6093.41</v>
      </c>
      <c r="I40" s="4"/>
      <c r="J40" s="12">
        <f t="shared" ref="J40:J41" si="25">IF(H$12=0,0,H40/H$12)</f>
        <v>0</v>
      </c>
      <c r="K40" s="4"/>
      <c r="L40" s="4">
        <f t="shared" ref="L40:L41" si="26">+D40-H40</f>
        <v>-6093.41</v>
      </c>
      <c r="M40" s="4"/>
      <c r="N40" s="12">
        <f t="shared" ref="N40:N41" si="27">IF(H40=0,0,L40/H40)</f>
        <v>-1</v>
      </c>
      <c r="O40" s="10"/>
      <c r="P40" s="4">
        <f>SUM(OSRRefP25x_0)</f>
        <v>0</v>
      </c>
      <c r="Q40" s="4"/>
      <c r="R40" s="12">
        <f t="shared" ref="R40:R41" si="28">IF(P$12=0,0,P40/P$12)</f>
        <v>0</v>
      </c>
      <c r="S40" s="4"/>
      <c r="T40" s="4">
        <f>SUM(OSRRefT25x_0)</f>
        <v>16124.06</v>
      </c>
      <c r="U40" s="4"/>
      <c r="V40" s="12">
        <f t="shared" ref="V40:V41" si="29">IF(T$12=0,0,T40/T$12)</f>
        <v>0</v>
      </c>
      <c r="W40" s="4"/>
      <c r="X40" s="4">
        <f t="shared" ref="X40:X41" si="30">+P40-T40</f>
        <v>-16124.06</v>
      </c>
      <c r="Y40" s="4"/>
      <c r="Z40" s="12">
        <f t="shared" ref="Z40:Z41" si="31">IF(T40=0,0,X40/T40)</f>
        <v>-1</v>
      </c>
    </row>
    <row r="41" spans="1:26" s="24" customFormat="1" hidden="1" outlineLevel="1" x14ac:dyDescent="0.25">
      <c r="A41" s="44"/>
      <c r="B41" s="11" t="str">
        <f>CONCATENATE("          ", "9150", " - ", "MISC. INCOME")</f>
        <v xml:space="preserve">          9150 - MISC. INCOME</v>
      </c>
      <c r="C41" s="11"/>
      <c r="D41" s="2">
        <f>0</f>
        <v>0</v>
      </c>
      <c r="E41" s="2"/>
      <c r="F41" s="19">
        <f t="shared" si="24"/>
        <v>0</v>
      </c>
      <c r="G41" s="2"/>
      <c r="H41" s="2">
        <f>--6093.41</f>
        <v>6093.41</v>
      </c>
      <c r="I41" s="2"/>
      <c r="J41" s="19">
        <f t="shared" si="25"/>
        <v>0</v>
      </c>
      <c r="K41" s="2"/>
      <c r="L41" s="2">
        <f t="shared" si="26"/>
        <v>-6093.41</v>
      </c>
      <c r="M41" s="2"/>
      <c r="N41" s="19">
        <f t="shared" si="27"/>
        <v>-1</v>
      </c>
      <c r="O41" s="11"/>
      <c r="P41" s="2">
        <f>0</f>
        <v>0</v>
      </c>
      <c r="Q41" s="2"/>
      <c r="R41" s="19">
        <f t="shared" si="28"/>
        <v>0</v>
      </c>
      <c r="S41" s="2"/>
      <c r="T41" s="2">
        <f>--16124.06</f>
        <v>16124.06</v>
      </c>
      <c r="U41" s="2"/>
      <c r="V41" s="19">
        <f t="shared" si="29"/>
        <v>0</v>
      </c>
      <c r="W41" s="2"/>
      <c r="X41" s="2">
        <f t="shared" si="30"/>
        <v>-16124.06</v>
      </c>
      <c r="Y41" s="2"/>
      <c r="Z41" s="19">
        <f t="shared" si="31"/>
        <v>-1</v>
      </c>
    </row>
    <row r="42" spans="1:26" x14ac:dyDescent="0.25">
      <c r="A42" s="9"/>
      <c r="B42" s="10"/>
      <c r="C42" s="10"/>
      <c r="D42" s="3"/>
      <c r="E42" s="3"/>
      <c r="F42" s="8"/>
      <c r="G42" s="3"/>
      <c r="H42" s="3"/>
      <c r="I42" s="3"/>
      <c r="J42" s="8"/>
      <c r="K42" s="3"/>
      <c r="L42" s="3"/>
      <c r="M42" s="3"/>
      <c r="N42" s="8"/>
      <c r="O42" s="10"/>
      <c r="P42" s="3"/>
      <c r="Q42" s="3"/>
      <c r="R42" s="8"/>
      <c r="S42" s="3"/>
      <c r="T42" s="3"/>
      <c r="U42" s="3"/>
      <c r="V42" s="8"/>
      <c r="W42" s="3"/>
      <c r="X42" s="3"/>
      <c r="Y42" s="3"/>
      <c r="Z42" s="8"/>
    </row>
    <row r="43" spans="1:26" s="23" customFormat="1" x14ac:dyDescent="0.25">
      <c r="A43" s="10"/>
      <c r="B43" s="26" t="s">
        <v>3</v>
      </c>
      <c r="C43" s="26"/>
      <c r="D43" s="22">
        <f>+D17-D19+D40</f>
        <v>-36</v>
      </c>
      <c r="E43" s="13"/>
      <c r="F43" s="21">
        <f>IF(D$12=0,0,D43/D$12)</f>
        <v>0</v>
      </c>
      <c r="G43" s="13"/>
      <c r="H43" s="22">
        <f>+H17-H19+H40</f>
        <v>2696.4</v>
      </c>
      <c r="I43" s="13"/>
      <c r="J43" s="21">
        <f>IF(H$12=0,0,H43/H$12)</f>
        <v>0</v>
      </c>
      <c r="K43" s="16"/>
      <c r="L43" s="22">
        <f>+D43-H43</f>
        <v>-2732.4</v>
      </c>
      <c r="M43" s="16"/>
      <c r="N43" s="21">
        <f>IF(H43=0,0,L43/H43)</f>
        <v>-1.0133511348464619</v>
      </c>
      <c r="O43" s="25"/>
      <c r="P43" s="22">
        <f>+P17-P19+P40</f>
        <v>-2494.4299999999998</v>
      </c>
      <c r="Q43" s="13"/>
      <c r="R43" s="21">
        <f>IF(P$12=0,0,P43/P$12)</f>
        <v>0</v>
      </c>
      <c r="S43" s="13"/>
      <c r="T43" s="22">
        <f>+T17-T19+T40</f>
        <v>-9659.9799999999977</v>
      </c>
      <c r="U43" s="13"/>
      <c r="V43" s="21">
        <f>IF(T$12=0,0,T43/T$12)</f>
        <v>0</v>
      </c>
      <c r="W43" s="16"/>
      <c r="X43" s="22">
        <f>+P43-T43</f>
        <v>7165.5499999999975</v>
      </c>
      <c r="Y43" s="16"/>
      <c r="Z43" s="21">
        <f>IF(T43=0,0,X43/T43)</f>
        <v>-0.74177689808881586</v>
      </c>
    </row>
    <row r="44" spans="1:26" x14ac:dyDescent="0.25">
      <c r="A44" s="9"/>
      <c r="B44" s="10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25">
      <c r="A45" s="51"/>
      <c r="B45" s="10" t="s">
        <v>13</v>
      </c>
      <c r="C45" s="10"/>
      <c r="D45" s="4"/>
      <c r="E45" s="4"/>
      <c r="F45" s="12">
        <f>IF(D$12=0,0,D45/D$12)</f>
        <v>0</v>
      </c>
      <c r="G45" s="4"/>
      <c r="H45" s="4"/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/>
      <c r="Q45" s="4"/>
      <c r="R45" s="12">
        <f>IF(P$12=0,0,P45/P$12)</f>
        <v>0</v>
      </c>
      <c r="S45" s="4"/>
      <c r="T45" s="4"/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25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ht="15.75" thickBot="1" x14ac:dyDescent="0.3">
      <c r="A47" s="10"/>
      <c r="B47" s="26" t="s">
        <v>4</v>
      </c>
      <c r="C47" s="26"/>
      <c r="D47" s="36">
        <f>+D43-D45</f>
        <v>-36</v>
      </c>
      <c r="E47" s="13"/>
      <c r="F47" s="34">
        <f>IF(D$12=0,0,D47/D$12)</f>
        <v>0</v>
      </c>
      <c r="G47" s="13"/>
      <c r="H47" s="36">
        <f>+H43-H45</f>
        <v>2696.4</v>
      </c>
      <c r="I47" s="13"/>
      <c r="J47" s="34">
        <f>IF(H$12=0,0,H47/H$12)</f>
        <v>0</v>
      </c>
      <c r="K47" s="16"/>
      <c r="L47" s="36">
        <f>D47-H47</f>
        <v>-2732.4</v>
      </c>
      <c r="M47" s="16"/>
      <c r="N47" s="34">
        <f>IF(H47=0,0,L47/H47)</f>
        <v>-1.0133511348464619</v>
      </c>
      <c r="O47" s="25"/>
      <c r="P47" s="36">
        <f>+P43-P45</f>
        <v>-2494.4299999999998</v>
      </c>
      <c r="Q47" s="13"/>
      <c r="R47" s="34">
        <f>IF(P$12=0,0,P47/P$12)</f>
        <v>0</v>
      </c>
      <c r="S47" s="13"/>
      <c r="T47" s="36">
        <f>+T43-T45</f>
        <v>-9659.9799999999977</v>
      </c>
      <c r="U47" s="13"/>
      <c r="V47" s="34">
        <f>IF(T$12=0,0,T47/T$12)</f>
        <v>0</v>
      </c>
      <c r="W47" s="16"/>
      <c r="X47" s="36">
        <f>P47-T47</f>
        <v>7165.5499999999975</v>
      </c>
      <c r="Y47" s="16"/>
      <c r="Z47" s="34">
        <f>IF(T47=0,0,X47/T47)</f>
        <v>-0.74177689808881586</v>
      </c>
    </row>
    <row r="48" spans="1:26" ht="15.75" thickTop="1" x14ac:dyDescent="0.25">
      <c r="A48" s="9"/>
      <c r="B48" s="9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.75" thickBot="1" x14ac:dyDescent="0.3">
      <c r="A50" s="10"/>
      <c r="B50" s="26" t="s">
        <v>5</v>
      </c>
      <c r="C50" s="26"/>
      <c r="D50" s="30">
        <f>SUM(D47:D49)</f>
        <v>-36</v>
      </c>
      <c r="E50" s="13"/>
      <c r="F50" s="31">
        <f>IF(D$12=0,0,D50/D$12)</f>
        <v>0</v>
      </c>
      <c r="G50" s="13"/>
      <c r="H50" s="30">
        <f>SUM(H47:H49)</f>
        <v>2696.4</v>
      </c>
      <c r="I50" s="13"/>
      <c r="J50" s="31">
        <f>IF(H$12=0,0,H50/H$12)</f>
        <v>0</v>
      </c>
      <c r="K50" s="16"/>
      <c r="L50" s="30">
        <f>+D50-H50</f>
        <v>-2732.4</v>
      </c>
      <c r="M50" s="16"/>
      <c r="N50" s="31">
        <f>IF(H50=0,0,L50/H50)</f>
        <v>-1.0133511348464619</v>
      </c>
      <c r="O50" s="25"/>
      <c r="P50" s="30">
        <f>SUM(P47:P49)</f>
        <v>-2494.4299999999998</v>
      </c>
      <c r="Q50" s="13"/>
      <c r="R50" s="31">
        <f>IF(P$12=0,0,P50/P$12)</f>
        <v>0</v>
      </c>
      <c r="S50" s="13"/>
      <c r="T50" s="30">
        <f>SUM(T47:T49)</f>
        <v>-9659.9799999999977</v>
      </c>
      <c r="U50" s="13"/>
      <c r="V50" s="31">
        <f>IF(T$12=0,0,T50/T$12)</f>
        <v>0</v>
      </c>
      <c r="W50" s="16"/>
      <c r="X50" s="30">
        <f>+P50-T50</f>
        <v>7165.5499999999975</v>
      </c>
      <c r="Y50" s="16"/>
      <c r="Z50" s="31">
        <f>IF(T50=0,0,X50/T50)</f>
        <v>-0.74177689808881586</v>
      </c>
    </row>
    <row r="51" spans="1:26" ht="15.75" thickTop="1" x14ac:dyDescent="0.25">
      <c r="A51" s="9"/>
      <c r="C51" s="9"/>
      <c r="D51" s="18"/>
      <c r="E51" s="18"/>
      <c r="G51" s="18"/>
      <c r="H51" s="18"/>
      <c r="I51" s="18"/>
      <c r="J51" s="43"/>
      <c r="K51" s="18"/>
      <c r="L51" s="18"/>
      <c r="M51" s="18"/>
      <c r="P51" s="18"/>
      <c r="Q51" s="18"/>
      <c r="R51" s="43"/>
      <c r="S51" s="18"/>
      <c r="T51" s="18"/>
      <c r="U51" s="18"/>
      <c r="V51" s="43"/>
      <c r="W51" s="18"/>
      <c r="X51" s="18"/>
    </row>
    <row r="52" spans="1:26" x14ac:dyDescent="0.25">
      <c r="A52" s="9"/>
      <c r="B52" s="61">
        <v>44113.696727395836</v>
      </c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56" t="s">
        <v>313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58"/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","424", " - ", "Blair Field")</f>
        <v>Department 424 - Blair Field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19242.8</v>
      </c>
      <c r="I12" s="4"/>
      <c r="J12" s="12"/>
      <c r="K12" s="4"/>
      <c r="L12" s="4">
        <f t="shared" ref="L12:L13" si="0">+D12-H12</f>
        <v>-19242.8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19851.87</v>
      </c>
      <c r="U12" s="4"/>
      <c r="V12" s="12"/>
      <c r="W12" s="4"/>
      <c r="X12" s="4">
        <f t="shared" ref="X12:X13" si="2">+P12-T12</f>
        <v>-19851.87</v>
      </c>
      <c r="Y12" s="4"/>
      <c r="Z12" s="12">
        <f t="shared" ref="Z12:Z13" si="3">IF(T12=0,0,X12/T12)</f>
        <v>-1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0</f>
        <v>0</v>
      </c>
      <c r="E13" s="2"/>
      <c r="F13" s="19"/>
      <c r="G13" s="2"/>
      <c r="H13" s="2">
        <f>--19242.8</f>
        <v>19242.8</v>
      </c>
      <c r="I13" s="2"/>
      <c r="J13" s="19"/>
      <c r="K13" s="2"/>
      <c r="L13" s="2">
        <f t="shared" si="0"/>
        <v>-19242.8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--19851.87</f>
        <v>19851.87</v>
      </c>
      <c r="U13" s="2"/>
      <c r="V13" s="19"/>
      <c r="W13" s="2"/>
      <c r="X13" s="2">
        <f t="shared" si="2"/>
        <v>-19851.87</v>
      </c>
      <c r="Y13" s="2"/>
      <c r="Z13" s="19">
        <f t="shared" si="3"/>
        <v>-1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>
        <f>SUM(OSRRefD16x_0)</f>
        <v>0</v>
      </c>
      <c r="E15" s="4"/>
      <c r="F15" s="12">
        <f t="shared" ref="F15:F17" si="4">IF(D$12=0,0,D15/D$12)</f>
        <v>0</v>
      </c>
      <c r="G15" s="4"/>
      <c r="H15" s="4">
        <f>SUM(OSRRefH16x_0)</f>
        <v>4810.8900000000003</v>
      </c>
      <c r="I15" s="4"/>
      <c r="J15" s="12">
        <f t="shared" ref="J15:J17" si="5">IF(H$12=0,0,H15/H$12)</f>
        <v>0.25000987382293638</v>
      </c>
      <c r="K15" s="4"/>
      <c r="L15" s="4">
        <f t="shared" ref="L15:L17" si="6">+D15-H15</f>
        <v>-4810.8900000000003</v>
      </c>
      <c r="M15" s="4"/>
      <c r="N15" s="12">
        <f t="shared" ref="N15:N17" si="7">IF(H15=0,0,L15/H15)</f>
        <v>-1</v>
      </c>
      <c r="O15" s="10"/>
      <c r="P15" s="4">
        <f>SUM(OSRRefP16x_0)</f>
        <v>0</v>
      </c>
      <c r="Q15" s="4"/>
      <c r="R15" s="12">
        <f t="shared" ref="R15:R17" si="8">IF(P$12=0,0,P15/P$12)</f>
        <v>0</v>
      </c>
      <c r="S15" s="4"/>
      <c r="T15" s="4">
        <f>SUM(OSRRefT16x_0)</f>
        <v>4810.79</v>
      </c>
      <c r="U15" s="4"/>
      <c r="V15" s="12">
        <f t="shared" ref="V15:V17" si="9">IF(T$12=0,0,T15/T$12)</f>
        <v>0.24233434935852391</v>
      </c>
      <c r="W15" s="4"/>
      <c r="X15" s="4">
        <f t="shared" ref="X15:X17" si="10">+P15-T15</f>
        <v>-4810.79</v>
      </c>
      <c r="Y15" s="4"/>
      <c r="Z15" s="12">
        <f t="shared" ref="Z15:Z17" si="11">IF(T15=0,0,X15/T15)</f>
        <v>-1</v>
      </c>
    </row>
    <row r="16" spans="1:26" s="24" customFormat="1" hidden="1" outlineLevel="1" x14ac:dyDescent="0.25">
      <c r="A16" s="44"/>
      <c r="B16" s="11" t="str">
        <f>CONCATENATE("          ", "5053", " - ", "PURCHASES @ COST-FOOD")</f>
        <v xml:space="preserve">          5053 - PURCHASES @ COST-FOOD</v>
      </c>
      <c r="C16" s="11"/>
      <c r="D16" s="2"/>
      <c r="E16" s="2"/>
      <c r="F16" s="19">
        <f t="shared" si="4"/>
        <v>0</v>
      </c>
      <c r="G16" s="2"/>
      <c r="H16" s="2">
        <v>513.89</v>
      </c>
      <c r="I16" s="2"/>
      <c r="J16" s="19">
        <f t="shared" si="5"/>
        <v>2.6705572993535244E-2</v>
      </c>
      <c r="K16" s="2"/>
      <c r="L16" s="2">
        <f t="shared" si="6"/>
        <v>-513.89</v>
      </c>
      <c r="M16" s="2"/>
      <c r="N16" s="19">
        <f t="shared" si="7"/>
        <v>-1</v>
      </c>
      <c r="O16" s="11"/>
      <c r="P16" s="2"/>
      <c r="Q16" s="2"/>
      <c r="R16" s="19">
        <f t="shared" si="8"/>
        <v>0</v>
      </c>
      <c r="S16" s="2"/>
      <c r="T16" s="2">
        <v>6367.79</v>
      </c>
      <c r="U16" s="2"/>
      <c r="V16" s="19">
        <f t="shared" si="9"/>
        <v>0.32076524780788912</v>
      </c>
      <c r="W16" s="2"/>
      <c r="X16" s="2">
        <f t="shared" si="10"/>
        <v>-6367.79</v>
      </c>
      <c r="Y16" s="2"/>
      <c r="Z16" s="19">
        <f t="shared" si="11"/>
        <v>-1</v>
      </c>
    </row>
    <row r="17" spans="1:26" s="24" customFormat="1" hidden="1" outlineLevel="1" x14ac:dyDescent="0.25">
      <c r="A17" s="44"/>
      <c r="B17" s="11" t="str">
        <f>CONCATENATE("          ", "5059", " - ", "PURCHASES @ COST-FOOD")</f>
        <v xml:space="preserve">          5059 - PURCHASES @ COST-FOOD</v>
      </c>
      <c r="C17" s="11"/>
      <c r="D17" s="2"/>
      <c r="E17" s="2"/>
      <c r="F17" s="19">
        <f t="shared" si="4"/>
        <v>0</v>
      </c>
      <c r="G17" s="2"/>
      <c r="H17" s="2">
        <v>4297</v>
      </c>
      <c r="I17" s="2"/>
      <c r="J17" s="19">
        <f t="shared" si="5"/>
        <v>0.22330430082940114</v>
      </c>
      <c r="K17" s="2"/>
      <c r="L17" s="2">
        <f t="shared" si="6"/>
        <v>-4297</v>
      </c>
      <c r="M17" s="2"/>
      <c r="N17" s="19">
        <f t="shared" si="7"/>
        <v>-1</v>
      </c>
      <c r="O17" s="11"/>
      <c r="P17" s="2"/>
      <c r="Q17" s="2"/>
      <c r="R17" s="19">
        <f t="shared" si="8"/>
        <v>0</v>
      </c>
      <c r="S17" s="2"/>
      <c r="T17" s="2">
        <v>-1557</v>
      </c>
      <c r="U17" s="2"/>
      <c r="V17" s="19">
        <f t="shared" si="9"/>
        <v>-7.8430898449365224E-2</v>
      </c>
      <c r="W17" s="2"/>
      <c r="X17" s="2">
        <f t="shared" si="10"/>
        <v>1557</v>
      </c>
      <c r="Y17" s="2"/>
      <c r="Z17" s="19">
        <f t="shared" si="11"/>
        <v>-1</v>
      </c>
    </row>
    <row r="18" spans="1:26" x14ac:dyDescent="0.25">
      <c r="A18" s="9"/>
      <c r="B18" s="10"/>
      <c r="C18" s="10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O18" s="10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x14ac:dyDescent="0.25">
      <c r="A19" s="10"/>
      <c r="B19" s="26" t="s">
        <v>6</v>
      </c>
      <c r="C19" s="26"/>
      <c r="D19" s="22">
        <f>D12-D15</f>
        <v>0</v>
      </c>
      <c r="E19" s="13"/>
      <c r="F19" s="21">
        <f>IF(D$12=0,0,D19/D$12)</f>
        <v>0</v>
      </c>
      <c r="G19" s="13"/>
      <c r="H19" s="22">
        <f>H12-H15</f>
        <v>14431.91</v>
      </c>
      <c r="I19" s="13"/>
      <c r="J19" s="21">
        <f>IF(H$12=0,0,H19/H$12)</f>
        <v>0.74999012617706362</v>
      </c>
      <c r="K19" s="16"/>
      <c r="L19" s="22">
        <f>+D19-H19</f>
        <v>-14431.91</v>
      </c>
      <c r="M19" s="16"/>
      <c r="N19" s="21">
        <f>IF(H19=0,0,L19/H19)</f>
        <v>-1</v>
      </c>
      <c r="O19" s="25"/>
      <c r="P19" s="22">
        <f>P12-P15</f>
        <v>0</v>
      </c>
      <c r="Q19" s="13"/>
      <c r="R19" s="21">
        <f>IF(P$12=0,0,P19/P$12)</f>
        <v>0</v>
      </c>
      <c r="S19" s="13"/>
      <c r="T19" s="22">
        <f>T12-T15</f>
        <v>15041.079999999998</v>
      </c>
      <c r="U19" s="13"/>
      <c r="V19" s="21">
        <f>IF(T$12=0,0,T19/T$12)</f>
        <v>0.75766565064147606</v>
      </c>
      <c r="W19" s="16"/>
      <c r="X19" s="22">
        <f>+P19-T19</f>
        <v>-15041.079999999998</v>
      </c>
      <c r="Y19" s="16"/>
      <c r="Z19" s="21">
        <f>IF(T19=0,0,X19/T19)</f>
        <v>-1</v>
      </c>
    </row>
    <row r="20" spans="1:26" x14ac:dyDescent="0.25">
      <c r="A20" s="9"/>
      <c r="B20" s="10"/>
      <c r="C20" s="9"/>
      <c r="D20" s="1"/>
      <c r="E20" s="1"/>
      <c r="F20" s="5"/>
      <c r="G20" s="1"/>
      <c r="H20" s="1"/>
      <c r="I20" s="1"/>
      <c r="J20" s="5"/>
      <c r="K20" s="1"/>
      <c r="L20" s="1"/>
      <c r="M20" s="1"/>
      <c r="N20" s="5"/>
      <c r="O20" s="37"/>
      <c r="P20" s="1"/>
      <c r="Q20" s="1"/>
      <c r="R20" s="5"/>
      <c r="S20" s="1"/>
      <c r="T20" s="1"/>
      <c r="U20" s="1"/>
      <c r="V20" s="5"/>
      <c r="W20" s="1"/>
      <c r="X20" s="1"/>
      <c r="Y20" s="1"/>
      <c r="Z20" s="5"/>
    </row>
    <row r="21" spans="1:26" s="23" customFormat="1" x14ac:dyDescent="0.25">
      <c r="A21" s="10"/>
      <c r="B21" s="25" t="s">
        <v>9</v>
      </c>
      <c r="C21" s="10"/>
      <c r="D21" s="20">
        <f>SUM(OSRRefD22x_0)</f>
        <v>771.89</v>
      </c>
      <c r="E21" s="20"/>
      <c r="F21" s="35">
        <f t="shared" ref="F21:F28" si="12">IF(D$12=0,0,D21/D$12)</f>
        <v>0</v>
      </c>
      <c r="G21" s="20"/>
      <c r="H21" s="20">
        <f>SUM(OSRRefH22x_0)</f>
        <v>9191.7200000000012</v>
      </c>
      <c r="I21" s="20"/>
      <c r="J21" s="35">
        <f t="shared" ref="J21:J28" si="13">IF(H$12=0,0,H21/H$12)</f>
        <v>0.47767060926684274</v>
      </c>
      <c r="K21" s="4"/>
      <c r="L21" s="20">
        <f t="shared" ref="L21:L28" si="14">+D21-H21</f>
        <v>-8419.8300000000017</v>
      </c>
      <c r="M21" s="4"/>
      <c r="N21" s="35">
        <f t="shared" ref="N21:N28" si="15">IF(H21=0,0,L21/H21)</f>
        <v>-0.91602333404411806</v>
      </c>
      <c r="O21" s="10"/>
      <c r="P21" s="20">
        <f>SUM(OSRRefP22x_0)</f>
        <v>1984.74</v>
      </c>
      <c r="Q21" s="20"/>
      <c r="R21" s="35">
        <f t="shared" ref="R21:R28" si="16">IF(P$12=0,0,P21/P$12)</f>
        <v>0</v>
      </c>
      <c r="S21" s="20"/>
      <c r="T21" s="20">
        <f>SUM(OSRRefT22x_0)</f>
        <v>11917.560000000001</v>
      </c>
      <c r="U21" s="20"/>
      <c r="V21" s="35">
        <f t="shared" ref="V21:V28" si="17">IF(T$12=0,0,T21/T$12)</f>
        <v>0.60032430194233599</v>
      </c>
      <c r="W21" s="4"/>
      <c r="X21" s="20">
        <f t="shared" ref="X21:X28" si="18">+P21-T21</f>
        <v>-9932.8200000000015</v>
      </c>
      <c r="Y21" s="4"/>
      <c r="Z21" s="35">
        <f t="shared" ref="Z21:Z28" si="19">IF(T21=0,0,X21/T21)</f>
        <v>-0.83346087621962883</v>
      </c>
    </row>
    <row r="22" spans="1:26" s="28" customFormat="1" outlineLevel="1" collapsed="1" x14ac:dyDescent="0.25">
      <c r="A22" s="27"/>
      <c r="B22" s="14" t="str">
        <f>CONCATENATE("     ","*Benefits                                         ")</f>
        <v xml:space="preserve">     *Benefits                                         </v>
      </c>
      <c r="C22" s="14"/>
      <c r="D22" s="1">
        <f>SUM(OSRRefD22_0x_0)</f>
        <v>0</v>
      </c>
      <c r="E22" s="1"/>
      <c r="F22" s="5">
        <f t="shared" si="12"/>
        <v>0</v>
      </c>
      <c r="G22" s="1"/>
      <c r="H22" s="1">
        <f>SUM(OSRRefH22_0x_0)</f>
        <v>323.69</v>
      </c>
      <c r="I22" s="1"/>
      <c r="J22" s="5">
        <f t="shared" si="13"/>
        <v>1.6821356559336479E-2</v>
      </c>
      <c r="K22" s="1"/>
      <c r="L22" s="1">
        <f t="shared" si="14"/>
        <v>-323.69</v>
      </c>
      <c r="M22" s="1"/>
      <c r="N22" s="5">
        <f t="shared" si="15"/>
        <v>-1</v>
      </c>
      <c r="O22" s="14"/>
      <c r="P22" s="1">
        <f>SUM(OSRRefP22_0x_0)</f>
        <v>0</v>
      </c>
      <c r="Q22" s="1"/>
      <c r="R22" s="5">
        <f t="shared" si="16"/>
        <v>0</v>
      </c>
      <c r="S22" s="1"/>
      <c r="T22" s="1">
        <f>SUM(OSRRefT22_0x_0)</f>
        <v>323.69</v>
      </c>
      <c r="U22" s="1"/>
      <c r="V22" s="5">
        <f t="shared" si="17"/>
        <v>1.6305264944813765E-2</v>
      </c>
      <c r="W22" s="1"/>
      <c r="X22" s="1">
        <f t="shared" si="18"/>
        <v>-323.69</v>
      </c>
      <c r="Y22" s="1"/>
      <c r="Z22" s="5">
        <f t="shared" si="19"/>
        <v>-1</v>
      </c>
    </row>
    <row r="23" spans="1:26" s="24" customFormat="1" hidden="1" outlineLevel="2" x14ac:dyDescent="0.25">
      <c r="A23" s="29"/>
      <c r="B23" s="11" t="str">
        <f>CONCATENATE("          ", "6111", " - ", "F.I.C.A.")</f>
        <v xml:space="preserve">          6111 - F.I.C.A.</v>
      </c>
      <c r="C23" s="11"/>
      <c r="D23" s="7"/>
      <c r="E23" s="2"/>
      <c r="F23" s="6">
        <f t="shared" si="12"/>
        <v>0</v>
      </c>
      <c r="G23" s="2"/>
      <c r="H23" s="7">
        <v>323.69</v>
      </c>
      <c r="I23" s="2"/>
      <c r="J23" s="6">
        <f t="shared" si="13"/>
        <v>1.6821356559336479E-2</v>
      </c>
      <c r="K23" s="2"/>
      <c r="L23" s="7">
        <f t="shared" si="14"/>
        <v>-323.69</v>
      </c>
      <c r="M23" s="2"/>
      <c r="N23" s="6">
        <f t="shared" si="15"/>
        <v>-1</v>
      </c>
      <c r="O23" s="11"/>
      <c r="P23" s="7"/>
      <c r="Q23" s="2"/>
      <c r="R23" s="6">
        <f t="shared" si="16"/>
        <v>0</v>
      </c>
      <c r="S23" s="2"/>
      <c r="T23" s="7">
        <v>323.69</v>
      </c>
      <c r="U23" s="2"/>
      <c r="V23" s="6">
        <f t="shared" si="17"/>
        <v>1.6305264944813765E-2</v>
      </c>
      <c r="W23" s="2"/>
      <c r="X23" s="7">
        <f t="shared" si="18"/>
        <v>-323.69</v>
      </c>
      <c r="Y23" s="2"/>
      <c r="Z23" s="6">
        <f t="shared" si="19"/>
        <v>-1</v>
      </c>
    </row>
    <row r="24" spans="1:26" s="28" customFormat="1" outlineLevel="1" collapsed="1" x14ac:dyDescent="0.25">
      <c r="A24" s="27"/>
      <c r="B24" s="14" t="str">
        <f>CONCATENATE("     ","*Payroll                                          ")</f>
        <v xml:space="preserve">     *Payroll                                          </v>
      </c>
      <c r="C24" s="14"/>
      <c r="D24" s="1">
        <f>SUM(OSRRefD22_1x_0)</f>
        <v>0</v>
      </c>
      <c r="E24" s="1"/>
      <c r="F24" s="5">
        <f t="shared" si="12"/>
        <v>0</v>
      </c>
      <c r="G24" s="1"/>
      <c r="H24" s="1">
        <f>SUM(OSRRefH22_1x_0)</f>
        <v>3977.18</v>
      </c>
      <c r="I24" s="1"/>
      <c r="J24" s="5">
        <f t="shared" si="13"/>
        <v>0.20668405845303178</v>
      </c>
      <c r="K24" s="1"/>
      <c r="L24" s="1">
        <f t="shared" si="14"/>
        <v>-3977.18</v>
      </c>
      <c r="M24" s="1"/>
      <c r="N24" s="5">
        <f t="shared" si="15"/>
        <v>-1</v>
      </c>
      <c r="O24" s="14"/>
      <c r="P24" s="1">
        <f>SUM(OSRRefP22_1x_0)</f>
        <v>0</v>
      </c>
      <c r="Q24" s="1"/>
      <c r="R24" s="5">
        <f t="shared" si="16"/>
        <v>0</v>
      </c>
      <c r="S24" s="1"/>
      <c r="T24" s="1">
        <f>SUM(OSRRefT22_1x_0)</f>
        <v>4864.18</v>
      </c>
      <c r="U24" s="1"/>
      <c r="V24" s="5">
        <f t="shared" si="17"/>
        <v>0.24502376854170416</v>
      </c>
      <c r="W24" s="1"/>
      <c r="X24" s="1">
        <f t="shared" si="18"/>
        <v>-4864.18</v>
      </c>
      <c r="Y24" s="1"/>
      <c r="Z24" s="5">
        <f t="shared" si="19"/>
        <v>-1</v>
      </c>
    </row>
    <row r="25" spans="1:26" s="24" customFormat="1" hidden="1" outlineLevel="2" x14ac:dyDescent="0.25">
      <c r="A25" s="29"/>
      <c r="B25" s="11" t="str">
        <f>CONCATENATE("          ", "6005", " - ", "TEMPORARY WAGES-HOURLY")</f>
        <v xml:space="preserve">          6005 - TEMPORARY WAGES-HOURLY</v>
      </c>
      <c r="C25" s="11"/>
      <c r="D25" s="7"/>
      <c r="E25" s="2"/>
      <c r="F25" s="6">
        <f t="shared" si="12"/>
        <v>0</v>
      </c>
      <c r="G25" s="2"/>
      <c r="H25" s="7">
        <v>1896.99</v>
      </c>
      <c r="I25" s="2"/>
      <c r="J25" s="6">
        <f t="shared" si="13"/>
        <v>9.8581807221402293E-2</v>
      </c>
      <c r="K25" s="2"/>
      <c r="L25" s="7">
        <f t="shared" si="14"/>
        <v>-1896.99</v>
      </c>
      <c r="M25" s="2"/>
      <c r="N25" s="6">
        <f t="shared" si="15"/>
        <v>-1</v>
      </c>
      <c r="O25" s="11"/>
      <c r="P25" s="7"/>
      <c r="Q25" s="2"/>
      <c r="R25" s="6">
        <f t="shared" si="16"/>
        <v>0</v>
      </c>
      <c r="S25" s="2"/>
      <c r="T25" s="7">
        <v>1896.99</v>
      </c>
      <c r="U25" s="2"/>
      <c r="V25" s="6">
        <f t="shared" si="17"/>
        <v>9.5557244733115831E-2</v>
      </c>
      <c r="W25" s="2"/>
      <c r="X25" s="7">
        <f t="shared" si="18"/>
        <v>-1896.99</v>
      </c>
      <c r="Y25" s="2"/>
      <c r="Z25" s="6">
        <f t="shared" si="19"/>
        <v>-1</v>
      </c>
    </row>
    <row r="26" spans="1:26" s="24" customFormat="1" hidden="1" outlineLevel="2" x14ac:dyDescent="0.25">
      <c r="A26" s="29"/>
      <c r="B26" s="11" t="str">
        <f>CONCATENATE("          ", "6006", " - ", "TEMPORARY PART TIME")</f>
        <v xml:space="preserve">          6006 - TEMPORARY PART TIME</v>
      </c>
      <c r="C26" s="11"/>
      <c r="D26" s="7"/>
      <c r="E26" s="2"/>
      <c r="F26" s="6">
        <f t="shared" si="12"/>
        <v>0</v>
      </c>
      <c r="G26" s="2"/>
      <c r="H26" s="7">
        <v>247.5</v>
      </c>
      <c r="I26" s="2"/>
      <c r="J26" s="6">
        <f t="shared" si="13"/>
        <v>1.2861953561851706E-2</v>
      </c>
      <c r="K26" s="2"/>
      <c r="L26" s="7">
        <f t="shared" si="14"/>
        <v>-247.5</v>
      </c>
      <c r="M26" s="2"/>
      <c r="N26" s="6">
        <f t="shared" si="15"/>
        <v>-1</v>
      </c>
      <c r="O26" s="11"/>
      <c r="P26" s="7"/>
      <c r="Q26" s="2"/>
      <c r="R26" s="6">
        <f t="shared" si="16"/>
        <v>0</v>
      </c>
      <c r="S26" s="2"/>
      <c r="T26" s="7">
        <v>247.5</v>
      </c>
      <c r="U26" s="2"/>
      <c r="V26" s="6">
        <f t="shared" si="17"/>
        <v>1.2467339348887536E-2</v>
      </c>
      <c r="W26" s="2"/>
      <c r="X26" s="7">
        <f t="shared" si="18"/>
        <v>-247.5</v>
      </c>
      <c r="Y26" s="2"/>
      <c r="Z26" s="6">
        <f t="shared" si="19"/>
        <v>-1</v>
      </c>
    </row>
    <row r="27" spans="1:26" s="24" customFormat="1" hidden="1" outlineLevel="2" x14ac:dyDescent="0.25">
      <c r="A27" s="29"/>
      <c r="B27" s="11" t="str">
        <f>CONCATENATE("          ", "6007", " - ", "STUDENT HOURLY")</f>
        <v xml:space="preserve">          6007 - STUDENT HOURLY</v>
      </c>
      <c r="C27" s="11"/>
      <c r="D27" s="7"/>
      <c r="E27" s="2"/>
      <c r="F27" s="6">
        <f t="shared" si="12"/>
        <v>0</v>
      </c>
      <c r="G27" s="2"/>
      <c r="H27" s="7">
        <v>1199.69</v>
      </c>
      <c r="I27" s="2"/>
      <c r="J27" s="6">
        <f t="shared" si="13"/>
        <v>6.2344877044920706E-2</v>
      </c>
      <c r="K27" s="2"/>
      <c r="L27" s="7">
        <f t="shared" si="14"/>
        <v>-1199.69</v>
      </c>
      <c r="M27" s="2"/>
      <c r="N27" s="6">
        <f t="shared" si="15"/>
        <v>-1</v>
      </c>
      <c r="O27" s="11"/>
      <c r="P27" s="7"/>
      <c r="Q27" s="2"/>
      <c r="R27" s="6">
        <f t="shared" si="16"/>
        <v>0</v>
      </c>
      <c r="S27" s="2"/>
      <c r="T27" s="7">
        <v>2086.69</v>
      </c>
      <c r="U27" s="2"/>
      <c r="V27" s="6">
        <f t="shared" si="17"/>
        <v>0.10511301957951569</v>
      </c>
      <c r="W27" s="2"/>
      <c r="X27" s="7">
        <f t="shared" si="18"/>
        <v>-2086.69</v>
      </c>
      <c r="Y27" s="2"/>
      <c r="Z27" s="6">
        <f t="shared" si="19"/>
        <v>-1</v>
      </c>
    </row>
    <row r="28" spans="1:26" s="24" customFormat="1" hidden="1" outlineLevel="2" x14ac:dyDescent="0.25">
      <c r="A28" s="29"/>
      <c r="B28" s="11" t="str">
        <f>CONCATENATE("          ", "6008", " - ", "STUDENT HOURLY-FICA EXEMPT")</f>
        <v xml:space="preserve">          6008 - STUDENT HOURLY-FICA EXEMPT</v>
      </c>
      <c r="C28" s="11"/>
      <c r="D28" s="7"/>
      <c r="E28" s="2"/>
      <c r="F28" s="6">
        <f t="shared" si="12"/>
        <v>0</v>
      </c>
      <c r="G28" s="2"/>
      <c r="H28" s="7">
        <v>633</v>
      </c>
      <c r="I28" s="2"/>
      <c r="J28" s="6">
        <f t="shared" si="13"/>
        <v>3.2895420624857091E-2</v>
      </c>
      <c r="K28" s="2"/>
      <c r="L28" s="7">
        <f t="shared" si="14"/>
        <v>-633</v>
      </c>
      <c r="M28" s="2"/>
      <c r="N28" s="6">
        <f t="shared" si="15"/>
        <v>-1</v>
      </c>
      <c r="O28" s="11"/>
      <c r="P28" s="7"/>
      <c r="Q28" s="2"/>
      <c r="R28" s="6">
        <f t="shared" si="16"/>
        <v>0</v>
      </c>
      <c r="S28" s="2"/>
      <c r="T28" s="7">
        <v>633</v>
      </c>
      <c r="U28" s="2"/>
      <c r="V28" s="6">
        <f t="shared" si="17"/>
        <v>3.1886164880185093E-2</v>
      </c>
      <c r="W28" s="2"/>
      <c r="X28" s="7">
        <f t="shared" si="18"/>
        <v>-633</v>
      </c>
      <c r="Y28" s="2"/>
      <c r="Z28" s="6">
        <f t="shared" si="19"/>
        <v>-1</v>
      </c>
    </row>
    <row r="29" spans="1:26" s="28" customFormat="1" outlineLevel="1" collapsed="1" x14ac:dyDescent="0.25">
      <c r="A29" s="27"/>
      <c r="B29" s="14" t="str">
        <f>CONCATENATE("     ","Advertising/Promo                                 ")</f>
        <v xml:space="preserve">     Advertising/Promo                                 </v>
      </c>
      <c r="C29" s="14"/>
      <c r="D29" s="1">
        <f>SUM(OSRRefD22_2x_0)</f>
        <v>0</v>
      </c>
      <c r="E29" s="1"/>
      <c r="F29" s="5">
        <f t="shared" ref="F29:F43" si="20">IF(D$12=0,0,D29/D$12)</f>
        <v>0</v>
      </c>
      <c r="G29" s="1"/>
      <c r="H29" s="1">
        <f>SUM(OSRRefH22_2x_0)</f>
        <v>103.95</v>
      </c>
      <c r="I29" s="1"/>
      <c r="J29" s="5">
        <f t="shared" ref="J29:J43" si="21">IF(H$12=0,0,H29/H$12)</f>
        <v>5.4020204959777168E-3</v>
      </c>
      <c r="K29" s="1"/>
      <c r="L29" s="1">
        <f t="shared" ref="L29:L43" si="22">+D29-H29</f>
        <v>-103.95</v>
      </c>
      <c r="M29" s="1"/>
      <c r="N29" s="5">
        <f t="shared" ref="N29:N43" si="23">IF(H29=0,0,L29/H29)</f>
        <v>-1</v>
      </c>
      <c r="O29" s="14"/>
      <c r="P29" s="1">
        <f>SUM(OSRRefP22_2x_0)</f>
        <v>0</v>
      </c>
      <c r="Q29" s="1"/>
      <c r="R29" s="5">
        <f t="shared" ref="R29:R43" si="24">IF(P$12=0,0,P29/P$12)</f>
        <v>0</v>
      </c>
      <c r="S29" s="1"/>
      <c r="T29" s="1">
        <f>SUM(OSRRefT22_2x_0)</f>
        <v>103.95</v>
      </c>
      <c r="U29" s="1"/>
      <c r="V29" s="5">
        <f t="shared" ref="V29:V43" si="25">IF(T$12=0,0,T29/T$12)</f>
        <v>5.2362825265327654E-3</v>
      </c>
      <c r="W29" s="1"/>
      <c r="X29" s="1">
        <f t="shared" ref="X29:X43" si="26">+P29-T29</f>
        <v>-103.95</v>
      </c>
      <c r="Y29" s="1"/>
      <c r="Z29" s="5">
        <f t="shared" ref="Z29:Z43" si="27">IF(T29=0,0,X29/T29)</f>
        <v>-1</v>
      </c>
    </row>
    <row r="30" spans="1:26" s="24" customFormat="1" hidden="1" outlineLevel="2" x14ac:dyDescent="0.25">
      <c r="A30" s="29"/>
      <c r="B30" s="11" t="str">
        <f>CONCATENATE("          ", "6362", " - ", "ADVERTISING EXPENSE")</f>
        <v xml:space="preserve">          6362 - ADVERTISING EXPENSE</v>
      </c>
      <c r="C30" s="11"/>
      <c r="D30" s="7"/>
      <c r="E30" s="2"/>
      <c r="F30" s="6">
        <f t="shared" si="20"/>
        <v>0</v>
      </c>
      <c r="G30" s="2"/>
      <c r="H30" s="7">
        <v>103.95</v>
      </c>
      <c r="I30" s="2"/>
      <c r="J30" s="6">
        <f t="shared" si="21"/>
        <v>5.4020204959777168E-3</v>
      </c>
      <c r="K30" s="2"/>
      <c r="L30" s="7">
        <f t="shared" si="22"/>
        <v>-103.95</v>
      </c>
      <c r="M30" s="2"/>
      <c r="N30" s="6">
        <f t="shared" si="23"/>
        <v>-1</v>
      </c>
      <c r="O30" s="11"/>
      <c r="P30" s="7"/>
      <c r="Q30" s="2"/>
      <c r="R30" s="6">
        <f t="shared" si="24"/>
        <v>0</v>
      </c>
      <c r="S30" s="2"/>
      <c r="T30" s="7">
        <v>103.95</v>
      </c>
      <c r="U30" s="2"/>
      <c r="V30" s="6">
        <f t="shared" si="25"/>
        <v>5.2362825265327654E-3</v>
      </c>
      <c r="W30" s="2"/>
      <c r="X30" s="7">
        <f t="shared" si="26"/>
        <v>-103.95</v>
      </c>
      <c r="Y30" s="2"/>
      <c r="Z30" s="6">
        <f t="shared" si="27"/>
        <v>-1</v>
      </c>
    </row>
    <row r="31" spans="1:26" s="28" customFormat="1" outlineLevel="1" collapsed="1" x14ac:dyDescent="0.25">
      <c r="A31" s="27"/>
      <c r="B31" s="14" t="str">
        <f>CONCATENATE("     ","Bad Debts/Over/Short                              ")</f>
        <v xml:space="preserve">     Bad Debts/Over/Short                              </v>
      </c>
      <c r="C31" s="14"/>
      <c r="D31" s="1">
        <f>SUM(OSRRefD22_3x_0)</f>
        <v>0</v>
      </c>
      <c r="E31" s="1"/>
      <c r="F31" s="5">
        <f t="shared" si="20"/>
        <v>0</v>
      </c>
      <c r="G31" s="1"/>
      <c r="H31" s="1">
        <f>SUM(OSRRefH22_3x_0)</f>
        <v>2.85</v>
      </c>
      <c r="I31" s="1"/>
      <c r="J31" s="5">
        <f t="shared" si="21"/>
        <v>1.4810734404556509E-4</v>
      </c>
      <c r="K31" s="1"/>
      <c r="L31" s="1">
        <f t="shared" si="22"/>
        <v>-2.85</v>
      </c>
      <c r="M31" s="1"/>
      <c r="N31" s="5">
        <f t="shared" si="23"/>
        <v>-1</v>
      </c>
      <c r="O31" s="14"/>
      <c r="P31" s="1">
        <f>SUM(OSRRefP22_3x_0)</f>
        <v>0</v>
      </c>
      <c r="Q31" s="1"/>
      <c r="R31" s="5">
        <f t="shared" si="24"/>
        <v>0</v>
      </c>
      <c r="S31" s="1"/>
      <c r="T31" s="1">
        <f>SUM(OSRRefT22_3x_0)</f>
        <v>1.85</v>
      </c>
      <c r="U31" s="1"/>
      <c r="V31" s="5">
        <f t="shared" si="25"/>
        <v>9.3190213314916939E-5</v>
      </c>
      <c r="W31" s="1"/>
      <c r="X31" s="1">
        <f t="shared" si="26"/>
        <v>-1.85</v>
      </c>
      <c r="Y31" s="1"/>
      <c r="Z31" s="5">
        <f t="shared" si="27"/>
        <v>-1</v>
      </c>
    </row>
    <row r="32" spans="1:26" s="24" customFormat="1" hidden="1" outlineLevel="2" x14ac:dyDescent="0.25">
      <c r="A32" s="29"/>
      <c r="B32" s="11" t="str">
        <f>CONCATENATE("          ", "6272", " - ", "CASH (OVER/SHORT)")</f>
        <v xml:space="preserve">          6272 - CASH (OVER/SHORT)</v>
      </c>
      <c r="C32" s="11"/>
      <c r="D32" s="7"/>
      <c r="E32" s="2"/>
      <c r="F32" s="6">
        <f t="shared" si="20"/>
        <v>0</v>
      </c>
      <c r="G32" s="2"/>
      <c r="H32" s="7">
        <v>2.85</v>
      </c>
      <c r="I32" s="2"/>
      <c r="J32" s="6">
        <f t="shared" si="21"/>
        <v>1.4810734404556509E-4</v>
      </c>
      <c r="K32" s="2"/>
      <c r="L32" s="7">
        <f t="shared" si="22"/>
        <v>-2.85</v>
      </c>
      <c r="M32" s="2"/>
      <c r="N32" s="6">
        <f t="shared" si="23"/>
        <v>-1</v>
      </c>
      <c r="O32" s="11"/>
      <c r="P32" s="7"/>
      <c r="Q32" s="2"/>
      <c r="R32" s="6">
        <f t="shared" si="24"/>
        <v>0</v>
      </c>
      <c r="S32" s="2"/>
      <c r="T32" s="7">
        <v>1.85</v>
      </c>
      <c r="U32" s="2"/>
      <c r="V32" s="6">
        <f t="shared" si="25"/>
        <v>9.3190213314916939E-5</v>
      </c>
      <c r="W32" s="2"/>
      <c r="X32" s="7">
        <f t="shared" si="26"/>
        <v>-1.85</v>
      </c>
      <c r="Y32" s="2"/>
      <c r="Z32" s="6">
        <f t="shared" si="27"/>
        <v>-1</v>
      </c>
    </row>
    <row r="33" spans="1:26" s="28" customFormat="1" outlineLevel="1" collapsed="1" x14ac:dyDescent="0.25">
      <c r="A33" s="27"/>
      <c r="B33" s="14" t="str">
        <f>CONCATENATE("     ","Bank/card Fees                                    ")</f>
        <v xml:space="preserve">     Bank/card Fees                                    </v>
      </c>
      <c r="C33" s="14"/>
      <c r="D33" s="1">
        <f>SUM(OSRRefD22_4x_0)</f>
        <v>0</v>
      </c>
      <c r="E33" s="1"/>
      <c r="F33" s="5">
        <f t="shared" si="20"/>
        <v>0</v>
      </c>
      <c r="G33" s="1"/>
      <c r="H33" s="1">
        <f>SUM(OSRRefH22_4x_0)</f>
        <v>333.47</v>
      </c>
      <c r="I33" s="1"/>
      <c r="J33" s="5">
        <f t="shared" si="21"/>
        <v>1.7329598603113894E-2</v>
      </c>
      <c r="K33" s="1"/>
      <c r="L33" s="1">
        <f t="shared" si="22"/>
        <v>-333.47</v>
      </c>
      <c r="M33" s="1"/>
      <c r="N33" s="5">
        <f t="shared" si="23"/>
        <v>-1</v>
      </c>
      <c r="O33" s="14"/>
      <c r="P33" s="1">
        <f>SUM(OSRRefP22_4x_0)</f>
        <v>0</v>
      </c>
      <c r="Q33" s="1"/>
      <c r="R33" s="5">
        <f t="shared" si="24"/>
        <v>0</v>
      </c>
      <c r="S33" s="1"/>
      <c r="T33" s="1">
        <f>SUM(OSRRefT22_4x_0)</f>
        <v>333.47</v>
      </c>
      <c r="U33" s="1"/>
      <c r="V33" s="5">
        <f t="shared" si="25"/>
        <v>1.6797913748175866E-2</v>
      </c>
      <c r="W33" s="1"/>
      <c r="X33" s="1">
        <f t="shared" si="26"/>
        <v>-333.47</v>
      </c>
      <c r="Y33" s="1"/>
      <c r="Z33" s="5">
        <f t="shared" si="27"/>
        <v>-1</v>
      </c>
    </row>
    <row r="34" spans="1:26" s="24" customFormat="1" hidden="1" outlineLevel="2" x14ac:dyDescent="0.25">
      <c r="A34" s="29"/>
      <c r="B34" s="11" t="str">
        <f>CONCATENATE("          ", "6381", " - ", "BANK/CREDIT CARD FEES")</f>
        <v xml:space="preserve">          6381 - BANK/CREDIT CARD FEES</v>
      </c>
      <c r="C34" s="11"/>
      <c r="D34" s="7"/>
      <c r="E34" s="2"/>
      <c r="F34" s="6">
        <f t="shared" si="20"/>
        <v>0</v>
      </c>
      <c r="G34" s="2"/>
      <c r="H34" s="7">
        <v>333.47</v>
      </c>
      <c r="I34" s="2"/>
      <c r="J34" s="6">
        <f t="shared" si="21"/>
        <v>1.7329598603113894E-2</v>
      </c>
      <c r="K34" s="2"/>
      <c r="L34" s="7">
        <f t="shared" si="22"/>
        <v>-333.47</v>
      </c>
      <c r="M34" s="2"/>
      <c r="N34" s="6">
        <f t="shared" si="23"/>
        <v>-1</v>
      </c>
      <c r="O34" s="11"/>
      <c r="P34" s="7"/>
      <c r="Q34" s="2"/>
      <c r="R34" s="6">
        <f t="shared" si="24"/>
        <v>0</v>
      </c>
      <c r="S34" s="2"/>
      <c r="T34" s="7">
        <v>333.47</v>
      </c>
      <c r="U34" s="2"/>
      <c r="V34" s="6">
        <f t="shared" si="25"/>
        <v>1.6797913748175866E-2</v>
      </c>
      <c r="W34" s="2"/>
      <c r="X34" s="7">
        <f t="shared" si="26"/>
        <v>-333.47</v>
      </c>
      <c r="Y34" s="2"/>
      <c r="Z34" s="6">
        <f t="shared" si="27"/>
        <v>-1</v>
      </c>
    </row>
    <row r="35" spans="1:26" s="28" customFormat="1" outlineLevel="1" collapsed="1" x14ac:dyDescent="0.25">
      <c r="A35" s="27"/>
      <c r="B35" s="14" t="str">
        <f>CONCATENATE("     ","Depreciation                                      ")</f>
        <v xml:space="preserve">     Depreciation                                      </v>
      </c>
      <c r="C35" s="14"/>
      <c r="D35" s="1">
        <f>SUM(OSRRefD22_5x_0)</f>
        <v>479.29</v>
      </c>
      <c r="E35" s="1"/>
      <c r="F35" s="5">
        <f t="shared" si="20"/>
        <v>0</v>
      </c>
      <c r="G35" s="1"/>
      <c r="H35" s="1">
        <f>SUM(OSRRefH22_5x_0)</f>
        <v>0</v>
      </c>
      <c r="I35" s="1"/>
      <c r="J35" s="5">
        <f t="shared" si="21"/>
        <v>0</v>
      </c>
      <c r="K35" s="1"/>
      <c r="L35" s="1">
        <f t="shared" si="22"/>
        <v>479.29</v>
      </c>
      <c r="M35" s="1"/>
      <c r="N35" s="5">
        <f t="shared" si="23"/>
        <v>0</v>
      </c>
      <c r="O35" s="14"/>
      <c r="P35" s="1">
        <f>SUM(OSRRefP22_5x_0)</f>
        <v>958.58</v>
      </c>
      <c r="Q35" s="1"/>
      <c r="R35" s="5">
        <f t="shared" si="24"/>
        <v>0</v>
      </c>
      <c r="S35" s="1"/>
      <c r="T35" s="1">
        <f>SUM(OSRRefT22_5x_0)</f>
        <v>0</v>
      </c>
      <c r="U35" s="1"/>
      <c r="V35" s="5">
        <f t="shared" si="25"/>
        <v>0</v>
      </c>
      <c r="W35" s="1"/>
      <c r="X35" s="1">
        <f t="shared" si="26"/>
        <v>958.58</v>
      </c>
      <c r="Y35" s="1"/>
      <c r="Z35" s="5">
        <f t="shared" si="27"/>
        <v>0</v>
      </c>
    </row>
    <row r="36" spans="1:26" s="24" customFormat="1" hidden="1" outlineLevel="2" x14ac:dyDescent="0.25">
      <c r="A36" s="29"/>
      <c r="B36" s="11" t="str">
        <f>CONCATENATE("          ", "6322", " - ", "EQUIPMENT DEPRECIATION EXPENSE")</f>
        <v xml:space="preserve">          6322 - EQUIPMENT DEPRECIATION EXPENSE</v>
      </c>
      <c r="C36" s="11"/>
      <c r="D36" s="7">
        <v>479.29</v>
      </c>
      <c r="E36" s="2"/>
      <c r="F36" s="6">
        <f t="shared" si="20"/>
        <v>0</v>
      </c>
      <c r="G36" s="2"/>
      <c r="H36" s="7"/>
      <c r="I36" s="2"/>
      <c r="J36" s="6">
        <f t="shared" si="21"/>
        <v>0</v>
      </c>
      <c r="K36" s="2"/>
      <c r="L36" s="7">
        <f t="shared" si="22"/>
        <v>479.29</v>
      </c>
      <c r="M36" s="2"/>
      <c r="N36" s="6">
        <f t="shared" si="23"/>
        <v>0</v>
      </c>
      <c r="O36" s="11"/>
      <c r="P36" s="7">
        <v>958.58</v>
      </c>
      <c r="Q36" s="2"/>
      <c r="R36" s="6">
        <f t="shared" si="24"/>
        <v>0</v>
      </c>
      <c r="S36" s="2"/>
      <c r="T36" s="7"/>
      <c r="U36" s="2"/>
      <c r="V36" s="6">
        <f t="shared" si="25"/>
        <v>0</v>
      </c>
      <c r="W36" s="2"/>
      <c r="X36" s="7">
        <f t="shared" si="26"/>
        <v>958.58</v>
      </c>
      <c r="Y36" s="2"/>
      <c r="Z36" s="6">
        <f t="shared" si="27"/>
        <v>0</v>
      </c>
    </row>
    <row r="37" spans="1:26" s="28" customFormat="1" outlineLevel="1" collapsed="1" x14ac:dyDescent="0.25">
      <c r="A37" s="27"/>
      <c r="B37" s="14" t="str">
        <f>CONCATENATE("     ","Employees' Appreciation                           ")</f>
        <v xml:space="preserve">     Employees' Appreciation                           </v>
      </c>
      <c r="C37" s="14"/>
      <c r="D37" s="1">
        <f>SUM(OSRRefD22_6x_0)</f>
        <v>0</v>
      </c>
      <c r="E37" s="1"/>
      <c r="F37" s="5">
        <f t="shared" si="20"/>
        <v>0</v>
      </c>
      <c r="G37" s="1"/>
      <c r="H37" s="1">
        <f>SUM(OSRRefH22_6x_0)</f>
        <v>66.09</v>
      </c>
      <c r="I37" s="1"/>
      <c r="J37" s="5">
        <f t="shared" si="21"/>
        <v>3.4345313571829466E-3</v>
      </c>
      <c r="K37" s="1"/>
      <c r="L37" s="1">
        <f t="shared" si="22"/>
        <v>-66.09</v>
      </c>
      <c r="M37" s="1"/>
      <c r="N37" s="5">
        <f t="shared" si="23"/>
        <v>-1</v>
      </c>
      <c r="O37" s="14"/>
      <c r="P37" s="1">
        <f>SUM(OSRRefP22_6x_0)</f>
        <v>0</v>
      </c>
      <c r="Q37" s="1"/>
      <c r="R37" s="5">
        <f t="shared" si="24"/>
        <v>0</v>
      </c>
      <c r="S37" s="1"/>
      <c r="T37" s="1">
        <f>SUM(OSRRefT22_6x_0)</f>
        <v>114.64</v>
      </c>
      <c r="U37" s="1"/>
      <c r="V37" s="5">
        <f t="shared" si="25"/>
        <v>5.7747708402281503E-3</v>
      </c>
      <c r="W37" s="1"/>
      <c r="X37" s="1">
        <f t="shared" si="26"/>
        <v>-114.64</v>
      </c>
      <c r="Y37" s="1"/>
      <c r="Z37" s="5">
        <f t="shared" si="27"/>
        <v>-1</v>
      </c>
    </row>
    <row r="38" spans="1:26" s="24" customFormat="1" hidden="1" outlineLevel="2" x14ac:dyDescent="0.25">
      <c r="A38" s="29"/>
      <c r="B38" s="11" t="str">
        <f>CONCATENATE("          ", "6277", " - ", "EMPLOYEE APPRECIATION")</f>
        <v xml:space="preserve">          6277 - EMPLOYEE APPRECIATION</v>
      </c>
      <c r="C38" s="11"/>
      <c r="D38" s="7"/>
      <c r="E38" s="2"/>
      <c r="F38" s="6">
        <f t="shared" si="20"/>
        <v>0</v>
      </c>
      <c r="G38" s="2"/>
      <c r="H38" s="7">
        <v>66.09</v>
      </c>
      <c r="I38" s="2"/>
      <c r="J38" s="6">
        <f t="shared" si="21"/>
        <v>3.4345313571829466E-3</v>
      </c>
      <c r="K38" s="2"/>
      <c r="L38" s="7">
        <f t="shared" si="22"/>
        <v>-66.09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114.64</v>
      </c>
      <c r="U38" s="2"/>
      <c r="V38" s="6">
        <f t="shared" si="25"/>
        <v>5.7747708402281503E-3</v>
      </c>
      <c r="W38" s="2"/>
      <c r="X38" s="7">
        <f t="shared" si="26"/>
        <v>-114.64</v>
      </c>
      <c r="Y38" s="2"/>
      <c r="Z38" s="6">
        <f t="shared" si="27"/>
        <v>-1</v>
      </c>
    </row>
    <row r="39" spans="1:26" s="28" customFormat="1" outlineLevel="1" collapsed="1" x14ac:dyDescent="0.25">
      <c r="A39" s="27"/>
      <c r="B39" s="14" t="str">
        <f>CONCATENATE("     ","General                                           ")</f>
        <v xml:space="preserve">     General                                           </v>
      </c>
      <c r="C39" s="14"/>
      <c r="D39" s="1">
        <f>SUM(OSRRefD22_7x_0)</f>
        <v>0</v>
      </c>
      <c r="E39" s="1"/>
      <c r="F39" s="5">
        <f t="shared" si="20"/>
        <v>0</v>
      </c>
      <c r="G39" s="1"/>
      <c r="H39" s="1">
        <f>SUM(OSRRefH22_7x_0)</f>
        <v>0</v>
      </c>
      <c r="I39" s="1"/>
      <c r="J39" s="5">
        <f t="shared" si="21"/>
        <v>0</v>
      </c>
      <c r="K39" s="1"/>
      <c r="L39" s="1">
        <f t="shared" si="22"/>
        <v>0</v>
      </c>
      <c r="M39" s="1"/>
      <c r="N39" s="5">
        <f t="shared" si="23"/>
        <v>0</v>
      </c>
      <c r="O39" s="14"/>
      <c r="P39" s="1">
        <f>SUM(OSRRefP22_7x_0)</f>
        <v>519.54999999999995</v>
      </c>
      <c r="Q39" s="1"/>
      <c r="R39" s="5">
        <f t="shared" si="24"/>
        <v>0</v>
      </c>
      <c r="S39" s="1"/>
      <c r="T39" s="1">
        <f>SUM(OSRRefT22_7x_0)</f>
        <v>1464.1</v>
      </c>
      <c r="U39" s="1"/>
      <c r="V39" s="5">
        <f t="shared" si="25"/>
        <v>7.3751238548308048E-2</v>
      </c>
      <c r="W39" s="1"/>
      <c r="X39" s="1">
        <f t="shared" si="26"/>
        <v>-944.55</v>
      </c>
      <c r="Y39" s="1"/>
      <c r="Z39" s="5">
        <f t="shared" si="27"/>
        <v>-0.64514035926507751</v>
      </c>
    </row>
    <row r="40" spans="1:26" s="24" customFormat="1" hidden="1" outlineLevel="2" x14ac:dyDescent="0.25">
      <c r="A40" s="29"/>
      <c r="B40" s="11" t="str">
        <f>CONCATENATE("          ", "6279", " - ", "GENERAL EXPENSE")</f>
        <v xml:space="preserve">          6279 - GENERAL EXPENSE</v>
      </c>
      <c r="C40" s="11"/>
      <c r="D40" s="7"/>
      <c r="E40" s="2"/>
      <c r="F40" s="6">
        <f t="shared" si="20"/>
        <v>0</v>
      </c>
      <c r="G40" s="2"/>
      <c r="H40" s="7"/>
      <c r="I40" s="2"/>
      <c r="J40" s="6">
        <f t="shared" si="21"/>
        <v>0</v>
      </c>
      <c r="K40" s="2"/>
      <c r="L40" s="7">
        <f t="shared" si="22"/>
        <v>0</v>
      </c>
      <c r="M40" s="2"/>
      <c r="N40" s="6">
        <f t="shared" si="23"/>
        <v>0</v>
      </c>
      <c r="O40" s="11"/>
      <c r="P40" s="7">
        <v>519.54999999999995</v>
      </c>
      <c r="Q40" s="2"/>
      <c r="R40" s="6">
        <f t="shared" si="24"/>
        <v>0</v>
      </c>
      <c r="S40" s="2"/>
      <c r="T40" s="7">
        <v>1464.1</v>
      </c>
      <c r="U40" s="2"/>
      <c r="V40" s="6">
        <f t="shared" si="25"/>
        <v>7.3751238548308048E-2</v>
      </c>
      <c r="W40" s="2"/>
      <c r="X40" s="7">
        <f t="shared" si="26"/>
        <v>-944.55</v>
      </c>
      <c r="Y40" s="2"/>
      <c r="Z40" s="6">
        <f t="shared" si="27"/>
        <v>-0.64514035926507751</v>
      </c>
    </row>
    <row r="41" spans="1:26" s="28" customFormat="1" outlineLevel="1" collapsed="1" x14ac:dyDescent="0.25">
      <c r="A41" s="27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SUM(OSRRefD22_8x_0)</f>
        <v>78.599999999999994</v>
      </c>
      <c r="E41" s="1"/>
      <c r="F41" s="5">
        <f t="shared" si="20"/>
        <v>0</v>
      </c>
      <c r="G41" s="1"/>
      <c r="H41" s="1">
        <f>SUM(OSRRefH22_8x_0)</f>
        <v>0</v>
      </c>
      <c r="I41" s="1"/>
      <c r="J41" s="5">
        <f t="shared" si="21"/>
        <v>0</v>
      </c>
      <c r="K41" s="1"/>
      <c r="L41" s="1">
        <f t="shared" si="22"/>
        <v>78.599999999999994</v>
      </c>
      <c r="M41" s="1"/>
      <c r="N41" s="5">
        <f t="shared" si="23"/>
        <v>0</v>
      </c>
      <c r="O41" s="14"/>
      <c r="P41" s="1">
        <f>SUM(OSRRefP22_8x_0)</f>
        <v>78.599999999999994</v>
      </c>
      <c r="Q41" s="1"/>
      <c r="R41" s="5">
        <f t="shared" si="24"/>
        <v>0</v>
      </c>
      <c r="S41" s="1"/>
      <c r="T41" s="1">
        <f>SUM(OSRRefT22_8x_0)</f>
        <v>138.08000000000001</v>
      </c>
      <c r="U41" s="1"/>
      <c r="V41" s="5">
        <f t="shared" si="25"/>
        <v>6.9555160294722876E-3</v>
      </c>
      <c r="W41" s="1"/>
      <c r="X41" s="1">
        <f t="shared" si="26"/>
        <v>-59.480000000000018</v>
      </c>
      <c r="Y41" s="1"/>
      <c r="Z41" s="5">
        <f t="shared" si="27"/>
        <v>-0.43076477404403252</v>
      </c>
    </row>
    <row r="42" spans="1:26" s="24" customFormat="1" hidden="1" outlineLevel="2" x14ac:dyDescent="0.25">
      <c r="A42" s="29"/>
      <c r="B42" s="11" t="str">
        <f>CONCATENATE("          ", "6373", " - ", "MAINTENANCE CONTRACTS")</f>
        <v xml:space="preserve">          6373 - MAINTENANCE CONTRACTS</v>
      </c>
      <c r="C42" s="11"/>
      <c r="D42" s="7">
        <v>78.599999999999994</v>
      </c>
      <c r="E42" s="2"/>
      <c r="F42" s="6">
        <f t="shared" si="20"/>
        <v>0</v>
      </c>
      <c r="G42" s="2"/>
      <c r="H42" s="7"/>
      <c r="I42" s="2"/>
      <c r="J42" s="6">
        <f t="shared" si="21"/>
        <v>0</v>
      </c>
      <c r="K42" s="2"/>
      <c r="L42" s="7">
        <f t="shared" si="22"/>
        <v>78.599999999999994</v>
      </c>
      <c r="M42" s="2"/>
      <c r="N42" s="6">
        <f t="shared" si="23"/>
        <v>0</v>
      </c>
      <c r="O42" s="11"/>
      <c r="P42" s="7">
        <v>78.599999999999994</v>
      </c>
      <c r="Q42" s="2"/>
      <c r="R42" s="6">
        <f t="shared" si="24"/>
        <v>0</v>
      </c>
      <c r="S42" s="2"/>
      <c r="T42" s="7"/>
      <c r="U42" s="2"/>
      <c r="V42" s="6">
        <f t="shared" si="25"/>
        <v>0</v>
      </c>
      <c r="W42" s="2"/>
      <c r="X42" s="7">
        <f t="shared" si="26"/>
        <v>78.599999999999994</v>
      </c>
      <c r="Y42" s="2"/>
      <c r="Z42" s="6">
        <f t="shared" si="27"/>
        <v>0</v>
      </c>
    </row>
    <row r="43" spans="1:26" s="24" customFormat="1" hidden="1" outlineLevel="2" x14ac:dyDescent="0.25">
      <c r="A43" s="29"/>
      <c r="B43" s="11" t="str">
        <f>CONCATENATE("          ", "6375", " - ", "OUTSIDE REPAIRS &amp; MAINTENANCE")</f>
        <v xml:space="preserve">          6375 - OUTSIDE REPAIRS &amp; MAINTENANCE</v>
      </c>
      <c r="C43" s="11"/>
      <c r="D43" s="7"/>
      <c r="E43" s="2"/>
      <c r="F43" s="6">
        <f t="shared" si="20"/>
        <v>0</v>
      </c>
      <c r="G43" s="2"/>
      <c r="H43" s="7"/>
      <c r="I43" s="2"/>
      <c r="J43" s="6">
        <f t="shared" si="21"/>
        <v>0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/>
      <c r="Q43" s="2"/>
      <c r="R43" s="6">
        <f t="shared" si="24"/>
        <v>0</v>
      </c>
      <c r="S43" s="2"/>
      <c r="T43" s="7">
        <v>138.08000000000001</v>
      </c>
      <c r="U43" s="2"/>
      <c r="V43" s="6">
        <f t="shared" si="25"/>
        <v>6.9555160294722876E-3</v>
      </c>
      <c r="W43" s="2"/>
      <c r="X43" s="7">
        <f t="shared" si="26"/>
        <v>-138.08000000000001</v>
      </c>
      <c r="Y43" s="2"/>
      <c r="Z43" s="6">
        <f t="shared" si="27"/>
        <v>-1</v>
      </c>
    </row>
    <row r="44" spans="1:26" s="28" customFormat="1" outlineLevel="1" collapsed="1" x14ac:dyDescent="0.25">
      <c r="A44" s="27"/>
      <c r="B44" s="14" t="str">
        <f>CONCATENATE("     ","Royalty &amp; Commissions                             ")</f>
        <v xml:space="preserve">     Royalty &amp; Commissions                             </v>
      </c>
      <c r="C44" s="14"/>
      <c r="D44" s="1">
        <f>SUM(OSRRefD22_9x_0)</f>
        <v>0</v>
      </c>
      <c r="E44" s="1"/>
      <c r="F44" s="5">
        <f t="shared" ref="F44:F49" si="28">IF(D$12=0,0,D44/D$12)</f>
        <v>0</v>
      </c>
      <c r="G44" s="1"/>
      <c r="H44" s="1">
        <f>SUM(OSRRefH22_9x_0)</f>
        <v>3848.56</v>
      </c>
      <c r="I44" s="1"/>
      <c r="J44" s="5">
        <f t="shared" ref="J44:J49" si="29">IF(H$12=0,0,H44/H$12)</f>
        <v>0.2</v>
      </c>
      <c r="K44" s="1"/>
      <c r="L44" s="1">
        <f t="shared" ref="L44:L49" si="30">+D44-H44</f>
        <v>-3848.56</v>
      </c>
      <c r="M44" s="1"/>
      <c r="N44" s="5">
        <f t="shared" ref="N44:N49" si="31">IF(H44=0,0,L44/H44)</f>
        <v>-1</v>
      </c>
      <c r="O44" s="14"/>
      <c r="P44" s="1">
        <f>SUM(OSRRefP22_9x_0)</f>
        <v>0</v>
      </c>
      <c r="Q44" s="1"/>
      <c r="R44" s="5">
        <f t="shared" ref="R44:R49" si="32">IF(P$12=0,0,P44/P$12)</f>
        <v>0</v>
      </c>
      <c r="S44" s="1"/>
      <c r="T44" s="1">
        <f>SUM(OSRRefT22_9x_0)</f>
        <v>4121.66</v>
      </c>
      <c r="U44" s="1"/>
      <c r="V44" s="5">
        <f t="shared" ref="V44:V49" si="33">IF(T$12=0,0,T44/T$12)</f>
        <v>0.20762074303327596</v>
      </c>
      <c r="W44" s="1"/>
      <c r="X44" s="1">
        <f t="shared" ref="X44:X49" si="34">+P44-T44</f>
        <v>-4121.66</v>
      </c>
      <c r="Y44" s="1"/>
      <c r="Z44" s="5">
        <f t="shared" ref="Z44:Z49" si="35">IF(T44=0,0,X44/T44)</f>
        <v>-1</v>
      </c>
    </row>
    <row r="45" spans="1:26" s="24" customFormat="1" hidden="1" outlineLevel="2" x14ac:dyDescent="0.25">
      <c r="A45" s="29"/>
      <c r="B45" s="11" t="str">
        <f>CONCATENATE("          ", "6254", " - ", "ROYALTY &amp; COMMISSIONS")</f>
        <v xml:space="preserve">          6254 - ROYALTY &amp; COMMISSIONS</v>
      </c>
      <c r="C45" s="11"/>
      <c r="D45" s="7"/>
      <c r="E45" s="2"/>
      <c r="F45" s="6">
        <f t="shared" si="28"/>
        <v>0</v>
      </c>
      <c r="G45" s="2"/>
      <c r="H45" s="7">
        <v>3848.56</v>
      </c>
      <c r="I45" s="2"/>
      <c r="J45" s="6">
        <f t="shared" si="29"/>
        <v>0.2</v>
      </c>
      <c r="K45" s="2"/>
      <c r="L45" s="7">
        <f t="shared" si="30"/>
        <v>-3848.56</v>
      </c>
      <c r="M45" s="2"/>
      <c r="N45" s="6">
        <f t="shared" si="31"/>
        <v>-1</v>
      </c>
      <c r="O45" s="11"/>
      <c r="P45" s="7"/>
      <c r="Q45" s="2"/>
      <c r="R45" s="6">
        <f t="shared" si="32"/>
        <v>0</v>
      </c>
      <c r="S45" s="2"/>
      <c r="T45" s="7">
        <v>4121.66</v>
      </c>
      <c r="U45" s="2"/>
      <c r="V45" s="6">
        <f t="shared" si="33"/>
        <v>0.20762074303327596</v>
      </c>
      <c r="W45" s="2"/>
      <c r="X45" s="7">
        <f t="shared" si="34"/>
        <v>-4121.66</v>
      </c>
      <c r="Y45" s="2"/>
      <c r="Z45" s="6">
        <f t="shared" si="35"/>
        <v>-1</v>
      </c>
    </row>
    <row r="46" spans="1:26" s="28" customFormat="1" outlineLevel="1" collapsed="1" x14ac:dyDescent="0.25">
      <c r="A46" s="27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SUM(OSRRefD22_10x_0)</f>
        <v>0</v>
      </c>
      <c r="E46" s="1"/>
      <c r="F46" s="5">
        <f t="shared" si="28"/>
        <v>0</v>
      </c>
      <c r="G46" s="1"/>
      <c r="H46" s="1">
        <f>SUM(OSRRefH22_10x_0)</f>
        <v>321.92</v>
      </c>
      <c r="I46" s="1"/>
      <c r="J46" s="5">
        <f t="shared" si="29"/>
        <v>1.6729374103560814E-2</v>
      </c>
      <c r="K46" s="1"/>
      <c r="L46" s="1">
        <f t="shared" si="30"/>
        <v>-321.92</v>
      </c>
      <c r="M46" s="1"/>
      <c r="N46" s="5">
        <f t="shared" si="31"/>
        <v>-1</v>
      </c>
      <c r="O46" s="14"/>
      <c r="P46" s="1">
        <f>SUM(OSRRefP22_10x_0)</f>
        <v>0</v>
      </c>
      <c r="Q46" s="1"/>
      <c r="R46" s="5">
        <f t="shared" si="32"/>
        <v>0</v>
      </c>
      <c r="S46" s="1"/>
      <c r="T46" s="1">
        <f>SUM(OSRRefT22_10x_0)</f>
        <v>321.92</v>
      </c>
      <c r="U46" s="1"/>
      <c r="V46" s="5">
        <f t="shared" si="33"/>
        <v>1.6216104578561114E-2</v>
      </c>
      <c r="W46" s="1"/>
      <c r="X46" s="1">
        <f t="shared" si="34"/>
        <v>-321.92</v>
      </c>
      <c r="Y46" s="1"/>
      <c r="Z46" s="5">
        <f t="shared" si="35"/>
        <v>-1</v>
      </c>
    </row>
    <row r="47" spans="1:26" s="24" customFormat="1" hidden="1" outlineLevel="2" x14ac:dyDescent="0.25">
      <c r="A47" s="29"/>
      <c r="B47" s="11" t="str">
        <f>CONCATENATE("          ", "6239", " - ", "KITCHEN SUPPLIES")</f>
        <v xml:space="preserve">          6239 - KITCHEN SUPPLIES</v>
      </c>
      <c r="C47" s="11"/>
      <c r="D47" s="7"/>
      <c r="E47" s="2"/>
      <c r="F47" s="6">
        <f t="shared" si="28"/>
        <v>0</v>
      </c>
      <c r="G47" s="2"/>
      <c r="H47" s="7">
        <v>321.92</v>
      </c>
      <c r="I47" s="2"/>
      <c r="J47" s="6">
        <f t="shared" si="29"/>
        <v>1.6729374103560814E-2</v>
      </c>
      <c r="K47" s="2"/>
      <c r="L47" s="7">
        <f t="shared" si="30"/>
        <v>-321.92</v>
      </c>
      <c r="M47" s="2"/>
      <c r="N47" s="6">
        <f t="shared" si="31"/>
        <v>-1</v>
      </c>
      <c r="O47" s="11"/>
      <c r="P47" s="7"/>
      <c r="Q47" s="2"/>
      <c r="R47" s="6">
        <f t="shared" si="32"/>
        <v>0</v>
      </c>
      <c r="S47" s="2"/>
      <c r="T47" s="7">
        <v>321.92</v>
      </c>
      <c r="U47" s="2"/>
      <c r="V47" s="6">
        <f t="shared" si="33"/>
        <v>1.6216104578561114E-2</v>
      </c>
      <c r="W47" s="2"/>
      <c r="X47" s="7">
        <f t="shared" si="34"/>
        <v>-321.92</v>
      </c>
      <c r="Y47" s="2"/>
      <c r="Z47" s="6">
        <f t="shared" si="35"/>
        <v>-1</v>
      </c>
    </row>
    <row r="48" spans="1:26" s="28" customFormat="1" outlineLevel="1" collapsed="1" x14ac:dyDescent="0.25">
      <c r="A48" s="27"/>
      <c r="B48" s="14" t="str">
        <f>CONCATENATE("     ","Telephone/Data Lines                              ")</f>
        <v xml:space="preserve">     Telephone/Data Lines                              </v>
      </c>
      <c r="C48" s="14"/>
      <c r="D48" s="1">
        <f>SUM(OSRRefD22_11x_0)</f>
        <v>214</v>
      </c>
      <c r="E48" s="1"/>
      <c r="F48" s="5">
        <f t="shared" si="28"/>
        <v>0</v>
      </c>
      <c r="G48" s="1"/>
      <c r="H48" s="1">
        <f>SUM(OSRRefH22_11x_0)</f>
        <v>214.01</v>
      </c>
      <c r="I48" s="1"/>
      <c r="J48" s="5">
        <f t="shared" si="29"/>
        <v>1.1121562350593469E-2</v>
      </c>
      <c r="K48" s="1"/>
      <c r="L48" s="1">
        <f t="shared" si="30"/>
        <v>-9.9999999999909051E-3</v>
      </c>
      <c r="M48" s="1"/>
      <c r="N48" s="5">
        <f t="shared" si="31"/>
        <v>-4.672678846778611E-5</v>
      </c>
      <c r="O48" s="14"/>
      <c r="P48" s="1">
        <f>SUM(OSRRefP22_11x_0)</f>
        <v>428.01</v>
      </c>
      <c r="Q48" s="1"/>
      <c r="R48" s="5">
        <f t="shared" si="32"/>
        <v>0</v>
      </c>
      <c r="S48" s="1"/>
      <c r="T48" s="1">
        <f>SUM(OSRRefT22_11x_0)</f>
        <v>130.02000000000001</v>
      </c>
      <c r="U48" s="1"/>
      <c r="V48" s="5">
        <f t="shared" si="33"/>
        <v>6.5495089379489198E-3</v>
      </c>
      <c r="W48" s="1"/>
      <c r="X48" s="1">
        <f t="shared" si="34"/>
        <v>297.99</v>
      </c>
      <c r="Y48" s="1"/>
      <c r="Z48" s="5">
        <f t="shared" si="35"/>
        <v>2.2918781725888322</v>
      </c>
    </row>
    <row r="49" spans="1:26" s="24" customFormat="1" hidden="1" outlineLevel="2" x14ac:dyDescent="0.25">
      <c r="A49" s="29"/>
      <c r="B49" s="11" t="str">
        <f>CONCATENATE("          ", "6309", " - ", "TELEPHONE")</f>
        <v xml:space="preserve">          6309 - TELEPHONE</v>
      </c>
      <c r="C49" s="11"/>
      <c r="D49" s="7">
        <v>214</v>
      </c>
      <c r="E49" s="2"/>
      <c r="F49" s="6">
        <f t="shared" si="28"/>
        <v>0</v>
      </c>
      <c r="G49" s="2"/>
      <c r="H49" s="7">
        <v>214.01</v>
      </c>
      <c r="I49" s="2"/>
      <c r="J49" s="6">
        <f t="shared" si="29"/>
        <v>1.1121562350593469E-2</v>
      </c>
      <c r="K49" s="2"/>
      <c r="L49" s="7">
        <f t="shared" si="30"/>
        <v>-9.9999999999909051E-3</v>
      </c>
      <c r="M49" s="2"/>
      <c r="N49" s="6">
        <f t="shared" si="31"/>
        <v>-4.672678846778611E-5</v>
      </c>
      <c r="O49" s="11"/>
      <c r="P49" s="7">
        <v>428.01</v>
      </c>
      <c r="Q49" s="2"/>
      <c r="R49" s="6">
        <f t="shared" si="32"/>
        <v>0</v>
      </c>
      <c r="S49" s="2"/>
      <c r="T49" s="7">
        <v>130.02000000000001</v>
      </c>
      <c r="U49" s="2"/>
      <c r="V49" s="6">
        <f t="shared" si="33"/>
        <v>6.5495089379489198E-3</v>
      </c>
      <c r="W49" s="2"/>
      <c r="X49" s="7">
        <f t="shared" si="34"/>
        <v>297.99</v>
      </c>
      <c r="Y49" s="2"/>
      <c r="Z49" s="6">
        <f t="shared" si="35"/>
        <v>2.2918781725888322</v>
      </c>
    </row>
    <row r="50" spans="1:26" s="52" customFormat="1" x14ac:dyDescent="0.25">
      <c r="A50" s="37"/>
      <c r="B50" s="37"/>
      <c r="C50" s="37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collapsed="1" x14ac:dyDescent="0.25">
      <c r="A51" s="10"/>
      <c r="B51" s="25" t="s">
        <v>0</v>
      </c>
      <c r="C51" s="10"/>
      <c r="D51" s="4">
        <f>SUM(OSRRefD25x_0)</f>
        <v>0</v>
      </c>
      <c r="E51" s="4"/>
      <c r="F51" s="12">
        <f t="shared" ref="F51:F52" si="36">IF(D$12=0,0,D51/D$12)</f>
        <v>0</v>
      </c>
      <c r="G51" s="4"/>
      <c r="H51" s="4">
        <f>SUM(OSRRefH25x_0)</f>
        <v>0</v>
      </c>
      <c r="I51" s="4"/>
      <c r="J51" s="12">
        <f t="shared" ref="J51:J52" si="37">IF(H$12=0,0,H51/H$12)</f>
        <v>0</v>
      </c>
      <c r="K51" s="4"/>
      <c r="L51" s="4">
        <f t="shared" ref="L51:L52" si="38">+D51-H51</f>
        <v>0</v>
      </c>
      <c r="M51" s="4"/>
      <c r="N51" s="12">
        <f t="shared" ref="N51:N52" si="39">IF(H51=0,0,L51/H51)</f>
        <v>0</v>
      </c>
      <c r="O51" s="10"/>
      <c r="P51" s="4">
        <f>SUM(OSRRefP25x_0)</f>
        <v>0</v>
      </c>
      <c r="Q51" s="4"/>
      <c r="R51" s="12">
        <f t="shared" ref="R51:R52" si="40">IF(P$12=0,0,P51/P$12)</f>
        <v>0</v>
      </c>
      <c r="S51" s="4"/>
      <c r="T51" s="4">
        <f>SUM(OSRRefT25x_0)</f>
        <v>546.20000000000005</v>
      </c>
      <c r="U51" s="4"/>
      <c r="V51" s="12">
        <f t="shared" ref="V51:V52" si="41">IF(T$12=0,0,T51/T$12)</f>
        <v>2.751378081762575E-2</v>
      </c>
      <c r="W51" s="4"/>
      <c r="X51" s="4">
        <f t="shared" ref="X51:X52" si="42">+P51-T51</f>
        <v>-546.20000000000005</v>
      </c>
      <c r="Y51" s="4"/>
      <c r="Z51" s="12">
        <f t="shared" ref="Z51:Z52" si="43">IF(T51=0,0,X51/T51)</f>
        <v>-1</v>
      </c>
    </row>
    <row r="52" spans="1:26" s="24" customFormat="1" hidden="1" outlineLevel="1" x14ac:dyDescent="0.25">
      <c r="A52" s="44"/>
      <c r="B52" s="11" t="str">
        <f>CONCATENATE("          ", "9150", " - ", "MISC. INCOME")</f>
        <v xml:space="preserve">          9150 - MISC. INCOME</v>
      </c>
      <c r="C52" s="11"/>
      <c r="D52" s="2">
        <f>0</f>
        <v>0</v>
      </c>
      <c r="E52" s="2"/>
      <c r="F52" s="19">
        <f t="shared" si="36"/>
        <v>0</v>
      </c>
      <c r="G52" s="2"/>
      <c r="H52" s="2">
        <f>0</f>
        <v>0</v>
      </c>
      <c r="I52" s="2"/>
      <c r="J52" s="19">
        <f t="shared" si="37"/>
        <v>0</v>
      </c>
      <c r="K52" s="2"/>
      <c r="L52" s="2">
        <f t="shared" si="38"/>
        <v>0</v>
      </c>
      <c r="M52" s="2"/>
      <c r="N52" s="19">
        <f t="shared" si="39"/>
        <v>0</v>
      </c>
      <c r="O52" s="11"/>
      <c r="P52" s="2">
        <f>0</f>
        <v>0</v>
      </c>
      <c r="Q52" s="2"/>
      <c r="R52" s="19">
        <f t="shared" si="40"/>
        <v>0</v>
      </c>
      <c r="S52" s="2"/>
      <c r="T52" s="2">
        <f>--546.2</f>
        <v>546.20000000000005</v>
      </c>
      <c r="U52" s="2"/>
      <c r="V52" s="19">
        <f t="shared" si="41"/>
        <v>2.751378081762575E-2</v>
      </c>
      <c r="W52" s="2"/>
      <c r="X52" s="2">
        <f t="shared" si="42"/>
        <v>-546.20000000000005</v>
      </c>
      <c r="Y52" s="2"/>
      <c r="Z52" s="19">
        <f t="shared" si="43"/>
        <v>-1</v>
      </c>
    </row>
    <row r="53" spans="1:26" x14ac:dyDescent="0.25">
      <c r="A53" s="9"/>
      <c r="B53" s="10"/>
      <c r="C53" s="10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O53" s="10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25">
      <c r="A54" s="10"/>
      <c r="B54" s="26" t="s">
        <v>3</v>
      </c>
      <c r="C54" s="26"/>
      <c r="D54" s="22">
        <f>+D19-D21+D51</f>
        <v>-771.89</v>
      </c>
      <c r="E54" s="13"/>
      <c r="F54" s="21">
        <f>IF(D$12=0,0,D54/D$12)</f>
        <v>0</v>
      </c>
      <c r="G54" s="13"/>
      <c r="H54" s="22">
        <f>+H19-H21+H51</f>
        <v>5240.1899999999987</v>
      </c>
      <c r="I54" s="13"/>
      <c r="J54" s="21">
        <f>IF(H$12=0,0,H54/H$12)</f>
        <v>0.27231951691022088</v>
      </c>
      <c r="K54" s="16"/>
      <c r="L54" s="22">
        <f>+D54-H54</f>
        <v>-6012.079999999999</v>
      </c>
      <c r="M54" s="16"/>
      <c r="N54" s="21">
        <f>IF(H54=0,0,L54/H54)</f>
        <v>-1.1473019108085776</v>
      </c>
      <c r="O54" s="25"/>
      <c r="P54" s="22">
        <f>+P19-P21+P51</f>
        <v>-1984.74</v>
      </c>
      <c r="Q54" s="13"/>
      <c r="R54" s="21">
        <f>IF(P$12=0,0,P54/P$12)</f>
        <v>0</v>
      </c>
      <c r="S54" s="13"/>
      <c r="T54" s="22">
        <f>+T19-T21+T51</f>
        <v>3669.7199999999966</v>
      </c>
      <c r="U54" s="13"/>
      <c r="V54" s="21">
        <f>IF(T$12=0,0,T54/T$12)</f>
        <v>0.18485512951676578</v>
      </c>
      <c r="W54" s="16"/>
      <c r="X54" s="22">
        <f>+P54-T54</f>
        <v>-5654.4599999999964</v>
      </c>
      <c r="Y54" s="16"/>
      <c r="Z54" s="21">
        <f>IF(T54=0,0,X54/T54)</f>
        <v>-1.5408423530950595</v>
      </c>
    </row>
    <row r="55" spans="1:26" x14ac:dyDescent="0.25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x14ac:dyDescent="0.25">
      <c r="A56" s="51"/>
      <c r="B56" s="10" t="s">
        <v>13</v>
      </c>
      <c r="C56" s="10"/>
      <c r="D56" s="4"/>
      <c r="E56" s="4"/>
      <c r="F56" s="12">
        <f>IF(D$12=0,0,D56/D$12)</f>
        <v>0</v>
      </c>
      <c r="G56" s="4"/>
      <c r="H56" s="4">
        <v>2348.5300000000002</v>
      </c>
      <c r="I56" s="4"/>
      <c r="J56" s="12">
        <f>IF(H$12=0,0,H56/H$12)</f>
        <v>0.12204720726713369</v>
      </c>
      <c r="K56" s="4"/>
      <c r="L56" s="4">
        <f>+D56-H56</f>
        <v>-2348.5300000000002</v>
      </c>
      <c r="M56" s="4"/>
      <c r="N56" s="12">
        <f>IF(H56=0,0,L56/H56)</f>
        <v>-1</v>
      </c>
      <c r="O56" s="10"/>
      <c r="P56" s="4"/>
      <c r="Q56" s="4"/>
      <c r="R56" s="12">
        <f>IF(P$12=0,0,P56/P$12)</f>
        <v>0</v>
      </c>
      <c r="S56" s="4"/>
      <c r="T56" s="4">
        <v>2475.17</v>
      </c>
      <c r="U56" s="4"/>
      <c r="V56" s="12">
        <f>IF(T$12=0,0,T56/T$12)</f>
        <v>0.12468195691388269</v>
      </c>
      <c r="W56" s="4"/>
      <c r="X56" s="4">
        <f>+P56-T56</f>
        <v>-2475.17</v>
      </c>
      <c r="Y56" s="4"/>
      <c r="Z56" s="12">
        <f>IF(T56=0,0,X56/T56)</f>
        <v>-1</v>
      </c>
    </row>
    <row r="57" spans="1:26" x14ac:dyDescent="0.25">
      <c r="A57" s="9"/>
      <c r="B57" s="10"/>
      <c r="C57" s="10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O57" s="10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s="23" customFormat="1" ht="15.75" thickBot="1" x14ac:dyDescent="0.3">
      <c r="A58" s="10"/>
      <c r="B58" s="26" t="s">
        <v>4</v>
      </c>
      <c r="C58" s="26"/>
      <c r="D58" s="36">
        <f>+D54-D56</f>
        <v>-771.89</v>
      </c>
      <c r="E58" s="13"/>
      <c r="F58" s="34">
        <f>IF(D$12=0,0,D58/D$12)</f>
        <v>0</v>
      </c>
      <c r="G58" s="13"/>
      <c r="H58" s="36">
        <f>+H54-H56</f>
        <v>2891.6599999999985</v>
      </c>
      <c r="I58" s="13"/>
      <c r="J58" s="34">
        <f>IF(H$12=0,0,H58/H$12)</f>
        <v>0.15027230964308722</v>
      </c>
      <c r="K58" s="16"/>
      <c r="L58" s="36">
        <f>D58-H58</f>
        <v>-3663.5499999999984</v>
      </c>
      <c r="M58" s="16"/>
      <c r="N58" s="34">
        <f>IF(H58=0,0,L58/H58)</f>
        <v>-1.2669366384706364</v>
      </c>
      <c r="O58" s="25"/>
      <c r="P58" s="36">
        <f>+P54-P56</f>
        <v>-1984.74</v>
      </c>
      <c r="Q58" s="13"/>
      <c r="R58" s="34">
        <f>IF(P$12=0,0,P58/P$12)</f>
        <v>0</v>
      </c>
      <c r="S58" s="13"/>
      <c r="T58" s="36">
        <f>+T54-T56</f>
        <v>1194.5499999999965</v>
      </c>
      <c r="U58" s="13"/>
      <c r="V58" s="34">
        <f>IF(T$12=0,0,T58/T$12)</f>
        <v>6.0173172602883081E-2</v>
      </c>
      <c r="W58" s="16"/>
      <c r="X58" s="36">
        <f>P58-T58</f>
        <v>-3179.2899999999963</v>
      </c>
      <c r="Y58" s="16"/>
      <c r="Z58" s="34">
        <f>IF(T58=0,0,X58/T58)</f>
        <v>-2.6614959608220716</v>
      </c>
    </row>
    <row r="59" spans="1:26" ht="15.75" thickTop="1" x14ac:dyDescent="0.25">
      <c r="A59" s="9"/>
      <c r="B59" s="9"/>
      <c r="C59" s="9"/>
      <c r="D59" s="3"/>
      <c r="E59" s="3"/>
      <c r="F59" s="8"/>
      <c r="G59" s="3"/>
      <c r="H59" s="3"/>
      <c r="I59" s="3"/>
      <c r="J59" s="8"/>
      <c r="K59" s="3"/>
      <c r="L59" s="3"/>
      <c r="M59" s="3"/>
      <c r="N59" s="8"/>
      <c r="P59" s="3"/>
      <c r="Q59" s="3"/>
      <c r="R59" s="8"/>
      <c r="S59" s="3"/>
      <c r="T59" s="3"/>
      <c r="U59" s="3"/>
      <c r="V59" s="8"/>
      <c r="W59" s="3"/>
      <c r="X59" s="3"/>
      <c r="Y59" s="3"/>
      <c r="Z59" s="8"/>
    </row>
    <row r="60" spans="1:26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ht="15.75" thickBot="1" x14ac:dyDescent="0.3">
      <c r="A61" s="10"/>
      <c r="B61" s="26" t="s">
        <v>5</v>
      </c>
      <c r="C61" s="26"/>
      <c r="D61" s="30">
        <f>SUM(D58:D60)</f>
        <v>-771.89</v>
      </c>
      <c r="E61" s="13"/>
      <c r="F61" s="31">
        <f>IF(D$12=0,0,D61/D$12)</f>
        <v>0</v>
      </c>
      <c r="G61" s="13"/>
      <c r="H61" s="30">
        <f>SUM(H58:H60)</f>
        <v>2891.6599999999985</v>
      </c>
      <c r="I61" s="13"/>
      <c r="J61" s="31">
        <f>IF(H$12=0,0,H61/H$12)</f>
        <v>0.15027230964308722</v>
      </c>
      <c r="K61" s="16"/>
      <c r="L61" s="30">
        <f>+D61-H61</f>
        <v>-3663.5499999999984</v>
      </c>
      <c r="M61" s="16"/>
      <c r="N61" s="31">
        <f>IF(H61=0,0,L61/H61)</f>
        <v>-1.2669366384706364</v>
      </c>
      <c r="O61" s="25"/>
      <c r="P61" s="30">
        <f>SUM(P58:P60)</f>
        <v>-1984.74</v>
      </c>
      <c r="Q61" s="13"/>
      <c r="R61" s="31">
        <f>IF(P$12=0,0,P61/P$12)</f>
        <v>0</v>
      </c>
      <c r="S61" s="13"/>
      <c r="T61" s="30">
        <f>SUM(T58:T60)</f>
        <v>1194.5499999999965</v>
      </c>
      <c r="U61" s="13"/>
      <c r="V61" s="31">
        <f>IF(T$12=0,0,T61/T$12)</f>
        <v>6.0173172602883081E-2</v>
      </c>
      <c r="W61" s="16"/>
      <c r="X61" s="30">
        <f>+P61-T61</f>
        <v>-3179.2899999999963</v>
      </c>
      <c r="Y61" s="16"/>
      <c r="Z61" s="31">
        <f>IF(T61=0,0,X61/T61)</f>
        <v>-2.6614959608220716</v>
      </c>
    </row>
    <row r="62" spans="1:26" ht="15.75" thickTop="1" x14ac:dyDescent="0.25">
      <c r="A62" s="9"/>
      <c r="C62" s="9"/>
      <c r="D62" s="18"/>
      <c r="E62" s="18"/>
      <c r="G62" s="18"/>
      <c r="H62" s="18"/>
      <c r="I62" s="18"/>
      <c r="J62" s="43"/>
      <c r="K62" s="18"/>
      <c r="L62" s="18"/>
      <c r="M62" s="18"/>
      <c r="P62" s="18"/>
      <c r="Q62" s="18"/>
      <c r="R62" s="43"/>
      <c r="S62" s="18"/>
      <c r="T62" s="18"/>
      <c r="U62" s="18"/>
      <c r="V62" s="43"/>
      <c r="W62" s="18"/>
      <c r="X62" s="18"/>
    </row>
    <row r="63" spans="1:26" x14ac:dyDescent="0.25">
      <c r="A63" s="9"/>
      <c r="B63" s="61">
        <v>44113.696744131943</v>
      </c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56" t="s">
        <v>313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8"/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","425", " - ", "Events Center")</f>
        <v>Department 425 - Events Center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34943.380000000005</v>
      </c>
      <c r="I12" s="4"/>
      <c r="J12" s="12"/>
      <c r="K12" s="4"/>
      <c r="L12" s="4">
        <f t="shared" ref="L12:L14" si="0">+D12-H12</f>
        <v>-34943.380000000005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59501.7</v>
      </c>
      <c r="U12" s="4"/>
      <c r="V12" s="12"/>
      <c r="W12" s="4"/>
      <c r="X12" s="4">
        <f t="shared" ref="X12:X14" si="2">+P12-T12</f>
        <v>-59501.7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 t="shared" ref="D13:D14" si="4">0</f>
        <v>0</v>
      </c>
      <c r="E13" s="2"/>
      <c r="F13" s="19"/>
      <c r="G13" s="2"/>
      <c r="H13" s="2">
        <f>--34268.55</f>
        <v>34268.550000000003</v>
      </c>
      <c r="I13" s="2"/>
      <c r="J13" s="19"/>
      <c r="K13" s="2"/>
      <c r="L13" s="2">
        <f t="shared" si="0"/>
        <v>-34268.550000000003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--34504.83</f>
        <v>34504.83</v>
      </c>
      <c r="U13" s="2"/>
      <c r="V13" s="19"/>
      <c r="W13" s="2"/>
      <c r="X13" s="2">
        <f t="shared" si="2"/>
        <v>-34504.83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"4053", " - ", "TAXABLE SALES-FOOD")</f>
        <v xml:space="preserve">          4053 - TAXABLE SALES-FOOD</v>
      </c>
      <c r="C14" s="11"/>
      <c r="D14" s="2">
        <f t="shared" si="4"/>
        <v>0</v>
      </c>
      <c r="E14" s="2"/>
      <c r="F14" s="19"/>
      <c r="G14" s="2"/>
      <c r="H14" s="2">
        <f>--674.83</f>
        <v>674.83</v>
      </c>
      <c r="I14" s="2"/>
      <c r="J14" s="19"/>
      <c r="K14" s="2"/>
      <c r="L14" s="2">
        <f t="shared" si="0"/>
        <v>-674.83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--24996.87</f>
        <v>24996.87</v>
      </c>
      <c r="U14" s="2"/>
      <c r="V14" s="19"/>
      <c r="W14" s="2"/>
      <c r="X14" s="2">
        <f t="shared" si="2"/>
        <v>-24996.87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8037.15</v>
      </c>
      <c r="I16" s="4"/>
      <c r="J16" s="12">
        <f t="shared" ref="J16:J18" si="7">IF(H$12=0,0,H16/H$12)</f>
        <v>0.2300049394191403</v>
      </c>
      <c r="K16" s="4"/>
      <c r="L16" s="4">
        <f t="shared" ref="L16:L18" si="8">+D16-H16</f>
        <v>-8037.15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14630.59</v>
      </c>
      <c r="U16" s="4"/>
      <c r="V16" s="12">
        <f t="shared" ref="V16:V18" si="11">IF(T$12=0,0,T16/T$12)</f>
        <v>0.24588524361488834</v>
      </c>
      <c r="W16" s="4"/>
      <c r="X16" s="4">
        <f t="shared" ref="X16:X18" si="12">+P16-T16</f>
        <v>-14630.59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8524.15</v>
      </c>
      <c r="I17" s="2"/>
      <c r="J17" s="19">
        <f t="shared" si="7"/>
        <v>0.24394177094488279</v>
      </c>
      <c r="K17" s="2"/>
      <c r="L17" s="2">
        <f t="shared" si="8"/>
        <v>-8524.15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18438.59</v>
      </c>
      <c r="U17" s="2"/>
      <c r="V17" s="19">
        <f t="shared" si="11"/>
        <v>0.30988341509570316</v>
      </c>
      <c r="W17" s="2"/>
      <c r="X17" s="2">
        <f t="shared" si="12"/>
        <v>-18438.59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-487</v>
      </c>
      <c r="I18" s="2"/>
      <c r="J18" s="19">
        <f t="shared" si="7"/>
        <v>-1.39368315257425E-2</v>
      </c>
      <c r="K18" s="2"/>
      <c r="L18" s="2">
        <f t="shared" si="8"/>
        <v>487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-3808</v>
      </c>
      <c r="U18" s="2"/>
      <c r="V18" s="19">
        <f t="shared" si="11"/>
        <v>-6.3998171480814839E-2</v>
      </c>
      <c r="W18" s="2"/>
      <c r="X18" s="2">
        <f t="shared" si="12"/>
        <v>3808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26906.230000000003</v>
      </c>
      <c r="I20" s="13"/>
      <c r="J20" s="21">
        <f>IF(H$12=0,0,H20/H$12)</f>
        <v>0.76999506058085965</v>
      </c>
      <c r="K20" s="16"/>
      <c r="L20" s="22">
        <f>+D20-H20</f>
        <v>-26906.230000000003</v>
      </c>
      <c r="M20" s="16"/>
      <c r="N20" s="21">
        <f>IF(H20=0,0,L20/H20)</f>
        <v>-1</v>
      </c>
      <c r="O20" s="25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44871.11</v>
      </c>
      <c r="U20" s="13"/>
      <c r="V20" s="21">
        <f>IF(T$12=0,0,T20/T$12)</f>
        <v>0.75411475638511172</v>
      </c>
      <c r="W20" s="16"/>
      <c r="X20" s="22">
        <f>+P20-T20</f>
        <v>-44871.11</v>
      </c>
      <c r="Y20" s="16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1292.71</v>
      </c>
      <c r="E22" s="20"/>
      <c r="F22" s="35">
        <f t="shared" ref="F22:F31" si="14">IF(D$12=0,0,D22/D$12)</f>
        <v>0</v>
      </c>
      <c r="G22" s="20"/>
      <c r="H22" s="20">
        <f>SUM(OSRRefH22x_0)</f>
        <v>26007.21</v>
      </c>
      <c r="I22" s="20"/>
      <c r="J22" s="35">
        <f t="shared" ref="J22:J31" si="15">IF(H$12=0,0,H22/H$12)</f>
        <v>0.74426715446530922</v>
      </c>
      <c r="K22" s="4"/>
      <c r="L22" s="20">
        <f t="shared" ref="L22:L31" si="16">+D22-H22</f>
        <v>-24714.5</v>
      </c>
      <c r="M22" s="4"/>
      <c r="N22" s="35">
        <f t="shared" ref="N22:N31" si="17">IF(H22=0,0,L22/H22)</f>
        <v>-0.95029416842483294</v>
      </c>
      <c r="O22" s="10"/>
      <c r="P22" s="20">
        <f>SUM(OSRRefP22x_0)</f>
        <v>5147.9799999999996</v>
      </c>
      <c r="Q22" s="20"/>
      <c r="R22" s="35">
        <f t="shared" ref="R22:R31" si="18">IF(P$12=0,0,P22/P$12)</f>
        <v>0</v>
      </c>
      <c r="S22" s="20"/>
      <c r="T22" s="20">
        <f>SUM(OSRRefT22x_0)</f>
        <v>51286.39</v>
      </c>
      <c r="U22" s="20"/>
      <c r="V22" s="35">
        <f t="shared" ref="V22:V31" si="19">IF(T$12=0,0,T22/T$12)</f>
        <v>0.86193150783927186</v>
      </c>
      <c r="W22" s="4"/>
      <c r="X22" s="20">
        <f t="shared" ref="X22:X31" si="20">+P22-T22</f>
        <v>-46138.41</v>
      </c>
      <c r="Y22" s="4"/>
      <c r="Z22" s="35">
        <f t="shared" ref="Z22:Z31" si="21">IF(T22=0,0,X22/T22)</f>
        <v>-0.89962288240603416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3189.44</v>
      </c>
      <c r="I23" s="1"/>
      <c r="J23" s="5">
        <f t="shared" si="15"/>
        <v>9.1274513226825782E-2</v>
      </c>
      <c r="K23" s="1"/>
      <c r="L23" s="1">
        <f t="shared" si="16"/>
        <v>-3189.44</v>
      </c>
      <c r="M23" s="1"/>
      <c r="N23" s="5">
        <f t="shared" si="17"/>
        <v>-1</v>
      </c>
      <c r="O23" s="14"/>
      <c r="P23" s="1">
        <f>SUM(OSRRefP22_0x_0)</f>
        <v>1419.75</v>
      </c>
      <c r="Q23" s="1"/>
      <c r="R23" s="5">
        <f t="shared" si="18"/>
        <v>0</v>
      </c>
      <c r="S23" s="1"/>
      <c r="T23" s="1">
        <f>SUM(OSRRefT22_0x_0)</f>
        <v>5730.670000000001</v>
      </c>
      <c r="U23" s="1"/>
      <c r="V23" s="5">
        <f t="shared" si="19"/>
        <v>9.6311029768897383E-2</v>
      </c>
      <c r="W23" s="1"/>
      <c r="X23" s="1">
        <f t="shared" si="20"/>
        <v>-4310.920000000001</v>
      </c>
      <c r="Y23" s="1"/>
      <c r="Z23" s="5">
        <f t="shared" si="21"/>
        <v>-0.7522540994333996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870.65</v>
      </c>
      <c r="I24" s="2"/>
      <c r="J24" s="6">
        <f t="shared" si="15"/>
        <v>2.4916021289297138E-2</v>
      </c>
      <c r="K24" s="2"/>
      <c r="L24" s="7">
        <f t="shared" si="16"/>
        <v>-870.65</v>
      </c>
      <c r="M24" s="2"/>
      <c r="N24" s="6">
        <f t="shared" si="17"/>
        <v>-1</v>
      </c>
      <c r="O24" s="11"/>
      <c r="P24" s="7">
        <v>170.79</v>
      </c>
      <c r="Q24" s="2"/>
      <c r="R24" s="6">
        <f t="shared" si="18"/>
        <v>0</v>
      </c>
      <c r="S24" s="2"/>
      <c r="T24" s="7">
        <v>1336.67</v>
      </c>
      <c r="U24" s="2"/>
      <c r="V24" s="6">
        <f t="shared" si="19"/>
        <v>2.2464400176801673E-2</v>
      </c>
      <c r="W24" s="2"/>
      <c r="X24" s="7">
        <f t="shared" si="20"/>
        <v>-1165.8800000000001</v>
      </c>
      <c r="Y24" s="2"/>
      <c r="Z24" s="6">
        <f t="shared" si="21"/>
        <v>-0.87222725130361278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718.03</v>
      </c>
      <c r="I25" s="2"/>
      <c r="J25" s="6">
        <f t="shared" si="15"/>
        <v>2.05483842719279E-2</v>
      </c>
      <c r="K25" s="2"/>
      <c r="L25" s="7">
        <f t="shared" si="16"/>
        <v>-718.03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1090.0999999999999</v>
      </c>
      <c r="U25" s="2"/>
      <c r="V25" s="6">
        <f t="shared" si="19"/>
        <v>1.8320484960933889E-2</v>
      </c>
      <c r="W25" s="2"/>
      <c r="X25" s="7">
        <f t="shared" si="20"/>
        <v>-1090.0999999999999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/>
      <c r="E26" s="2"/>
      <c r="F26" s="6">
        <f t="shared" si="14"/>
        <v>0</v>
      </c>
      <c r="G26" s="2"/>
      <c r="H26" s="7">
        <v>698.2</v>
      </c>
      <c r="I26" s="2"/>
      <c r="J26" s="6">
        <f t="shared" si="15"/>
        <v>1.9980894807542945E-2</v>
      </c>
      <c r="K26" s="2"/>
      <c r="L26" s="7">
        <f t="shared" si="16"/>
        <v>-698.2</v>
      </c>
      <c r="M26" s="2"/>
      <c r="N26" s="6">
        <f t="shared" si="17"/>
        <v>-1</v>
      </c>
      <c r="O26" s="11"/>
      <c r="P26" s="7">
        <v>699.3</v>
      </c>
      <c r="Q26" s="2"/>
      <c r="R26" s="6">
        <f t="shared" si="18"/>
        <v>0</v>
      </c>
      <c r="S26" s="2"/>
      <c r="T26" s="7">
        <v>1396.4</v>
      </c>
      <c r="U26" s="2"/>
      <c r="V26" s="6">
        <f t="shared" si="19"/>
        <v>2.346823704196687E-2</v>
      </c>
      <c r="W26" s="2"/>
      <c r="X26" s="7">
        <f t="shared" si="20"/>
        <v>-697.10000000000014</v>
      </c>
      <c r="Y26" s="2"/>
      <c r="Z26" s="6">
        <f t="shared" si="21"/>
        <v>-0.49921226009739339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/>
      <c r="E27" s="2"/>
      <c r="F27" s="6">
        <f t="shared" si="14"/>
        <v>0</v>
      </c>
      <c r="G27" s="2"/>
      <c r="H27" s="7">
        <v>48.12</v>
      </c>
      <c r="I27" s="2"/>
      <c r="J27" s="6">
        <f t="shared" si="15"/>
        <v>1.3770848727283963E-3</v>
      </c>
      <c r="K27" s="2"/>
      <c r="L27" s="7">
        <f t="shared" si="16"/>
        <v>-48.12</v>
      </c>
      <c r="M27" s="2"/>
      <c r="N27" s="6">
        <f t="shared" si="17"/>
        <v>-1</v>
      </c>
      <c r="O27" s="11"/>
      <c r="P27" s="7"/>
      <c r="Q27" s="2"/>
      <c r="R27" s="6">
        <f t="shared" si="18"/>
        <v>0</v>
      </c>
      <c r="S27" s="2"/>
      <c r="T27" s="7">
        <v>73.05</v>
      </c>
      <c r="U27" s="2"/>
      <c r="V27" s="6">
        <f t="shared" si="19"/>
        <v>1.2276960154079632E-3</v>
      </c>
      <c r="W27" s="2"/>
      <c r="X27" s="7">
        <f t="shared" si="20"/>
        <v>-73.05</v>
      </c>
      <c r="Y27" s="2"/>
      <c r="Z27" s="6">
        <f t="shared" si="21"/>
        <v>-1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/>
      <c r="E28" s="2"/>
      <c r="F28" s="6">
        <f t="shared" si="14"/>
        <v>0</v>
      </c>
      <c r="G28" s="2"/>
      <c r="H28" s="7">
        <v>320.99</v>
      </c>
      <c r="I28" s="2"/>
      <c r="J28" s="6">
        <f t="shared" si="15"/>
        <v>9.1860031857250203E-3</v>
      </c>
      <c r="K28" s="2"/>
      <c r="L28" s="7">
        <f t="shared" si="16"/>
        <v>-320.99</v>
      </c>
      <c r="M28" s="2"/>
      <c r="N28" s="6">
        <f t="shared" si="17"/>
        <v>-1</v>
      </c>
      <c r="O28" s="11"/>
      <c r="P28" s="7">
        <v>355.22</v>
      </c>
      <c r="Q28" s="2"/>
      <c r="R28" s="6">
        <f t="shared" si="18"/>
        <v>0</v>
      </c>
      <c r="S28" s="2"/>
      <c r="T28" s="7">
        <v>641.98</v>
      </c>
      <c r="U28" s="2"/>
      <c r="V28" s="6">
        <f t="shared" si="19"/>
        <v>1.0789271567030859E-2</v>
      </c>
      <c r="W28" s="2"/>
      <c r="X28" s="7">
        <f t="shared" si="20"/>
        <v>-286.76</v>
      </c>
      <c r="Y28" s="2"/>
      <c r="Z28" s="6">
        <f t="shared" si="21"/>
        <v>-0.44668058194959342</v>
      </c>
    </row>
    <row r="29" spans="1:26" s="24" customFormat="1" hidden="1" outlineLevel="2" x14ac:dyDescent="0.25">
      <c r="A29" s="29"/>
      <c r="B29" s="11" t="str">
        <f>CONCATENATE("          ", "6118", " - ", "VACATION")</f>
        <v xml:space="preserve">          6118 - VACATION</v>
      </c>
      <c r="C29" s="11"/>
      <c r="D29" s="7"/>
      <c r="E29" s="2"/>
      <c r="F29" s="6">
        <f t="shared" si="14"/>
        <v>0</v>
      </c>
      <c r="G29" s="2"/>
      <c r="H29" s="7">
        <v>176.92</v>
      </c>
      <c r="I29" s="2"/>
      <c r="J29" s="6">
        <f t="shared" si="15"/>
        <v>5.063047707462757E-3</v>
      </c>
      <c r="K29" s="2"/>
      <c r="L29" s="7">
        <f t="shared" si="16"/>
        <v>-176.92</v>
      </c>
      <c r="M29" s="2"/>
      <c r="N29" s="6">
        <f t="shared" si="17"/>
        <v>-1</v>
      </c>
      <c r="O29" s="11"/>
      <c r="P29" s="7">
        <v>88.46</v>
      </c>
      <c r="Q29" s="2"/>
      <c r="R29" s="6">
        <f t="shared" si="18"/>
        <v>0</v>
      </c>
      <c r="S29" s="2"/>
      <c r="T29" s="7">
        <v>380.14</v>
      </c>
      <c r="U29" s="2"/>
      <c r="V29" s="6">
        <f t="shared" si="19"/>
        <v>6.3887250280244097E-3</v>
      </c>
      <c r="W29" s="2"/>
      <c r="X29" s="7">
        <f t="shared" si="20"/>
        <v>-291.68</v>
      </c>
      <c r="Y29" s="2"/>
      <c r="Z29" s="6">
        <f t="shared" si="21"/>
        <v>-0.76729625927289946</v>
      </c>
    </row>
    <row r="30" spans="1:26" s="24" customFormat="1" hidden="1" outlineLevel="2" x14ac:dyDescent="0.25">
      <c r="A30" s="29"/>
      <c r="B30" s="11" t="str">
        <f>CONCATENATE("          ", "6119", " - ", "SICK LEAVE")</f>
        <v xml:space="preserve">          6119 - SICK LEAVE</v>
      </c>
      <c r="C30" s="11"/>
      <c r="D30" s="7"/>
      <c r="E30" s="2"/>
      <c r="F30" s="6">
        <f t="shared" si="14"/>
        <v>0</v>
      </c>
      <c r="G30" s="2"/>
      <c r="H30" s="7">
        <v>211.96</v>
      </c>
      <c r="I30" s="2"/>
      <c r="J30" s="6">
        <f t="shared" si="15"/>
        <v>6.0658127519432857E-3</v>
      </c>
      <c r="K30" s="2"/>
      <c r="L30" s="7">
        <f t="shared" si="16"/>
        <v>-211.96</v>
      </c>
      <c r="M30" s="2"/>
      <c r="N30" s="6">
        <f t="shared" si="17"/>
        <v>-1</v>
      </c>
      <c r="O30" s="11"/>
      <c r="P30" s="7">
        <v>105.98</v>
      </c>
      <c r="Q30" s="2"/>
      <c r="R30" s="6">
        <f t="shared" si="18"/>
        <v>0</v>
      </c>
      <c r="S30" s="2"/>
      <c r="T30" s="7">
        <v>517.76</v>
      </c>
      <c r="U30" s="2"/>
      <c r="V30" s="6">
        <f t="shared" si="19"/>
        <v>8.7016001223494451E-3</v>
      </c>
      <c r="W30" s="2"/>
      <c r="X30" s="7">
        <f t="shared" si="20"/>
        <v>-411.78</v>
      </c>
      <c r="Y30" s="2"/>
      <c r="Z30" s="6">
        <f t="shared" si="21"/>
        <v>-0.79531056860321381</v>
      </c>
    </row>
    <row r="31" spans="1:26" s="24" customFormat="1" hidden="1" outlineLevel="2" x14ac:dyDescent="0.25">
      <c r="A31" s="29"/>
      <c r="B31" s="11" t="str">
        <f>CONCATENATE("          ", "6156", " - ", "EMPLOYEE MEALS")</f>
        <v xml:space="preserve">          6156 - EMPLOYEE MEALS</v>
      </c>
      <c r="C31" s="11"/>
      <c r="D31" s="7"/>
      <c r="E31" s="2"/>
      <c r="F31" s="6">
        <f t="shared" si="14"/>
        <v>0</v>
      </c>
      <c r="G31" s="2"/>
      <c r="H31" s="7">
        <v>144.57</v>
      </c>
      <c r="I31" s="2"/>
      <c r="J31" s="6">
        <f t="shared" si="15"/>
        <v>4.1372643401983433E-3</v>
      </c>
      <c r="K31" s="2"/>
      <c r="L31" s="7">
        <f t="shared" si="16"/>
        <v>-144.57</v>
      </c>
      <c r="M31" s="2"/>
      <c r="N31" s="6">
        <f t="shared" si="17"/>
        <v>-1</v>
      </c>
      <c r="O31" s="11"/>
      <c r="P31" s="7"/>
      <c r="Q31" s="2"/>
      <c r="R31" s="6">
        <f t="shared" si="18"/>
        <v>0</v>
      </c>
      <c r="S31" s="2"/>
      <c r="T31" s="7">
        <v>294.57</v>
      </c>
      <c r="U31" s="2"/>
      <c r="V31" s="6">
        <f t="shared" si="19"/>
        <v>4.9506148563822549E-3</v>
      </c>
      <c r="W31" s="2"/>
      <c r="X31" s="7">
        <f t="shared" si="20"/>
        <v>-294.57</v>
      </c>
      <c r="Y31" s="2"/>
      <c r="Z31" s="6">
        <f t="shared" si="21"/>
        <v>-1</v>
      </c>
    </row>
    <row r="32" spans="1:26" s="28" customFormat="1" outlineLevel="1" collapsed="1" x14ac:dyDescent="0.25">
      <c r="A32" s="27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0</v>
      </c>
      <c r="E32" s="1"/>
      <c r="F32" s="5">
        <f t="shared" ref="F32:F37" si="22">IF(D$12=0,0,D32/D$12)</f>
        <v>0</v>
      </c>
      <c r="G32" s="1"/>
      <c r="H32" s="1">
        <f>SUM(OSRRefH22_1x_0)</f>
        <v>12217.62</v>
      </c>
      <c r="I32" s="1"/>
      <c r="J32" s="5">
        <f t="shared" ref="J32:J37" si="23">IF(H$12=0,0,H32/H$12)</f>
        <v>0.349640475534994</v>
      </c>
      <c r="K32" s="1"/>
      <c r="L32" s="1">
        <f t="shared" ref="L32:L37" si="24">+D32-H32</f>
        <v>-12217.62</v>
      </c>
      <c r="M32" s="1"/>
      <c r="N32" s="5">
        <f t="shared" ref="N32:N37" si="25">IF(H32=0,0,L32/H32)</f>
        <v>-1</v>
      </c>
      <c r="O32" s="14"/>
      <c r="P32" s="1">
        <f>SUM(OSRRefP22_1x_0)</f>
        <v>1378.61</v>
      </c>
      <c r="Q32" s="1"/>
      <c r="R32" s="5">
        <f t="shared" ref="R32:R37" si="26">IF(P$12=0,0,P32/P$12)</f>
        <v>0</v>
      </c>
      <c r="S32" s="1"/>
      <c r="T32" s="1">
        <f>SUM(OSRRefT22_1x_0)</f>
        <v>20012.55</v>
      </c>
      <c r="U32" s="1"/>
      <c r="V32" s="5">
        <f t="shared" ref="V32:V37" si="27">IF(T$12=0,0,T32/T$12)</f>
        <v>0.33633576855787312</v>
      </c>
      <c r="W32" s="1"/>
      <c r="X32" s="1">
        <f t="shared" ref="X32:X37" si="28">+P32-T32</f>
        <v>-18633.939999999999</v>
      </c>
      <c r="Y32" s="1"/>
      <c r="Z32" s="5">
        <f t="shared" ref="Z32:Z37" si="29">IF(T32=0,0,X32/T32)</f>
        <v>-0.93111272676395562</v>
      </c>
    </row>
    <row r="33" spans="1:26" s="24" customFormat="1" hidden="1" outlineLevel="2" x14ac:dyDescent="0.25">
      <c r="A33" s="29"/>
      <c r="B33" s="11" t="str">
        <f>CONCATENATE("          ", "6002", " - ", "STAFF SALARIES")</f>
        <v xml:space="preserve">          6002 - STAFF SALARIES</v>
      </c>
      <c r="C33" s="11"/>
      <c r="D33" s="7"/>
      <c r="E33" s="2"/>
      <c r="F33" s="6">
        <f t="shared" si="22"/>
        <v>0</v>
      </c>
      <c r="G33" s="2"/>
      <c r="H33" s="7">
        <v>4595.38</v>
      </c>
      <c r="I33" s="2"/>
      <c r="J33" s="6">
        <f t="shared" si="23"/>
        <v>0.13150931592765208</v>
      </c>
      <c r="K33" s="2"/>
      <c r="L33" s="7">
        <f t="shared" si="24"/>
        <v>-4595.38</v>
      </c>
      <c r="M33" s="2"/>
      <c r="N33" s="6">
        <f t="shared" si="25"/>
        <v>-1</v>
      </c>
      <c r="O33" s="11"/>
      <c r="P33" s="7">
        <v>1378.61</v>
      </c>
      <c r="Q33" s="2"/>
      <c r="R33" s="6">
        <f t="shared" si="26"/>
        <v>0</v>
      </c>
      <c r="S33" s="2"/>
      <c r="T33" s="7">
        <v>10339.76</v>
      </c>
      <c r="U33" s="2"/>
      <c r="V33" s="6">
        <f t="shared" si="27"/>
        <v>0.17377251406262342</v>
      </c>
      <c r="W33" s="2"/>
      <c r="X33" s="7">
        <f t="shared" si="28"/>
        <v>-8961.15</v>
      </c>
      <c r="Y33" s="2"/>
      <c r="Z33" s="6">
        <f t="shared" si="29"/>
        <v>-0.86666905227974333</v>
      </c>
    </row>
    <row r="34" spans="1:26" s="24" customFormat="1" hidden="1" outlineLevel="2" x14ac:dyDescent="0.25">
      <c r="A34" s="29"/>
      <c r="B34" s="11" t="str">
        <f>CONCATENATE("          ", "6005", " - ", "TEMPORARY WAGES-HOURLY")</f>
        <v xml:space="preserve">          6005 - TEMPORARY WAGES-HOURLY</v>
      </c>
      <c r="C34" s="11"/>
      <c r="D34" s="7"/>
      <c r="E34" s="2"/>
      <c r="F34" s="6">
        <f t="shared" si="22"/>
        <v>0</v>
      </c>
      <c r="G34" s="2"/>
      <c r="H34" s="7">
        <v>3092.92</v>
      </c>
      <c r="I34" s="2"/>
      <c r="J34" s="6">
        <f t="shared" si="23"/>
        <v>8.851233051868479E-2</v>
      </c>
      <c r="K34" s="2"/>
      <c r="L34" s="7">
        <f t="shared" si="24"/>
        <v>-3092.92</v>
      </c>
      <c r="M34" s="2"/>
      <c r="N34" s="6">
        <f t="shared" si="25"/>
        <v>-1</v>
      </c>
      <c r="O34" s="11"/>
      <c r="P34" s="7"/>
      <c r="Q34" s="2"/>
      <c r="R34" s="6">
        <f t="shared" si="26"/>
        <v>0</v>
      </c>
      <c r="S34" s="2"/>
      <c r="T34" s="7">
        <v>4151.47</v>
      </c>
      <c r="U34" s="2"/>
      <c r="V34" s="6">
        <f t="shared" si="27"/>
        <v>6.9770611595971213E-2</v>
      </c>
      <c r="W34" s="2"/>
      <c r="X34" s="7">
        <f t="shared" si="28"/>
        <v>-4151.47</v>
      </c>
      <c r="Y34" s="2"/>
      <c r="Z34" s="6">
        <f t="shared" si="29"/>
        <v>-1</v>
      </c>
    </row>
    <row r="35" spans="1:26" s="24" customFormat="1" hidden="1" outlineLevel="2" x14ac:dyDescent="0.25">
      <c r="A35" s="29"/>
      <c r="B35" s="11" t="str">
        <f>CONCATENATE("          ", "6006", " - ", "TEMPORARY PART TIME")</f>
        <v xml:space="preserve">          6006 - TEMPORARY PART TIME</v>
      </c>
      <c r="C35" s="11"/>
      <c r="D35" s="7"/>
      <c r="E35" s="2"/>
      <c r="F35" s="6">
        <f t="shared" si="22"/>
        <v>0</v>
      </c>
      <c r="G35" s="2"/>
      <c r="H35" s="7">
        <v>225.38</v>
      </c>
      <c r="I35" s="2"/>
      <c r="J35" s="6">
        <f t="shared" si="23"/>
        <v>6.4498626063076887E-3</v>
      </c>
      <c r="K35" s="2"/>
      <c r="L35" s="7">
        <f t="shared" si="24"/>
        <v>-225.38</v>
      </c>
      <c r="M35" s="2"/>
      <c r="N35" s="6">
        <f t="shared" si="25"/>
        <v>-1</v>
      </c>
      <c r="O35" s="11"/>
      <c r="P35" s="7"/>
      <c r="Q35" s="2"/>
      <c r="R35" s="6">
        <f t="shared" si="26"/>
        <v>0</v>
      </c>
      <c r="S35" s="2"/>
      <c r="T35" s="7">
        <v>303.38</v>
      </c>
      <c r="U35" s="2"/>
      <c r="V35" s="6">
        <f t="shared" si="27"/>
        <v>5.0986778529016818E-3</v>
      </c>
      <c r="W35" s="2"/>
      <c r="X35" s="7">
        <f t="shared" si="28"/>
        <v>-303.38</v>
      </c>
      <c r="Y35" s="2"/>
      <c r="Z35" s="6">
        <f t="shared" si="29"/>
        <v>-1</v>
      </c>
    </row>
    <row r="36" spans="1:26" s="24" customFormat="1" hidden="1" outlineLevel="2" x14ac:dyDescent="0.25">
      <c r="A36" s="29"/>
      <c r="B36" s="11" t="str">
        <f>CONCATENATE("          ", "6007", " - ", "STUDENT HOURLY")</f>
        <v xml:space="preserve">          6007 - STUDENT HOURLY</v>
      </c>
      <c r="C36" s="11"/>
      <c r="D36" s="7"/>
      <c r="E36" s="2"/>
      <c r="F36" s="6">
        <f t="shared" si="22"/>
        <v>0</v>
      </c>
      <c r="G36" s="2"/>
      <c r="H36" s="7">
        <v>3556.94</v>
      </c>
      <c r="I36" s="2"/>
      <c r="J36" s="6">
        <f t="shared" si="23"/>
        <v>0.10179152674984503</v>
      </c>
      <c r="K36" s="2"/>
      <c r="L36" s="7">
        <f t="shared" si="24"/>
        <v>-3556.94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4422.9399999999996</v>
      </c>
      <c r="U36" s="2"/>
      <c r="V36" s="6">
        <f t="shared" si="27"/>
        <v>7.433300225035587E-2</v>
      </c>
      <c r="W36" s="2"/>
      <c r="X36" s="7">
        <f t="shared" si="28"/>
        <v>-4422.9399999999996</v>
      </c>
      <c r="Y36" s="2"/>
      <c r="Z36" s="6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"6008", " - ", "STUDENT HOURLY-FICA EXEMPT")</f>
        <v xml:space="preserve">          6008 - STUDENT HOURLY-FICA EXEMPT</v>
      </c>
      <c r="C37" s="11"/>
      <c r="D37" s="7"/>
      <c r="E37" s="2"/>
      <c r="F37" s="6">
        <f t="shared" si="22"/>
        <v>0</v>
      </c>
      <c r="G37" s="2"/>
      <c r="H37" s="7">
        <v>747</v>
      </c>
      <c r="I37" s="2"/>
      <c r="J37" s="6">
        <f t="shared" si="23"/>
        <v>2.1377439732504409E-2</v>
      </c>
      <c r="K37" s="2"/>
      <c r="L37" s="7">
        <f t="shared" si="24"/>
        <v>-747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795</v>
      </c>
      <c r="U37" s="2"/>
      <c r="V37" s="6">
        <f t="shared" si="27"/>
        <v>1.3360962796020955E-2</v>
      </c>
      <c r="W37" s="2"/>
      <c r="X37" s="7">
        <f t="shared" si="28"/>
        <v>-795</v>
      </c>
      <c r="Y37" s="2"/>
      <c r="Z37" s="6">
        <f t="shared" si="29"/>
        <v>-1</v>
      </c>
    </row>
    <row r="38" spans="1:26" s="28" customFormat="1" outlineLevel="1" collapsed="1" x14ac:dyDescent="0.25">
      <c r="A38" s="27"/>
      <c r="B38" s="14" t="str">
        <f>CONCATENATE("     ","Advertising/Promo                                 ")</f>
        <v xml:space="preserve">     Advertising/Promo                                 </v>
      </c>
      <c r="C38" s="14"/>
      <c r="D38" s="1">
        <f>SUM(OSRRefD22_2x_0)</f>
        <v>0</v>
      </c>
      <c r="E38" s="1"/>
      <c r="F38" s="5">
        <f t="shared" ref="F38:F54" si="30">IF(D$12=0,0,D38/D$12)</f>
        <v>0</v>
      </c>
      <c r="G38" s="1"/>
      <c r="H38" s="1">
        <f>SUM(OSRRefH22_2x_0)</f>
        <v>49.57</v>
      </c>
      <c r="I38" s="1"/>
      <c r="J38" s="5">
        <f t="shared" ref="J38:J54" si="31">IF(H$12=0,0,H38/H$12)</f>
        <v>1.4185805723430302E-3</v>
      </c>
      <c r="K38" s="1"/>
      <c r="L38" s="1">
        <f t="shared" ref="L38:L54" si="32">+D38-H38</f>
        <v>-49.57</v>
      </c>
      <c r="M38" s="1"/>
      <c r="N38" s="5">
        <f t="shared" ref="N38:N54" si="33">IF(H38=0,0,L38/H38)</f>
        <v>-1</v>
      </c>
      <c r="O38" s="14"/>
      <c r="P38" s="1">
        <f>SUM(OSRRefP22_2x_0)</f>
        <v>0</v>
      </c>
      <c r="Q38" s="1"/>
      <c r="R38" s="5">
        <f t="shared" ref="R38:R54" si="34">IF(P$12=0,0,P38/P$12)</f>
        <v>0</v>
      </c>
      <c r="S38" s="1"/>
      <c r="T38" s="1">
        <f>SUM(OSRRefT22_2x_0)</f>
        <v>49.57</v>
      </c>
      <c r="U38" s="1"/>
      <c r="V38" s="5">
        <f t="shared" ref="V38:V54" si="35">IF(T$12=0,0,T38/T$12)</f>
        <v>8.3308544125630028E-4</v>
      </c>
      <c r="W38" s="1"/>
      <c r="X38" s="1">
        <f t="shared" ref="X38:X54" si="36">+P38-T38</f>
        <v>-49.57</v>
      </c>
      <c r="Y38" s="1"/>
      <c r="Z38" s="5">
        <f t="shared" ref="Z38:Z54" si="37">IF(T38=0,0,X38/T38)</f>
        <v>-1</v>
      </c>
    </row>
    <row r="39" spans="1:26" s="24" customFormat="1" hidden="1" outlineLevel="2" x14ac:dyDescent="0.25">
      <c r="A39" s="29"/>
      <c r="B39" s="11" t="str">
        <f>CONCATENATE("          ", "6362", " - ", "ADVERTISING EXPENSE")</f>
        <v xml:space="preserve">          6362 - ADVERTISING EXPENSE</v>
      </c>
      <c r="C39" s="11"/>
      <c r="D39" s="7"/>
      <c r="E39" s="2"/>
      <c r="F39" s="6">
        <f t="shared" si="30"/>
        <v>0</v>
      </c>
      <c r="G39" s="2"/>
      <c r="H39" s="7">
        <v>49.57</v>
      </c>
      <c r="I39" s="2"/>
      <c r="J39" s="6">
        <f t="shared" si="31"/>
        <v>1.4185805723430302E-3</v>
      </c>
      <c r="K39" s="2"/>
      <c r="L39" s="7">
        <f t="shared" si="32"/>
        <v>-49.57</v>
      </c>
      <c r="M39" s="2"/>
      <c r="N39" s="6">
        <f t="shared" si="33"/>
        <v>-1</v>
      </c>
      <c r="O39" s="11"/>
      <c r="P39" s="7"/>
      <c r="Q39" s="2"/>
      <c r="R39" s="6">
        <f t="shared" si="34"/>
        <v>0</v>
      </c>
      <c r="S39" s="2"/>
      <c r="T39" s="7">
        <v>49.57</v>
      </c>
      <c r="U39" s="2"/>
      <c r="V39" s="6">
        <f t="shared" si="35"/>
        <v>8.3308544125630028E-4</v>
      </c>
      <c r="W39" s="2"/>
      <c r="X39" s="7">
        <f t="shared" si="36"/>
        <v>-49.57</v>
      </c>
      <c r="Y39" s="2"/>
      <c r="Z39" s="6">
        <f t="shared" si="37"/>
        <v>-1</v>
      </c>
    </row>
    <row r="40" spans="1:26" s="28" customFormat="1" outlineLevel="1" collapsed="1" x14ac:dyDescent="0.25">
      <c r="A40" s="27"/>
      <c r="B40" s="14" t="str">
        <f>CONCATENATE("     ","Bad Debts/Over/Short                              ")</f>
        <v xml:space="preserve">     Bad Debts/Over/Short                              </v>
      </c>
      <c r="C40" s="14"/>
      <c r="D40" s="1">
        <f>SUM(OSRRefD22_3x_0)</f>
        <v>0</v>
      </c>
      <c r="E40" s="1"/>
      <c r="F40" s="5">
        <f t="shared" si="30"/>
        <v>0</v>
      </c>
      <c r="G40" s="1"/>
      <c r="H40" s="1">
        <f>SUM(OSRRefH22_3x_0)</f>
        <v>4.3099999999999996</v>
      </c>
      <c r="I40" s="1"/>
      <c r="J40" s="5">
        <f t="shared" si="31"/>
        <v>1.2334238988901471E-4</v>
      </c>
      <c r="K40" s="1"/>
      <c r="L40" s="1">
        <f t="shared" si="32"/>
        <v>-4.3099999999999996</v>
      </c>
      <c r="M40" s="1"/>
      <c r="N40" s="5">
        <f t="shared" si="33"/>
        <v>-1</v>
      </c>
      <c r="O40" s="14"/>
      <c r="P40" s="1">
        <f>SUM(OSRRefP22_3x_0)</f>
        <v>0</v>
      </c>
      <c r="Q40" s="1"/>
      <c r="R40" s="5">
        <f t="shared" si="34"/>
        <v>0</v>
      </c>
      <c r="S40" s="1"/>
      <c r="T40" s="1">
        <f>SUM(OSRRefT22_3x_0)</f>
        <v>4.3099999999999996</v>
      </c>
      <c r="U40" s="1"/>
      <c r="V40" s="5">
        <f t="shared" si="35"/>
        <v>7.2434905221195356E-5</v>
      </c>
      <c r="W40" s="1"/>
      <c r="X40" s="1">
        <f t="shared" si="36"/>
        <v>-4.3099999999999996</v>
      </c>
      <c r="Y40" s="1"/>
      <c r="Z40" s="5">
        <f t="shared" si="37"/>
        <v>-1</v>
      </c>
    </row>
    <row r="41" spans="1:26" s="24" customFormat="1" hidden="1" outlineLevel="2" x14ac:dyDescent="0.25">
      <c r="A41" s="29"/>
      <c r="B41" s="11" t="str">
        <f>CONCATENATE("          ", "6272", " - ", "CASH (OVER/SHORT)")</f>
        <v xml:space="preserve">          6272 - CASH (OVER/SHORT)</v>
      </c>
      <c r="C41" s="11"/>
      <c r="D41" s="7"/>
      <c r="E41" s="2"/>
      <c r="F41" s="6">
        <f t="shared" si="30"/>
        <v>0</v>
      </c>
      <c r="G41" s="2"/>
      <c r="H41" s="7">
        <v>4.3099999999999996</v>
      </c>
      <c r="I41" s="2"/>
      <c r="J41" s="6">
        <f t="shared" si="31"/>
        <v>1.2334238988901471E-4</v>
      </c>
      <c r="K41" s="2"/>
      <c r="L41" s="7">
        <f t="shared" si="32"/>
        <v>-4.3099999999999996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4.3099999999999996</v>
      </c>
      <c r="U41" s="2"/>
      <c r="V41" s="6">
        <f t="shared" si="35"/>
        <v>7.2434905221195356E-5</v>
      </c>
      <c r="W41" s="2"/>
      <c r="X41" s="7">
        <f t="shared" si="36"/>
        <v>-4.3099999999999996</v>
      </c>
      <c r="Y41" s="2"/>
      <c r="Z41" s="6">
        <f t="shared" si="37"/>
        <v>-1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SUM(OSRRefD22_4x_0)</f>
        <v>0</v>
      </c>
      <c r="E42" s="1"/>
      <c r="F42" s="5">
        <f t="shared" si="30"/>
        <v>0</v>
      </c>
      <c r="G42" s="1"/>
      <c r="H42" s="1">
        <f>SUM(OSRRefH22_4x_0)</f>
        <v>923.6</v>
      </c>
      <c r="I42" s="1"/>
      <c r="J42" s="5">
        <f t="shared" si="31"/>
        <v>2.6431329768328075E-2</v>
      </c>
      <c r="K42" s="1"/>
      <c r="L42" s="1">
        <f t="shared" si="32"/>
        <v>-923.6</v>
      </c>
      <c r="M42" s="1"/>
      <c r="N42" s="5">
        <f t="shared" si="33"/>
        <v>-1</v>
      </c>
      <c r="O42" s="14"/>
      <c r="P42" s="1">
        <f>SUM(OSRRefP22_4x_0)</f>
        <v>0</v>
      </c>
      <c r="Q42" s="1"/>
      <c r="R42" s="5">
        <f t="shared" si="34"/>
        <v>0</v>
      </c>
      <c r="S42" s="1"/>
      <c r="T42" s="1">
        <f>SUM(OSRRefT22_4x_0)</f>
        <v>1429.4</v>
      </c>
      <c r="U42" s="1"/>
      <c r="V42" s="5">
        <f t="shared" si="35"/>
        <v>2.4022843044820569E-2</v>
      </c>
      <c r="W42" s="1"/>
      <c r="X42" s="1">
        <f t="shared" si="36"/>
        <v>-1429.4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923.6</v>
      </c>
      <c r="I43" s="2"/>
      <c r="J43" s="6">
        <f t="shared" si="31"/>
        <v>2.6431329768328075E-2</v>
      </c>
      <c r="K43" s="2"/>
      <c r="L43" s="7">
        <f t="shared" si="32"/>
        <v>-923.6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1429.4</v>
      </c>
      <c r="U43" s="2"/>
      <c r="V43" s="6">
        <f t="shared" si="35"/>
        <v>2.4022843044820569E-2</v>
      </c>
      <c r="W43" s="2"/>
      <c r="X43" s="7">
        <f t="shared" si="36"/>
        <v>-1429.4</v>
      </c>
      <c r="Y43" s="2"/>
      <c r="Z43" s="6">
        <f t="shared" si="37"/>
        <v>-1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SUM(OSRRefD22_5x_0)</f>
        <v>1000.91</v>
      </c>
      <c r="E44" s="1"/>
      <c r="F44" s="5">
        <f t="shared" si="30"/>
        <v>0</v>
      </c>
      <c r="G44" s="1"/>
      <c r="H44" s="1">
        <f>SUM(OSRRefH22_5x_0)</f>
        <v>255.35</v>
      </c>
      <c r="I44" s="1"/>
      <c r="J44" s="5">
        <f t="shared" si="31"/>
        <v>7.3075357907563592E-3</v>
      </c>
      <c r="K44" s="1"/>
      <c r="L44" s="1">
        <f t="shared" si="32"/>
        <v>745.56</v>
      </c>
      <c r="M44" s="1"/>
      <c r="N44" s="5">
        <f t="shared" si="33"/>
        <v>2.9197571960054827</v>
      </c>
      <c r="O44" s="14"/>
      <c r="P44" s="1">
        <f>SUM(OSRRefP22_5x_0)</f>
        <v>2001.82</v>
      </c>
      <c r="Q44" s="1"/>
      <c r="R44" s="5">
        <f t="shared" si="34"/>
        <v>0</v>
      </c>
      <c r="S44" s="1"/>
      <c r="T44" s="1">
        <f>SUM(OSRRefT22_5x_0)</f>
        <v>510.7</v>
      </c>
      <c r="U44" s="1"/>
      <c r="V44" s="5">
        <f t="shared" si="35"/>
        <v>8.5829480502237748E-3</v>
      </c>
      <c r="W44" s="1"/>
      <c r="X44" s="1">
        <f t="shared" si="36"/>
        <v>1491.12</v>
      </c>
      <c r="Y44" s="1"/>
      <c r="Z44" s="5">
        <f t="shared" si="37"/>
        <v>2.9197571960054827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1000.91</v>
      </c>
      <c r="E45" s="2"/>
      <c r="F45" s="6">
        <f t="shared" si="30"/>
        <v>0</v>
      </c>
      <c r="G45" s="2"/>
      <c r="H45" s="7">
        <v>255.35</v>
      </c>
      <c r="I45" s="2"/>
      <c r="J45" s="6">
        <f t="shared" si="31"/>
        <v>7.3075357907563592E-3</v>
      </c>
      <c r="K45" s="2"/>
      <c r="L45" s="7">
        <f t="shared" si="32"/>
        <v>745.56</v>
      </c>
      <c r="M45" s="2"/>
      <c r="N45" s="6">
        <f t="shared" si="33"/>
        <v>2.9197571960054827</v>
      </c>
      <c r="O45" s="11"/>
      <c r="P45" s="7">
        <v>2001.82</v>
      </c>
      <c r="Q45" s="2"/>
      <c r="R45" s="6">
        <f t="shared" si="34"/>
        <v>0</v>
      </c>
      <c r="S45" s="2"/>
      <c r="T45" s="7">
        <v>510.7</v>
      </c>
      <c r="U45" s="2"/>
      <c r="V45" s="6">
        <f t="shared" si="35"/>
        <v>8.5829480502237748E-3</v>
      </c>
      <c r="W45" s="2"/>
      <c r="X45" s="7">
        <f t="shared" si="36"/>
        <v>1491.12</v>
      </c>
      <c r="Y45" s="2"/>
      <c r="Z45" s="6">
        <f t="shared" si="37"/>
        <v>2.9197571960054827</v>
      </c>
    </row>
    <row r="46" spans="1:26" s="28" customFormat="1" outlineLevel="1" collapsed="1" x14ac:dyDescent="0.25">
      <c r="A46" s="27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si="30"/>
        <v>0</v>
      </c>
      <c r="G46" s="1"/>
      <c r="H46" s="1">
        <f>SUM(OSRRefH22_6x_0)</f>
        <v>88.6</v>
      </c>
      <c r="I46" s="1"/>
      <c r="J46" s="5">
        <f t="shared" si="31"/>
        <v>2.5355303350734814E-3</v>
      </c>
      <c r="K46" s="1"/>
      <c r="L46" s="1">
        <f t="shared" si="32"/>
        <v>-88.6</v>
      </c>
      <c r="M46" s="1"/>
      <c r="N46" s="5">
        <f t="shared" si="33"/>
        <v>-1</v>
      </c>
      <c r="O46" s="14"/>
      <c r="P46" s="1">
        <f>SUM(OSRRefP22_6x_0)</f>
        <v>0</v>
      </c>
      <c r="Q46" s="1"/>
      <c r="R46" s="5">
        <f t="shared" si="34"/>
        <v>0</v>
      </c>
      <c r="S46" s="1"/>
      <c r="T46" s="1">
        <f>SUM(OSRRefT22_6x_0)</f>
        <v>88.6</v>
      </c>
      <c r="U46" s="1"/>
      <c r="V46" s="5">
        <f t="shared" si="35"/>
        <v>1.4890330864496307E-3</v>
      </c>
      <c r="W46" s="1"/>
      <c r="X46" s="1">
        <f t="shared" si="36"/>
        <v>-88.6</v>
      </c>
      <c r="Y46" s="1"/>
      <c r="Z46" s="5">
        <f t="shared" si="37"/>
        <v>-1</v>
      </c>
    </row>
    <row r="47" spans="1:26" s="24" customFormat="1" hidden="1" outlineLevel="2" x14ac:dyDescent="0.25">
      <c r="A47" s="29"/>
      <c r="B47" s="11" t="str">
        <f>CONCATENATE("          ", "6277", " - ", "EMPLOYEE APPRECIATION")</f>
        <v xml:space="preserve">          6277 - EMPLOYEE APPRECIATION</v>
      </c>
      <c r="C47" s="11"/>
      <c r="D47" s="7"/>
      <c r="E47" s="2"/>
      <c r="F47" s="6">
        <f t="shared" si="30"/>
        <v>0</v>
      </c>
      <c r="G47" s="2"/>
      <c r="H47" s="7">
        <v>88.6</v>
      </c>
      <c r="I47" s="2"/>
      <c r="J47" s="6">
        <f t="shared" si="31"/>
        <v>2.5355303350734814E-3</v>
      </c>
      <c r="K47" s="2"/>
      <c r="L47" s="7">
        <f t="shared" si="32"/>
        <v>-88.6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88.6</v>
      </c>
      <c r="U47" s="2"/>
      <c r="V47" s="6">
        <f t="shared" si="35"/>
        <v>1.4890330864496307E-3</v>
      </c>
      <c r="W47" s="2"/>
      <c r="X47" s="7">
        <f t="shared" si="36"/>
        <v>-88.6</v>
      </c>
      <c r="Y47" s="2"/>
      <c r="Z47" s="6">
        <f t="shared" si="37"/>
        <v>-1</v>
      </c>
    </row>
    <row r="48" spans="1:26" s="28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0</v>
      </c>
      <c r="E48" s="1"/>
      <c r="F48" s="5">
        <f t="shared" si="30"/>
        <v>0</v>
      </c>
      <c r="G48" s="1"/>
      <c r="H48" s="1">
        <f>SUM(OSRRefH22_7x_0)</f>
        <v>350</v>
      </c>
      <c r="I48" s="1"/>
      <c r="J48" s="5">
        <f t="shared" si="31"/>
        <v>1.0016203355256416E-2</v>
      </c>
      <c r="K48" s="1"/>
      <c r="L48" s="1">
        <f t="shared" si="32"/>
        <v>-350</v>
      </c>
      <c r="M48" s="1"/>
      <c r="N48" s="5">
        <f t="shared" si="33"/>
        <v>-1</v>
      </c>
      <c r="O48" s="14"/>
      <c r="P48" s="1">
        <f>SUM(OSRRefP22_7x_0)</f>
        <v>0</v>
      </c>
      <c r="Q48" s="1"/>
      <c r="R48" s="5">
        <f t="shared" si="34"/>
        <v>0</v>
      </c>
      <c r="S48" s="1"/>
      <c r="T48" s="1">
        <f>SUM(OSRRefT22_7x_0)</f>
        <v>350</v>
      </c>
      <c r="U48" s="1"/>
      <c r="V48" s="5">
        <f t="shared" si="35"/>
        <v>5.8821848787513637E-3</v>
      </c>
      <c r="W48" s="1"/>
      <c r="X48" s="1">
        <f t="shared" si="36"/>
        <v>-350</v>
      </c>
      <c r="Y48" s="1"/>
      <c r="Z48" s="5">
        <f t="shared" si="37"/>
        <v>-1</v>
      </c>
    </row>
    <row r="49" spans="1:26" s="24" customFormat="1" hidden="1" outlineLevel="2" x14ac:dyDescent="0.25">
      <c r="A49" s="29"/>
      <c r="B49" s="11" t="str">
        <f>CONCATENATE("          ", "6351", " - ", "EQUIPMENT RENTAL")</f>
        <v xml:space="preserve">          6351 - EQUIPMENT RENTAL</v>
      </c>
      <c r="C49" s="11"/>
      <c r="D49" s="7"/>
      <c r="E49" s="2"/>
      <c r="F49" s="6">
        <f t="shared" si="30"/>
        <v>0</v>
      </c>
      <c r="G49" s="2"/>
      <c r="H49" s="7">
        <v>350</v>
      </c>
      <c r="I49" s="2"/>
      <c r="J49" s="6">
        <f t="shared" si="31"/>
        <v>1.0016203355256416E-2</v>
      </c>
      <c r="K49" s="2"/>
      <c r="L49" s="7">
        <f t="shared" si="32"/>
        <v>-350</v>
      </c>
      <c r="M49" s="2"/>
      <c r="N49" s="6">
        <f t="shared" si="33"/>
        <v>-1</v>
      </c>
      <c r="O49" s="11"/>
      <c r="P49" s="7"/>
      <c r="Q49" s="2"/>
      <c r="R49" s="6">
        <f t="shared" si="34"/>
        <v>0</v>
      </c>
      <c r="S49" s="2"/>
      <c r="T49" s="7">
        <v>350</v>
      </c>
      <c r="U49" s="2"/>
      <c r="V49" s="6">
        <f t="shared" si="35"/>
        <v>5.8821848787513637E-3</v>
      </c>
      <c r="W49" s="2"/>
      <c r="X49" s="7">
        <f t="shared" si="36"/>
        <v>-350</v>
      </c>
      <c r="Y49" s="2"/>
      <c r="Z49" s="6">
        <f t="shared" si="37"/>
        <v>-1</v>
      </c>
    </row>
    <row r="50" spans="1:26" s="28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0</v>
      </c>
      <c r="E50" s="1"/>
      <c r="F50" s="5">
        <f t="shared" si="30"/>
        <v>0</v>
      </c>
      <c r="G50" s="1"/>
      <c r="H50" s="1">
        <f>SUM(OSRRefH22_8x_0)</f>
        <v>425</v>
      </c>
      <c r="I50" s="1"/>
      <c r="J50" s="5">
        <f t="shared" si="31"/>
        <v>1.2162532645668505E-2</v>
      </c>
      <c r="K50" s="1"/>
      <c r="L50" s="1">
        <f t="shared" si="32"/>
        <v>-425</v>
      </c>
      <c r="M50" s="1"/>
      <c r="N50" s="5">
        <f t="shared" si="33"/>
        <v>-1</v>
      </c>
      <c r="O50" s="14"/>
      <c r="P50" s="1">
        <f>SUM(OSRRefP22_8x_0)</f>
        <v>0</v>
      </c>
      <c r="Q50" s="1"/>
      <c r="R50" s="5">
        <f t="shared" si="34"/>
        <v>0</v>
      </c>
      <c r="S50" s="1"/>
      <c r="T50" s="1">
        <f>SUM(OSRRefT22_8x_0)</f>
        <v>5398.49</v>
      </c>
      <c r="U50" s="1"/>
      <c r="V50" s="5">
        <f t="shared" si="35"/>
        <v>9.072833213168699E-2</v>
      </c>
      <c r="W50" s="1"/>
      <c r="X50" s="1">
        <f t="shared" si="36"/>
        <v>-5398.49</v>
      </c>
      <c r="Y50" s="1"/>
      <c r="Z50" s="5">
        <f t="shared" si="37"/>
        <v>-1</v>
      </c>
    </row>
    <row r="51" spans="1:26" s="24" customFormat="1" hidden="1" outlineLevel="2" x14ac:dyDescent="0.25">
      <c r="A51" s="29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30"/>
        <v>0</v>
      </c>
      <c r="G51" s="2"/>
      <c r="H51" s="7">
        <v>425</v>
      </c>
      <c r="I51" s="2"/>
      <c r="J51" s="6">
        <f t="shared" si="31"/>
        <v>1.2162532645668505E-2</v>
      </c>
      <c r="K51" s="2"/>
      <c r="L51" s="7">
        <f t="shared" si="32"/>
        <v>-425</v>
      </c>
      <c r="M51" s="2"/>
      <c r="N51" s="6">
        <f t="shared" si="33"/>
        <v>-1</v>
      </c>
      <c r="O51" s="11"/>
      <c r="P51" s="7"/>
      <c r="Q51" s="2"/>
      <c r="R51" s="6">
        <f t="shared" si="34"/>
        <v>0</v>
      </c>
      <c r="S51" s="2"/>
      <c r="T51" s="7">
        <v>5398.49</v>
      </c>
      <c r="U51" s="2"/>
      <c r="V51" s="6">
        <f t="shared" si="35"/>
        <v>9.072833213168699E-2</v>
      </c>
      <c r="W51" s="2"/>
      <c r="X51" s="7">
        <f t="shared" si="36"/>
        <v>-5398.49</v>
      </c>
      <c r="Y51" s="2"/>
      <c r="Z51" s="6">
        <f t="shared" si="37"/>
        <v>-1</v>
      </c>
    </row>
    <row r="52" spans="1:26" s="28" customFormat="1" outlineLevel="1" collapsed="1" x14ac:dyDescent="0.25">
      <c r="A52" s="27"/>
      <c r="B52" s="14" t="str">
        <f>CONCATENATE("     ","Repair and Maintenance                            ")</f>
        <v xml:space="preserve">     Repair and Maintenance                            </v>
      </c>
      <c r="C52" s="14"/>
      <c r="D52" s="1">
        <f>SUM(OSRRefD22_9x_0)</f>
        <v>235.8</v>
      </c>
      <c r="E52" s="1"/>
      <c r="F52" s="5">
        <f t="shared" si="30"/>
        <v>0</v>
      </c>
      <c r="G52" s="1"/>
      <c r="H52" s="1">
        <f>SUM(OSRRefH22_9x_0)</f>
        <v>0</v>
      </c>
      <c r="I52" s="1"/>
      <c r="J52" s="5">
        <f t="shared" si="31"/>
        <v>0</v>
      </c>
      <c r="K52" s="1"/>
      <c r="L52" s="1">
        <f t="shared" si="32"/>
        <v>235.8</v>
      </c>
      <c r="M52" s="1"/>
      <c r="N52" s="5">
        <f t="shared" si="33"/>
        <v>0</v>
      </c>
      <c r="O52" s="14"/>
      <c r="P52" s="1">
        <f>SUM(OSRRefP22_9x_0)</f>
        <v>235.8</v>
      </c>
      <c r="Q52" s="1"/>
      <c r="R52" s="5">
        <f t="shared" si="34"/>
        <v>0</v>
      </c>
      <c r="S52" s="1"/>
      <c r="T52" s="1">
        <f>SUM(OSRRefT22_9x_0)</f>
        <v>838.95</v>
      </c>
      <c r="U52" s="1"/>
      <c r="V52" s="5">
        <f t="shared" si="35"/>
        <v>1.4099597154367019E-2</v>
      </c>
      <c r="W52" s="1"/>
      <c r="X52" s="1">
        <f t="shared" si="36"/>
        <v>-603.15000000000009</v>
      </c>
      <c r="Y52" s="1"/>
      <c r="Z52" s="5">
        <f t="shared" si="37"/>
        <v>-0.71893438226354378</v>
      </c>
    </row>
    <row r="53" spans="1:26" s="24" customFormat="1" hidden="1" outlineLevel="2" x14ac:dyDescent="0.25">
      <c r="A53" s="29"/>
      <c r="B53" s="11" t="str">
        <f>CONCATENATE("          ", "6373", " - ", "MAINTENANCE CONTRACTS")</f>
        <v xml:space="preserve">          6373 - MAINTENANCE CONTRACTS</v>
      </c>
      <c r="C53" s="11"/>
      <c r="D53" s="7">
        <v>235.8</v>
      </c>
      <c r="E53" s="2"/>
      <c r="F53" s="6">
        <f t="shared" si="30"/>
        <v>0</v>
      </c>
      <c r="G53" s="2"/>
      <c r="H53" s="7"/>
      <c r="I53" s="2"/>
      <c r="J53" s="6">
        <f t="shared" si="31"/>
        <v>0</v>
      </c>
      <c r="K53" s="2"/>
      <c r="L53" s="7">
        <f t="shared" si="32"/>
        <v>235.8</v>
      </c>
      <c r="M53" s="2"/>
      <c r="N53" s="6">
        <f t="shared" si="33"/>
        <v>0</v>
      </c>
      <c r="O53" s="11"/>
      <c r="P53" s="7">
        <v>235.8</v>
      </c>
      <c r="Q53" s="2"/>
      <c r="R53" s="6">
        <f t="shared" si="34"/>
        <v>0</v>
      </c>
      <c r="S53" s="2"/>
      <c r="T53" s="7"/>
      <c r="U53" s="2"/>
      <c r="V53" s="6">
        <f t="shared" si="35"/>
        <v>0</v>
      </c>
      <c r="W53" s="2"/>
      <c r="X53" s="7">
        <f t="shared" si="36"/>
        <v>235.8</v>
      </c>
      <c r="Y53" s="2"/>
      <c r="Z53" s="6">
        <f t="shared" si="37"/>
        <v>0</v>
      </c>
    </row>
    <row r="54" spans="1:26" s="24" customFormat="1" hidden="1" outlineLevel="2" x14ac:dyDescent="0.25">
      <c r="A54" s="29"/>
      <c r="B54" s="11" t="str">
        <f>CONCATENATE("          ", "6375", " - ", "OUTSIDE REPAIRS &amp; MAINTENANCE")</f>
        <v xml:space="preserve">          6375 - OUTSIDE REPAIRS &amp; MAINTENANCE</v>
      </c>
      <c r="C54" s="11"/>
      <c r="D54" s="7"/>
      <c r="E54" s="2"/>
      <c r="F54" s="6">
        <f t="shared" si="30"/>
        <v>0</v>
      </c>
      <c r="G54" s="2"/>
      <c r="H54" s="7"/>
      <c r="I54" s="2"/>
      <c r="J54" s="6">
        <f t="shared" si="31"/>
        <v>0</v>
      </c>
      <c r="K54" s="2"/>
      <c r="L54" s="7">
        <f t="shared" si="32"/>
        <v>0</v>
      </c>
      <c r="M54" s="2"/>
      <c r="N54" s="6">
        <f t="shared" si="33"/>
        <v>0</v>
      </c>
      <c r="O54" s="11"/>
      <c r="P54" s="7"/>
      <c r="Q54" s="2"/>
      <c r="R54" s="6">
        <f t="shared" si="34"/>
        <v>0</v>
      </c>
      <c r="S54" s="2"/>
      <c r="T54" s="7">
        <v>838.95</v>
      </c>
      <c r="U54" s="2"/>
      <c r="V54" s="6">
        <f t="shared" si="35"/>
        <v>1.4099597154367019E-2</v>
      </c>
      <c r="W54" s="2"/>
      <c r="X54" s="7">
        <f t="shared" si="36"/>
        <v>-838.95</v>
      </c>
      <c r="Y54" s="2"/>
      <c r="Z54" s="6">
        <f t="shared" si="37"/>
        <v>-1</v>
      </c>
    </row>
    <row r="55" spans="1:26" s="28" customFormat="1" outlineLevel="1" collapsed="1" x14ac:dyDescent="0.25">
      <c r="A55" s="27"/>
      <c r="B55" s="14" t="str">
        <f>CONCATENATE("     ","Royalty &amp; Commissions                             ")</f>
        <v xml:space="preserve">     Royalty &amp; Commissions                             </v>
      </c>
      <c r="C55" s="14"/>
      <c r="D55" s="1">
        <f>SUM(OSRRefD22_10x_0)</f>
        <v>0</v>
      </c>
      <c r="E55" s="1"/>
      <c r="F55" s="5">
        <f t="shared" ref="F55:F59" si="38">IF(D$12=0,0,D55/D$12)</f>
        <v>0</v>
      </c>
      <c r="G55" s="1"/>
      <c r="H55" s="1">
        <f>SUM(OSRRefH22_10x_0)</f>
        <v>7022.42</v>
      </c>
      <c r="I55" s="1"/>
      <c r="J55" s="5">
        <f t="shared" ref="J55:J59" si="39">IF(H$12=0,0,H55/H$12)</f>
        <v>0.20096567647434219</v>
      </c>
      <c r="K55" s="1"/>
      <c r="L55" s="1">
        <f t="shared" ref="L55:L59" si="40">+D55-H55</f>
        <v>-7022.42</v>
      </c>
      <c r="M55" s="1"/>
      <c r="N55" s="5">
        <f t="shared" ref="N55:N59" si="41">IF(H55=0,0,L55/H55)</f>
        <v>-1</v>
      </c>
      <c r="O55" s="14"/>
      <c r="P55" s="1">
        <f>SUM(OSRRefP22_10x_0)</f>
        <v>0</v>
      </c>
      <c r="Q55" s="1"/>
      <c r="R55" s="5">
        <f t="shared" ref="R55:R59" si="42">IF(P$12=0,0,P55/P$12)</f>
        <v>0</v>
      </c>
      <c r="S55" s="1"/>
      <c r="T55" s="1">
        <f>SUM(OSRRefT22_10x_0)</f>
        <v>13377.08</v>
      </c>
      <c r="U55" s="1"/>
      <c r="V55" s="5">
        <f t="shared" ref="V55:V59" si="43">IF(T$12=0,0,T55/T$12)</f>
        <v>0.22481845056527797</v>
      </c>
      <c r="W55" s="1"/>
      <c r="X55" s="1">
        <f t="shared" ref="X55:X59" si="44">+P55-T55</f>
        <v>-13377.08</v>
      </c>
      <c r="Y55" s="1"/>
      <c r="Z55" s="5">
        <f t="shared" ref="Z55:Z59" si="45">IF(T55=0,0,X55/T55)</f>
        <v>-1</v>
      </c>
    </row>
    <row r="56" spans="1:26" s="24" customFormat="1" hidden="1" outlineLevel="2" x14ac:dyDescent="0.25">
      <c r="A56" s="29"/>
      <c r="B56" s="11" t="str">
        <f>CONCATENATE("          ", "6254", " - ", "ROYALTY &amp; COMMISSIONS")</f>
        <v xml:space="preserve">          6254 - ROYALTY &amp; COMMISSIONS</v>
      </c>
      <c r="C56" s="11"/>
      <c r="D56" s="7"/>
      <c r="E56" s="2"/>
      <c r="F56" s="6">
        <f t="shared" si="38"/>
        <v>0</v>
      </c>
      <c r="G56" s="2"/>
      <c r="H56" s="7">
        <v>7022.42</v>
      </c>
      <c r="I56" s="2"/>
      <c r="J56" s="6">
        <f t="shared" si="39"/>
        <v>0.20096567647434219</v>
      </c>
      <c r="K56" s="2"/>
      <c r="L56" s="7">
        <f t="shared" si="40"/>
        <v>-7022.42</v>
      </c>
      <c r="M56" s="2"/>
      <c r="N56" s="6">
        <f t="shared" si="41"/>
        <v>-1</v>
      </c>
      <c r="O56" s="11"/>
      <c r="P56" s="7"/>
      <c r="Q56" s="2"/>
      <c r="R56" s="6">
        <f t="shared" si="42"/>
        <v>0</v>
      </c>
      <c r="S56" s="2"/>
      <c r="T56" s="7">
        <v>13377.08</v>
      </c>
      <c r="U56" s="2"/>
      <c r="V56" s="6">
        <f t="shared" si="43"/>
        <v>0.22481845056527797</v>
      </c>
      <c r="W56" s="2"/>
      <c r="X56" s="7">
        <f t="shared" si="44"/>
        <v>-13377.08</v>
      </c>
      <c r="Y56" s="2"/>
      <c r="Z56" s="6">
        <f t="shared" si="45"/>
        <v>-1</v>
      </c>
    </row>
    <row r="57" spans="1:26" s="28" customFormat="1" outlineLevel="1" collapsed="1" x14ac:dyDescent="0.25">
      <c r="A57" s="27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0</v>
      </c>
      <c r="E57" s="1"/>
      <c r="F57" s="5">
        <f t="shared" si="38"/>
        <v>0</v>
      </c>
      <c r="G57" s="1"/>
      <c r="H57" s="1">
        <f>SUM(OSRRefH22_11x_0)</f>
        <v>274.55</v>
      </c>
      <c r="I57" s="1"/>
      <c r="J57" s="5">
        <f t="shared" si="39"/>
        <v>7.8569960891018541E-3</v>
      </c>
      <c r="K57" s="1"/>
      <c r="L57" s="1">
        <f t="shared" si="40"/>
        <v>-274.55</v>
      </c>
      <c r="M57" s="1"/>
      <c r="N57" s="5">
        <f t="shared" si="41"/>
        <v>-1</v>
      </c>
      <c r="O57" s="14"/>
      <c r="P57" s="1">
        <f>SUM(OSRRefP22_11x_0)</f>
        <v>0</v>
      </c>
      <c r="Q57" s="1"/>
      <c r="R57" s="5">
        <f t="shared" si="42"/>
        <v>0</v>
      </c>
      <c r="S57" s="1"/>
      <c r="T57" s="1">
        <f>SUM(OSRRefT22_11x_0)</f>
        <v>508.48</v>
      </c>
      <c r="U57" s="1"/>
      <c r="V57" s="5">
        <f t="shared" si="43"/>
        <v>8.5456381918499816E-3</v>
      </c>
      <c r="W57" s="1"/>
      <c r="X57" s="1">
        <f t="shared" si="44"/>
        <v>-508.48</v>
      </c>
      <c r="Y57" s="1"/>
      <c r="Z57" s="5">
        <f t="shared" si="45"/>
        <v>-1</v>
      </c>
    </row>
    <row r="58" spans="1:26" s="24" customFormat="1" hidden="1" outlineLevel="2" x14ac:dyDescent="0.25">
      <c r="A58" s="29"/>
      <c r="B58" s="11" t="str">
        <f>CONCATENATE("          ", "6282", " - ", "JANITORIAL/EXTERMINATOR EXPENS")</f>
        <v xml:space="preserve">          6282 - JANITORIAL/EXTERMINATOR EXPENS</v>
      </c>
      <c r="C58" s="11"/>
      <c r="D58" s="7"/>
      <c r="E58" s="2"/>
      <c r="F58" s="6">
        <f t="shared" si="38"/>
        <v>0</v>
      </c>
      <c r="G58" s="2"/>
      <c r="H58" s="7">
        <v>225.81</v>
      </c>
      <c r="I58" s="2"/>
      <c r="J58" s="6">
        <f t="shared" si="39"/>
        <v>6.4621682275727184E-3</v>
      </c>
      <c r="K58" s="2"/>
      <c r="L58" s="7">
        <f t="shared" si="40"/>
        <v>-225.81</v>
      </c>
      <c r="M58" s="2"/>
      <c r="N58" s="6">
        <f t="shared" si="41"/>
        <v>-1</v>
      </c>
      <c r="O58" s="11"/>
      <c r="P58" s="7"/>
      <c r="Q58" s="2"/>
      <c r="R58" s="6">
        <f t="shared" si="42"/>
        <v>0</v>
      </c>
      <c r="S58" s="2"/>
      <c r="T58" s="7">
        <v>451.62</v>
      </c>
      <c r="U58" s="2"/>
      <c r="V58" s="6">
        <f t="shared" si="43"/>
        <v>7.5900352426905458E-3</v>
      </c>
      <c r="W58" s="2"/>
      <c r="X58" s="7">
        <f t="shared" si="44"/>
        <v>-451.62</v>
      </c>
      <c r="Y58" s="2"/>
      <c r="Z58" s="6">
        <f t="shared" si="45"/>
        <v>-1</v>
      </c>
    </row>
    <row r="59" spans="1:26" s="24" customFormat="1" hidden="1" outlineLevel="2" x14ac:dyDescent="0.25">
      <c r="A59" s="29"/>
      <c r="B59" s="11" t="str">
        <f>CONCATENATE("          ", "6286", " - ", "LAUNDRY EXPENSE")</f>
        <v xml:space="preserve">          6286 - LAUNDRY EXPENSE</v>
      </c>
      <c r="C59" s="11"/>
      <c r="D59" s="7"/>
      <c r="E59" s="2"/>
      <c r="F59" s="6">
        <f t="shared" si="38"/>
        <v>0</v>
      </c>
      <c r="G59" s="2"/>
      <c r="H59" s="7">
        <v>48.74</v>
      </c>
      <c r="I59" s="2"/>
      <c r="J59" s="6">
        <f t="shared" si="39"/>
        <v>1.3948278615291364E-3</v>
      </c>
      <c r="K59" s="2"/>
      <c r="L59" s="7">
        <f t="shared" si="40"/>
        <v>-48.74</v>
      </c>
      <c r="M59" s="2"/>
      <c r="N59" s="6">
        <f t="shared" si="41"/>
        <v>-1</v>
      </c>
      <c r="O59" s="11"/>
      <c r="P59" s="7"/>
      <c r="Q59" s="2"/>
      <c r="R59" s="6">
        <f t="shared" si="42"/>
        <v>0</v>
      </c>
      <c r="S59" s="2"/>
      <c r="T59" s="7">
        <v>56.86</v>
      </c>
      <c r="U59" s="2"/>
      <c r="V59" s="6">
        <f t="shared" si="43"/>
        <v>9.5560294915943578E-4</v>
      </c>
      <c r="W59" s="2"/>
      <c r="X59" s="7">
        <f t="shared" si="44"/>
        <v>-56.86</v>
      </c>
      <c r="Y59" s="2"/>
      <c r="Z59" s="6">
        <f t="shared" si="45"/>
        <v>-1</v>
      </c>
    </row>
    <row r="60" spans="1:26" s="28" customFormat="1" outlineLevel="1" collapsed="1" x14ac:dyDescent="0.25">
      <c r="A60" s="27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SUM(OSRRefD22_12x_0)</f>
        <v>0</v>
      </c>
      <c r="E60" s="1"/>
      <c r="F60" s="5">
        <f t="shared" ref="F60:F63" si="46">IF(D$12=0,0,D60/D$12)</f>
        <v>0</v>
      </c>
      <c r="G60" s="1"/>
      <c r="H60" s="1">
        <f>SUM(OSRRefH22_12x_0)</f>
        <v>895.27</v>
      </c>
      <c r="I60" s="1"/>
      <c r="J60" s="5">
        <f t="shared" ref="J60:J63" si="47">IF(H$12=0,0,H60/H$12)</f>
        <v>2.5620589651029747E-2</v>
      </c>
      <c r="K60" s="1"/>
      <c r="L60" s="1">
        <f t="shared" ref="L60:L63" si="48">+D60-H60</f>
        <v>-895.27</v>
      </c>
      <c r="M60" s="1"/>
      <c r="N60" s="5">
        <f t="shared" ref="N60:N63" si="49">IF(H60=0,0,L60/H60)</f>
        <v>-1</v>
      </c>
      <c r="O60" s="14"/>
      <c r="P60" s="1">
        <f>SUM(OSRRefP22_12x_0)</f>
        <v>0</v>
      </c>
      <c r="Q60" s="1"/>
      <c r="R60" s="5">
        <f t="shared" ref="R60:R63" si="50">IF(P$12=0,0,P60/P$12)</f>
        <v>0</v>
      </c>
      <c r="S60" s="1"/>
      <c r="T60" s="1">
        <f>SUM(OSRRefT22_12x_0)</f>
        <v>2301.73</v>
      </c>
      <c r="U60" s="1"/>
      <c r="V60" s="5">
        <f t="shared" ref="V60:V63" si="51">IF(T$12=0,0,T60/T$12)</f>
        <v>3.8683432574195362E-2</v>
      </c>
      <c r="W60" s="1"/>
      <c r="X60" s="1">
        <f t="shared" ref="X60:X63" si="52">+P60-T60</f>
        <v>-2301.73</v>
      </c>
      <c r="Y60" s="1"/>
      <c r="Z60" s="5">
        <f t="shared" ref="Z60:Z63" si="53">IF(T60=0,0,X60/T60)</f>
        <v>-1</v>
      </c>
    </row>
    <row r="61" spans="1:26" s="24" customFormat="1" hidden="1" outlineLevel="2" x14ac:dyDescent="0.25">
      <c r="A61" s="29"/>
      <c r="B61" s="11" t="str">
        <f>CONCATENATE("          ", "6239", " - ", "KITCHEN SUPPLIES")</f>
        <v xml:space="preserve">          6239 - KITCHEN SUPPLIES</v>
      </c>
      <c r="C61" s="11"/>
      <c r="D61" s="7"/>
      <c r="E61" s="2"/>
      <c r="F61" s="6">
        <f t="shared" si="46"/>
        <v>0</v>
      </c>
      <c r="G61" s="2"/>
      <c r="H61" s="7">
        <v>291</v>
      </c>
      <c r="I61" s="2"/>
      <c r="J61" s="6">
        <f t="shared" si="47"/>
        <v>8.327757646798906E-3</v>
      </c>
      <c r="K61" s="2"/>
      <c r="L61" s="7">
        <f t="shared" si="48"/>
        <v>-291</v>
      </c>
      <c r="M61" s="2"/>
      <c r="N61" s="6">
        <f t="shared" si="49"/>
        <v>-1</v>
      </c>
      <c r="O61" s="11"/>
      <c r="P61" s="7"/>
      <c r="Q61" s="2"/>
      <c r="R61" s="6">
        <f t="shared" si="50"/>
        <v>0</v>
      </c>
      <c r="S61" s="2"/>
      <c r="T61" s="7">
        <v>1639.63</v>
      </c>
      <c r="U61" s="2"/>
      <c r="V61" s="6">
        <f t="shared" si="51"/>
        <v>2.7556019407848853E-2</v>
      </c>
      <c r="W61" s="2"/>
      <c r="X61" s="7">
        <f t="shared" si="52"/>
        <v>-1639.63</v>
      </c>
      <c r="Y61" s="2"/>
      <c r="Z61" s="6">
        <f t="shared" si="53"/>
        <v>-1</v>
      </c>
    </row>
    <row r="62" spans="1:26" s="24" customFormat="1" hidden="1" outlineLevel="2" x14ac:dyDescent="0.25">
      <c r="A62" s="29"/>
      <c r="B62" s="11" t="str">
        <f>CONCATENATE("          ", "6241", " - ", "OFFICE EXPENSE")</f>
        <v xml:space="preserve">          6241 - OFFICE EXPENSE</v>
      </c>
      <c r="C62" s="11"/>
      <c r="D62" s="7"/>
      <c r="E62" s="2"/>
      <c r="F62" s="6">
        <f t="shared" si="46"/>
        <v>0</v>
      </c>
      <c r="G62" s="2"/>
      <c r="H62" s="7">
        <v>304.27</v>
      </c>
      <c r="I62" s="2"/>
      <c r="J62" s="6">
        <f t="shared" si="47"/>
        <v>8.7075148425824842E-3</v>
      </c>
      <c r="K62" s="2"/>
      <c r="L62" s="7">
        <f t="shared" si="48"/>
        <v>-304.27</v>
      </c>
      <c r="M62" s="2"/>
      <c r="N62" s="6">
        <f t="shared" si="49"/>
        <v>-1</v>
      </c>
      <c r="O62" s="11"/>
      <c r="P62" s="7"/>
      <c r="Q62" s="2"/>
      <c r="R62" s="6">
        <f t="shared" si="50"/>
        <v>0</v>
      </c>
      <c r="S62" s="2"/>
      <c r="T62" s="7">
        <v>362.1</v>
      </c>
      <c r="U62" s="2"/>
      <c r="V62" s="6">
        <f t="shared" si="51"/>
        <v>6.0855404131310541E-3</v>
      </c>
      <c r="W62" s="2"/>
      <c r="X62" s="7">
        <f t="shared" si="52"/>
        <v>-362.1</v>
      </c>
      <c r="Y62" s="2"/>
      <c r="Z62" s="6">
        <f t="shared" si="53"/>
        <v>-1</v>
      </c>
    </row>
    <row r="63" spans="1:26" s="24" customFormat="1" hidden="1" outlineLevel="2" x14ac:dyDescent="0.25">
      <c r="A63" s="29"/>
      <c r="B63" s="11" t="str">
        <f>CONCATENATE("          ", "6243", " - ", "PAPER SUPPLIES")</f>
        <v xml:space="preserve">          6243 - PAPER SUPPLIES</v>
      </c>
      <c r="C63" s="11"/>
      <c r="D63" s="7"/>
      <c r="E63" s="2"/>
      <c r="F63" s="6">
        <f t="shared" si="46"/>
        <v>0</v>
      </c>
      <c r="G63" s="2"/>
      <c r="H63" s="7">
        <v>300</v>
      </c>
      <c r="I63" s="2"/>
      <c r="J63" s="6">
        <f t="shared" si="47"/>
        <v>8.5853171616483565E-3</v>
      </c>
      <c r="K63" s="2"/>
      <c r="L63" s="7">
        <f t="shared" si="48"/>
        <v>-300</v>
      </c>
      <c r="M63" s="2"/>
      <c r="N63" s="6">
        <f t="shared" si="49"/>
        <v>-1</v>
      </c>
      <c r="O63" s="11"/>
      <c r="P63" s="7"/>
      <c r="Q63" s="2"/>
      <c r="R63" s="6">
        <f t="shared" si="50"/>
        <v>0</v>
      </c>
      <c r="S63" s="2"/>
      <c r="T63" s="7">
        <v>300</v>
      </c>
      <c r="U63" s="2"/>
      <c r="V63" s="6">
        <f t="shared" si="51"/>
        <v>5.0418727532154546E-3</v>
      </c>
      <c r="W63" s="2"/>
      <c r="X63" s="7">
        <f t="shared" si="52"/>
        <v>-300</v>
      </c>
      <c r="Y63" s="2"/>
      <c r="Z63" s="6">
        <f t="shared" si="53"/>
        <v>-1</v>
      </c>
    </row>
    <row r="64" spans="1:26" s="28" customFormat="1" outlineLevel="1" collapsed="1" x14ac:dyDescent="0.25">
      <c r="A64" s="27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SUM(OSRRefD22_13x_0)</f>
        <v>56</v>
      </c>
      <c r="E64" s="1"/>
      <c r="F64" s="5">
        <f t="shared" ref="F64:F67" si="54">IF(D$12=0,0,D64/D$12)</f>
        <v>0</v>
      </c>
      <c r="G64" s="1"/>
      <c r="H64" s="1">
        <f>SUM(OSRRefH22_13x_0)</f>
        <v>311.48</v>
      </c>
      <c r="I64" s="1"/>
      <c r="J64" s="5">
        <f t="shared" ref="J64:J67" si="55">IF(H$12=0,0,H64/H$12)</f>
        <v>8.9138486317007683E-3</v>
      </c>
      <c r="K64" s="1"/>
      <c r="L64" s="1">
        <f t="shared" ref="L64:L67" si="56">+D64-H64</f>
        <v>-255.48000000000002</v>
      </c>
      <c r="M64" s="1"/>
      <c r="N64" s="5">
        <f t="shared" ref="N64:N67" si="57">IF(H64=0,0,L64/H64)</f>
        <v>-0.8202131758058302</v>
      </c>
      <c r="O64" s="14"/>
      <c r="P64" s="1">
        <f>SUM(OSRRefP22_13x_0)</f>
        <v>112</v>
      </c>
      <c r="Q64" s="1"/>
      <c r="R64" s="5">
        <f t="shared" ref="R64:R67" si="58">IF(P$12=0,0,P64/P$12)</f>
        <v>0</v>
      </c>
      <c r="S64" s="1"/>
      <c r="T64" s="1">
        <f>SUM(OSRRefT22_13x_0)</f>
        <v>532.91</v>
      </c>
      <c r="U64" s="1"/>
      <c r="V64" s="5">
        <f t="shared" ref="V64:V67" si="59">IF(T$12=0,0,T64/T$12)</f>
        <v>8.9562146963868255E-3</v>
      </c>
      <c r="W64" s="1"/>
      <c r="X64" s="1">
        <f t="shared" ref="X64:X67" si="60">+P64-T64</f>
        <v>-420.90999999999997</v>
      </c>
      <c r="Y64" s="1"/>
      <c r="Z64" s="5">
        <f t="shared" ref="Z64:Z67" si="61">IF(T64=0,0,X64/T64)</f>
        <v>-0.78983318008669379</v>
      </c>
    </row>
    <row r="65" spans="1:26" s="24" customFormat="1" hidden="1" outlineLevel="2" x14ac:dyDescent="0.25">
      <c r="A65" s="29"/>
      <c r="B65" s="11" t="str">
        <f>CONCATENATE("          ", "6309", " - ", "TELEPHONE")</f>
        <v xml:space="preserve">          6309 - TELEPHONE</v>
      </c>
      <c r="C65" s="11"/>
      <c r="D65" s="7">
        <v>56</v>
      </c>
      <c r="E65" s="2"/>
      <c r="F65" s="6">
        <f t="shared" si="54"/>
        <v>0</v>
      </c>
      <c r="G65" s="2"/>
      <c r="H65" s="7">
        <v>311.48</v>
      </c>
      <c r="I65" s="2"/>
      <c r="J65" s="6">
        <f t="shared" si="55"/>
        <v>8.9138486317007683E-3</v>
      </c>
      <c r="K65" s="2"/>
      <c r="L65" s="7">
        <f t="shared" si="56"/>
        <v>-255.48000000000002</v>
      </c>
      <c r="M65" s="2"/>
      <c r="N65" s="6">
        <f t="shared" si="57"/>
        <v>-0.8202131758058302</v>
      </c>
      <c r="O65" s="11"/>
      <c r="P65" s="7">
        <v>112</v>
      </c>
      <c r="Q65" s="2"/>
      <c r="R65" s="6">
        <f t="shared" si="58"/>
        <v>0</v>
      </c>
      <c r="S65" s="2"/>
      <c r="T65" s="7">
        <v>532.91</v>
      </c>
      <c r="U65" s="2"/>
      <c r="V65" s="6">
        <f t="shared" si="59"/>
        <v>8.9562146963868255E-3</v>
      </c>
      <c r="W65" s="2"/>
      <c r="X65" s="7">
        <f t="shared" si="60"/>
        <v>-420.90999999999997</v>
      </c>
      <c r="Y65" s="2"/>
      <c r="Z65" s="6">
        <f t="shared" si="61"/>
        <v>-0.78983318008669379</v>
      </c>
    </row>
    <row r="66" spans="1:26" s="28" customFormat="1" outlineLevel="1" collapsed="1" x14ac:dyDescent="0.25">
      <c r="A66" s="27"/>
      <c r="B66" s="14" t="str">
        <f>CONCATENATE("     ","Training                                          ")</f>
        <v xml:space="preserve">     Training                                          </v>
      </c>
      <c r="C66" s="14"/>
      <c r="D66" s="1">
        <f>SUM(OSRRefD22_14x_0)</f>
        <v>0</v>
      </c>
      <c r="E66" s="1"/>
      <c r="F66" s="5">
        <f t="shared" si="54"/>
        <v>0</v>
      </c>
      <c r="G66" s="1"/>
      <c r="H66" s="1">
        <f>SUM(OSRRefH22_14x_0)</f>
        <v>0</v>
      </c>
      <c r="I66" s="1"/>
      <c r="J66" s="5">
        <f t="shared" si="55"/>
        <v>0</v>
      </c>
      <c r="K66" s="1"/>
      <c r="L66" s="1">
        <f t="shared" si="56"/>
        <v>0</v>
      </c>
      <c r="M66" s="1"/>
      <c r="N66" s="5">
        <f t="shared" si="57"/>
        <v>0</v>
      </c>
      <c r="O66" s="14"/>
      <c r="P66" s="1">
        <f>SUM(OSRRefP22_14x_0)</f>
        <v>0</v>
      </c>
      <c r="Q66" s="1"/>
      <c r="R66" s="5">
        <f t="shared" si="58"/>
        <v>0</v>
      </c>
      <c r="S66" s="1"/>
      <c r="T66" s="1">
        <f>SUM(OSRRefT22_14x_0)</f>
        <v>152.94999999999999</v>
      </c>
      <c r="U66" s="1"/>
      <c r="V66" s="5">
        <f t="shared" si="59"/>
        <v>2.5705147920143459E-3</v>
      </c>
      <c r="W66" s="1"/>
      <c r="X66" s="1">
        <f t="shared" si="60"/>
        <v>-152.94999999999999</v>
      </c>
      <c r="Y66" s="1"/>
      <c r="Z66" s="5">
        <f t="shared" si="61"/>
        <v>-1</v>
      </c>
    </row>
    <row r="67" spans="1:26" s="24" customFormat="1" hidden="1" outlineLevel="2" x14ac:dyDescent="0.25">
      <c r="A67" s="29"/>
      <c r="B67" s="11" t="str">
        <f>CONCATENATE("          ", "6376", " - ", "TRAINING")</f>
        <v xml:space="preserve">          6376 - TRAINING</v>
      </c>
      <c r="C67" s="11"/>
      <c r="D67" s="7"/>
      <c r="E67" s="2"/>
      <c r="F67" s="6">
        <f t="shared" si="54"/>
        <v>0</v>
      </c>
      <c r="G67" s="2"/>
      <c r="H67" s="7"/>
      <c r="I67" s="2"/>
      <c r="J67" s="6">
        <f t="shared" si="55"/>
        <v>0</v>
      </c>
      <c r="K67" s="2"/>
      <c r="L67" s="7">
        <f t="shared" si="56"/>
        <v>0</v>
      </c>
      <c r="M67" s="2"/>
      <c r="N67" s="6">
        <f t="shared" si="57"/>
        <v>0</v>
      </c>
      <c r="O67" s="11"/>
      <c r="P67" s="7"/>
      <c r="Q67" s="2"/>
      <c r="R67" s="6">
        <f t="shared" si="58"/>
        <v>0</v>
      </c>
      <c r="S67" s="2"/>
      <c r="T67" s="7">
        <v>152.94999999999999</v>
      </c>
      <c r="U67" s="2"/>
      <c r="V67" s="6">
        <f t="shared" si="59"/>
        <v>2.5705147920143459E-3</v>
      </c>
      <c r="W67" s="2"/>
      <c r="X67" s="7">
        <f t="shared" si="60"/>
        <v>-152.94999999999999</v>
      </c>
      <c r="Y67" s="2"/>
      <c r="Z67" s="6">
        <f t="shared" si="61"/>
        <v>-1</v>
      </c>
    </row>
    <row r="68" spans="1:26" s="52" customFormat="1" x14ac:dyDescent="0.25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collapsed="1" x14ac:dyDescent="0.25">
      <c r="A69" s="10"/>
      <c r="B69" s="25" t="s">
        <v>0</v>
      </c>
      <c r="C69" s="10"/>
      <c r="D69" s="4">
        <f>SUM(OSRRefD25x_0)</f>
        <v>0</v>
      </c>
      <c r="E69" s="4"/>
      <c r="F69" s="12">
        <f t="shared" ref="F69:F70" si="62">IF(D$12=0,0,D69/D$12)</f>
        <v>0</v>
      </c>
      <c r="G69" s="4"/>
      <c r="H69" s="4">
        <f>SUM(OSRRefH25x_0)</f>
        <v>0</v>
      </c>
      <c r="I69" s="4"/>
      <c r="J69" s="12">
        <f t="shared" ref="J69:J70" si="63">IF(H$12=0,0,H69/H$12)</f>
        <v>0</v>
      </c>
      <c r="K69" s="4"/>
      <c r="L69" s="4">
        <f t="shared" ref="L69:L70" si="64">+D69-H69</f>
        <v>0</v>
      </c>
      <c r="M69" s="4"/>
      <c r="N69" s="12">
        <f t="shared" ref="N69:N70" si="65">IF(H69=0,0,L69/H69)</f>
        <v>0</v>
      </c>
      <c r="O69" s="10"/>
      <c r="P69" s="4">
        <f>SUM(OSRRefP25x_0)</f>
        <v>0</v>
      </c>
      <c r="Q69" s="4"/>
      <c r="R69" s="12">
        <f t="shared" ref="R69:R70" si="66">IF(P$12=0,0,P69/P$12)</f>
        <v>0</v>
      </c>
      <c r="S69" s="4"/>
      <c r="T69" s="4">
        <f>SUM(OSRRefT25x_0)</f>
        <v>29281.48</v>
      </c>
      <c r="U69" s="4"/>
      <c r="V69" s="12">
        <f t="shared" ref="V69:V70" si="67">IF(T$12=0,0,T69/T$12)</f>
        <v>0.4921116539527442</v>
      </c>
      <c r="W69" s="4"/>
      <c r="X69" s="4">
        <f t="shared" ref="X69:X70" si="68">+P69-T69</f>
        <v>-29281.48</v>
      </c>
      <c r="Y69" s="4"/>
      <c r="Z69" s="12">
        <f t="shared" ref="Z69:Z70" si="69">IF(T69=0,0,X69/T69)</f>
        <v>-1</v>
      </c>
    </row>
    <row r="70" spans="1:26" s="24" customFormat="1" hidden="1" outlineLevel="1" x14ac:dyDescent="0.25">
      <c r="A70" s="44"/>
      <c r="B70" s="11" t="str">
        <f>CONCATENATE("          ", "9150", " - ", "MISC. INCOME")</f>
        <v xml:space="preserve">          9150 - MISC. INCOME</v>
      </c>
      <c r="C70" s="11"/>
      <c r="D70" s="2">
        <f>0</f>
        <v>0</v>
      </c>
      <c r="E70" s="2"/>
      <c r="F70" s="19">
        <f t="shared" si="62"/>
        <v>0</v>
      </c>
      <c r="G70" s="2"/>
      <c r="H70" s="2">
        <f>0</f>
        <v>0</v>
      </c>
      <c r="I70" s="2"/>
      <c r="J70" s="19">
        <f t="shared" si="63"/>
        <v>0</v>
      </c>
      <c r="K70" s="2"/>
      <c r="L70" s="2">
        <f t="shared" si="64"/>
        <v>0</v>
      </c>
      <c r="M70" s="2"/>
      <c r="N70" s="19">
        <f t="shared" si="65"/>
        <v>0</v>
      </c>
      <c r="O70" s="11"/>
      <c r="P70" s="2">
        <f>0</f>
        <v>0</v>
      </c>
      <c r="Q70" s="2"/>
      <c r="R70" s="19">
        <f t="shared" si="66"/>
        <v>0</v>
      </c>
      <c r="S70" s="2"/>
      <c r="T70" s="2">
        <f>--29281.48</f>
        <v>29281.48</v>
      </c>
      <c r="U70" s="2"/>
      <c r="V70" s="19">
        <f t="shared" si="67"/>
        <v>0.4921116539527442</v>
      </c>
      <c r="W70" s="2"/>
      <c r="X70" s="2">
        <f t="shared" si="68"/>
        <v>-29281.48</v>
      </c>
      <c r="Y70" s="2"/>
      <c r="Z70" s="19">
        <f t="shared" si="69"/>
        <v>-1</v>
      </c>
    </row>
    <row r="71" spans="1:26" x14ac:dyDescent="0.25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25">
      <c r="A72" s="10"/>
      <c r="B72" s="26" t="s">
        <v>3</v>
      </c>
      <c r="C72" s="26"/>
      <c r="D72" s="22">
        <f>+D20-D22+D69</f>
        <v>-1292.71</v>
      </c>
      <c r="E72" s="13"/>
      <c r="F72" s="21">
        <f>IF(D$12=0,0,D72/D$12)</f>
        <v>0</v>
      </c>
      <c r="G72" s="13"/>
      <c r="H72" s="22">
        <f>+H20-H22+H69</f>
        <v>899.02000000000407</v>
      </c>
      <c r="I72" s="13"/>
      <c r="J72" s="21">
        <f>IF(H$12=0,0,H72/H$12)</f>
        <v>2.572790611555047E-2</v>
      </c>
      <c r="K72" s="16"/>
      <c r="L72" s="22">
        <f>+D72-H72</f>
        <v>-2191.7300000000041</v>
      </c>
      <c r="M72" s="16"/>
      <c r="N72" s="21">
        <f>IF(H72=0,0,L72/H72)</f>
        <v>-2.4379101688505198</v>
      </c>
      <c r="O72" s="25"/>
      <c r="P72" s="22">
        <f>+P20-P22+P69</f>
        <v>-5147.9799999999996</v>
      </c>
      <c r="Q72" s="13"/>
      <c r="R72" s="21">
        <f>IF(P$12=0,0,P72/P$12)</f>
        <v>0</v>
      </c>
      <c r="S72" s="13"/>
      <c r="T72" s="22">
        <f>+T20-T22+T69</f>
        <v>22866.2</v>
      </c>
      <c r="U72" s="13"/>
      <c r="V72" s="21">
        <f>IF(T$12=0,0,T72/T$12)</f>
        <v>0.38429490249858411</v>
      </c>
      <c r="W72" s="16"/>
      <c r="X72" s="22">
        <f>+P72-T72</f>
        <v>-28014.18</v>
      </c>
      <c r="Y72" s="16"/>
      <c r="Z72" s="21">
        <f>IF(T72=0,0,X72/T72)</f>
        <v>-1.2251349152898163</v>
      </c>
    </row>
    <row r="73" spans="1:26" x14ac:dyDescent="0.25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25">
      <c r="A74" s="51"/>
      <c r="B74" s="10" t="s">
        <v>13</v>
      </c>
      <c r="C74" s="10"/>
      <c r="D74" s="4"/>
      <c r="E74" s="4"/>
      <c r="F74" s="12">
        <f>IF(D$12=0,0,D74/D$12)</f>
        <v>0</v>
      </c>
      <c r="G74" s="4"/>
      <c r="H74" s="4">
        <v>2312.38</v>
      </c>
      <c r="I74" s="4"/>
      <c r="J74" s="12">
        <f>IF(H$12=0,0,H74/H$12)</f>
        <v>6.6175052327508088E-2</v>
      </c>
      <c r="K74" s="4"/>
      <c r="L74" s="4">
        <f>+D74-H74</f>
        <v>-2312.38</v>
      </c>
      <c r="M74" s="4"/>
      <c r="N74" s="12">
        <f>IF(H74=0,0,L74/H74)</f>
        <v>-1</v>
      </c>
      <c r="O74" s="10"/>
      <c r="P74" s="4"/>
      <c r="Q74" s="4"/>
      <c r="R74" s="12">
        <f>IF(P$12=0,0,P74/P$12)</f>
        <v>0</v>
      </c>
      <c r="S74" s="4"/>
      <c r="T74" s="4">
        <v>7418.78</v>
      </c>
      <c r="U74" s="4"/>
      <c r="V74" s="12">
        <f>IF(T$12=0,0,T74/T$12)</f>
        <v>0.12468181581366583</v>
      </c>
      <c r="W74" s="4"/>
      <c r="X74" s="4">
        <f>+P74-T74</f>
        <v>-7418.78</v>
      </c>
      <c r="Y74" s="4"/>
      <c r="Z74" s="12">
        <f>IF(T74=0,0,X74/T74)</f>
        <v>-1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.75" thickBot="1" x14ac:dyDescent="0.3">
      <c r="A76" s="10"/>
      <c r="B76" s="26" t="s">
        <v>4</v>
      </c>
      <c r="C76" s="26"/>
      <c r="D76" s="36">
        <f>+D72-D74</f>
        <v>-1292.71</v>
      </c>
      <c r="E76" s="13"/>
      <c r="F76" s="34">
        <f>IF(D$12=0,0,D76/D$12)</f>
        <v>0</v>
      </c>
      <c r="G76" s="13"/>
      <c r="H76" s="36">
        <f>+H72-H74</f>
        <v>-1413.359999999996</v>
      </c>
      <c r="I76" s="13"/>
      <c r="J76" s="34">
        <f>IF(H$12=0,0,H76/H$12)</f>
        <v>-4.0447146211957628E-2</v>
      </c>
      <c r="K76" s="16"/>
      <c r="L76" s="36">
        <f>D76-H76</f>
        <v>120.649999999996</v>
      </c>
      <c r="M76" s="16"/>
      <c r="N76" s="34">
        <f>IF(H76=0,0,L76/H76)</f>
        <v>-8.5363955397065386E-2</v>
      </c>
      <c r="O76" s="25"/>
      <c r="P76" s="36">
        <f>+P72-P74</f>
        <v>-5147.9799999999996</v>
      </c>
      <c r="Q76" s="13"/>
      <c r="R76" s="34">
        <f>IF(P$12=0,0,P76/P$12)</f>
        <v>0</v>
      </c>
      <c r="S76" s="13"/>
      <c r="T76" s="36">
        <f>+T72-T74</f>
        <v>15447.420000000002</v>
      </c>
      <c r="U76" s="13"/>
      <c r="V76" s="34">
        <f>IF(T$12=0,0,T76/T$12)</f>
        <v>0.25961308668491828</v>
      </c>
      <c r="W76" s="16"/>
      <c r="X76" s="36">
        <f>P76-T76</f>
        <v>-20595.400000000001</v>
      </c>
      <c r="Y76" s="16"/>
      <c r="Z76" s="34">
        <f>IF(T76=0,0,X76/T76)</f>
        <v>-1.3332582398873081</v>
      </c>
    </row>
    <row r="77" spans="1:26" ht="15.75" thickTop="1" x14ac:dyDescent="0.25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25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.75" thickBot="1" x14ac:dyDescent="0.3">
      <c r="A79" s="10"/>
      <c r="B79" s="26" t="s">
        <v>5</v>
      </c>
      <c r="C79" s="26"/>
      <c r="D79" s="30">
        <f>SUM(D76:D78)</f>
        <v>-1292.71</v>
      </c>
      <c r="E79" s="13"/>
      <c r="F79" s="31">
        <f>IF(D$12=0,0,D79/D$12)</f>
        <v>0</v>
      </c>
      <c r="G79" s="13"/>
      <c r="H79" s="30">
        <f>SUM(H76:H78)</f>
        <v>-1413.359999999996</v>
      </c>
      <c r="I79" s="13"/>
      <c r="J79" s="31">
        <f>IF(H$12=0,0,H79/H$12)</f>
        <v>-4.0447146211957628E-2</v>
      </c>
      <c r="K79" s="16"/>
      <c r="L79" s="30">
        <f>+D79-H79</f>
        <v>120.649999999996</v>
      </c>
      <c r="M79" s="16"/>
      <c r="N79" s="31">
        <f>IF(H79=0,0,L79/H79)</f>
        <v>-8.5363955397065386E-2</v>
      </c>
      <c r="O79" s="25"/>
      <c r="P79" s="30">
        <f>SUM(P76:P78)</f>
        <v>-5147.9799999999996</v>
      </c>
      <c r="Q79" s="13"/>
      <c r="R79" s="31">
        <f>IF(P$12=0,0,P79/P$12)</f>
        <v>0</v>
      </c>
      <c r="S79" s="13"/>
      <c r="T79" s="30">
        <f>SUM(T76:T78)</f>
        <v>15447.420000000002</v>
      </c>
      <c r="U79" s="13"/>
      <c r="V79" s="31">
        <f>IF(T$12=0,0,T79/T$12)</f>
        <v>0.25961308668491828</v>
      </c>
      <c r="W79" s="16"/>
      <c r="X79" s="30">
        <f>+P79-T79</f>
        <v>-20595.400000000001</v>
      </c>
      <c r="Y79" s="16"/>
      <c r="Z79" s="31">
        <f>IF(T79=0,0,X79/T79)</f>
        <v>-1.3332582398873081</v>
      </c>
    </row>
    <row r="80" spans="1:26" ht="15.75" thickTop="1" x14ac:dyDescent="0.25">
      <c r="A80" s="9"/>
      <c r="C80" s="9"/>
      <c r="D80" s="18"/>
      <c r="E80" s="18"/>
      <c r="G80" s="18"/>
      <c r="H80" s="18"/>
      <c r="I80" s="18"/>
      <c r="J80" s="43"/>
      <c r="K80" s="18"/>
      <c r="L80" s="18"/>
      <c r="M80" s="18"/>
      <c r="P80" s="18"/>
      <c r="Q80" s="18"/>
      <c r="R80" s="43"/>
      <c r="S80" s="18"/>
      <c r="T80" s="18"/>
      <c r="U80" s="18"/>
      <c r="V80" s="43"/>
      <c r="W80" s="18"/>
      <c r="X80" s="18"/>
    </row>
    <row r="81" spans="1:24" x14ac:dyDescent="0.25">
      <c r="A81" s="9"/>
      <c r="B81" s="61">
        <v>44113.696762037034</v>
      </c>
      <c r="D81" s="18"/>
      <c r="E81" s="18"/>
      <c r="G81" s="18"/>
      <c r="H81" s="18"/>
      <c r="I81" s="18"/>
      <c r="J81" s="43"/>
      <c r="K81" s="18"/>
      <c r="L81" s="18"/>
      <c r="M81" s="18"/>
      <c r="P81" s="18"/>
      <c r="Q81" s="18"/>
      <c r="R81" s="43"/>
      <c r="S81" s="18"/>
      <c r="T81" s="18"/>
      <c r="U81" s="18"/>
      <c r="V81" s="43"/>
      <c r="W81" s="18"/>
      <c r="X81" s="18"/>
    </row>
    <row r="82" spans="1:24" x14ac:dyDescent="0.25">
      <c r="A82" s="9"/>
      <c r="B82" s="56" t="s">
        <v>313</v>
      </c>
      <c r="D82" s="18"/>
      <c r="E82" s="18"/>
      <c r="G82" s="18"/>
      <c r="H82" s="18"/>
      <c r="I82" s="18"/>
      <c r="J82" s="43"/>
      <c r="K82" s="18"/>
      <c r="L82" s="18"/>
      <c r="M82" s="18"/>
      <c r="P82" s="18"/>
      <c r="Q82" s="18"/>
      <c r="R82" s="43"/>
      <c r="S82" s="18"/>
      <c r="T82" s="18"/>
      <c r="U82" s="18"/>
      <c r="V82" s="43"/>
      <c r="W82" s="18"/>
      <c r="X82" s="18"/>
    </row>
    <row r="83" spans="1:24" x14ac:dyDescent="0.25">
      <c r="A83" s="9"/>
      <c r="B83" s="58"/>
      <c r="D83" s="18"/>
      <c r="E83" s="18"/>
      <c r="G83" s="18"/>
      <c r="H83" s="18"/>
      <c r="I83" s="18"/>
      <c r="J83" s="43"/>
      <c r="K83" s="18"/>
      <c r="L83" s="18"/>
      <c r="M83" s="18"/>
      <c r="P83" s="18"/>
      <c r="Q83" s="18"/>
      <c r="R83" s="43"/>
      <c r="S83" s="18"/>
      <c r="T83" s="18"/>
      <c r="U83" s="18"/>
      <c r="V83" s="43"/>
      <c r="W83" s="18"/>
      <c r="X83" s="18"/>
    </row>
    <row r="84" spans="1:24" x14ac:dyDescent="0.25"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298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4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","455", " - ", "Vending")</f>
        <v>Department 455 - Vending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0</v>
      </c>
      <c r="E18" s="20"/>
      <c r="F18" s="35">
        <f t="shared" ref="F18:F26" si="0">IF(D$12=0,0,D18/D$12)</f>
        <v>0</v>
      </c>
      <c r="G18" s="20"/>
      <c r="H18" s="20">
        <f>SUM(OSRRefH22x_0)</f>
        <v>6002.81</v>
      </c>
      <c r="I18" s="20"/>
      <c r="J18" s="35">
        <f t="shared" ref="J18:J26" si="1">IF(H$12=0,0,H18/H$12)</f>
        <v>0</v>
      </c>
      <c r="K18" s="4"/>
      <c r="L18" s="20">
        <f t="shared" ref="L18:L26" si="2">+D18-H18</f>
        <v>-6002.81</v>
      </c>
      <c r="M18" s="4"/>
      <c r="N18" s="35">
        <f t="shared" ref="N18:N26" si="3">IF(H18=0,0,L18/H18)</f>
        <v>-1</v>
      </c>
      <c r="O18" s="10"/>
      <c r="P18" s="20">
        <f>SUM(OSRRefP22x_0)</f>
        <v>0</v>
      </c>
      <c r="Q18" s="20"/>
      <c r="R18" s="35">
        <f t="shared" ref="R18:R26" si="4">IF(P$12=0,0,P18/P$12)</f>
        <v>0</v>
      </c>
      <c r="S18" s="20"/>
      <c r="T18" s="20">
        <f>SUM(OSRRefT22x_0)</f>
        <v>16117.699999999999</v>
      </c>
      <c r="U18" s="20"/>
      <c r="V18" s="35">
        <f t="shared" ref="V18:V26" si="5">IF(T$12=0,0,T18/T$12)</f>
        <v>0</v>
      </c>
      <c r="W18" s="4"/>
      <c r="X18" s="20">
        <f t="shared" ref="X18:X26" si="6">+P18-T18</f>
        <v>-16117.699999999999</v>
      </c>
      <c r="Y18" s="4"/>
      <c r="Z18" s="35">
        <f t="shared" ref="Z18:Z26" si="7">IF(T18=0,0,X18/T18)</f>
        <v>-1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2572.2600000000002</v>
      </c>
      <c r="I19" s="1"/>
      <c r="J19" s="5">
        <f t="shared" si="1"/>
        <v>0</v>
      </c>
      <c r="K19" s="1"/>
      <c r="L19" s="1">
        <f t="shared" si="2"/>
        <v>-2572.2600000000002</v>
      </c>
      <c r="M19" s="1"/>
      <c r="N19" s="5">
        <f t="shared" si="3"/>
        <v>-1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6969.07</v>
      </c>
      <c r="U19" s="1"/>
      <c r="V19" s="5">
        <f t="shared" si="5"/>
        <v>0</v>
      </c>
      <c r="W19" s="1"/>
      <c r="X19" s="1">
        <f t="shared" si="6"/>
        <v>-6969.07</v>
      </c>
      <c r="Y19" s="1"/>
      <c r="Z19" s="5">
        <f t="shared" si="7"/>
        <v>-1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/>
      <c r="E20" s="2"/>
      <c r="F20" s="6">
        <f t="shared" si="0"/>
        <v>0</v>
      </c>
      <c r="G20" s="2"/>
      <c r="H20" s="7">
        <v>349.92</v>
      </c>
      <c r="I20" s="2"/>
      <c r="J20" s="6">
        <f t="shared" si="1"/>
        <v>0</v>
      </c>
      <c r="K20" s="2"/>
      <c r="L20" s="7">
        <f t="shared" si="2"/>
        <v>-349.92</v>
      </c>
      <c r="M20" s="2"/>
      <c r="N20" s="6">
        <f t="shared" si="3"/>
        <v>-1</v>
      </c>
      <c r="O20" s="11"/>
      <c r="P20" s="7"/>
      <c r="Q20" s="2"/>
      <c r="R20" s="6">
        <f t="shared" si="4"/>
        <v>0</v>
      </c>
      <c r="S20" s="2"/>
      <c r="T20" s="7">
        <v>699.84</v>
      </c>
      <c r="U20" s="2"/>
      <c r="V20" s="6">
        <f t="shared" si="5"/>
        <v>0</v>
      </c>
      <c r="W20" s="2"/>
      <c r="X20" s="7">
        <f t="shared" si="6"/>
        <v>-699.84</v>
      </c>
      <c r="Y20" s="2"/>
      <c r="Z20" s="6">
        <f t="shared" si="7"/>
        <v>-1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/>
      <c r="E21" s="2"/>
      <c r="F21" s="6">
        <f t="shared" si="0"/>
        <v>0</v>
      </c>
      <c r="G21" s="2"/>
      <c r="H21" s="7">
        <v>177.47</v>
      </c>
      <c r="I21" s="2"/>
      <c r="J21" s="6">
        <f t="shared" si="1"/>
        <v>0</v>
      </c>
      <c r="K21" s="2"/>
      <c r="L21" s="7">
        <f t="shared" si="2"/>
        <v>-177.47</v>
      </c>
      <c r="M21" s="2"/>
      <c r="N21" s="6">
        <f t="shared" si="3"/>
        <v>-1</v>
      </c>
      <c r="O21" s="11"/>
      <c r="P21" s="7"/>
      <c r="Q21" s="2"/>
      <c r="R21" s="6">
        <f t="shared" si="4"/>
        <v>0</v>
      </c>
      <c r="S21" s="2"/>
      <c r="T21" s="7">
        <v>354.94</v>
      </c>
      <c r="U21" s="2"/>
      <c r="V21" s="6">
        <f t="shared" si="5"/>
        <v>0</v>
      </c>
      <c r="W21" s="2"/>
      <c r="X21" s="7">
        <f t="shared" si="6"/>
        <v>-354.94</v>
      </c>
      <c r="Y21" s="2"/>
      <c r="Z21" s="6">
        <f t="shared" si="7"/>
        <v>-1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/>
      <c r="E22" s="2"/>
      <c r="F22" s="6">
        <f t="shared" si="0"/>
        <v>0</v>
      </c>
      <c r="G22" s="2"/>
      <c r="H22" s="7">
        <v>931.95</v>
      </c>
      <c r="I22" s="2"/>
      <c r="J22" s="6">
        <f t="shared" si="1"/>
        <v>0</v>
      </c>
      <c r="K22" s="2"/>
      <c r="L22" s="7">
        <f t="shared" si="2"/>
        <v>-931.95</v>
      </c>
      <c r="M22" s="2"/>
      <c r="N22" s="6">
        <f t="shared" si="3"/>
        <v>-1</v>
      </c>
      <c r="O22" s="11"/>
      <c r="P22" s="7"/>
      <c r="Q22" s="2"/>
      <c r="R22" s="6">
        <f t="shared" si="4"/>
        <v>0</v>
      </c>
      <c r="S22" s="2"/>
      <c r="T22" s="7">
        <v>1863.9</v>
      </c>
      <c r="U22" s="2"/>
      <c r="V22" s="6">
        <f t="shared" si="5"/>
        <v>0</v>
      </c>
      <c r="W22" s="2"/>
      <c r="X22" s="7">
        <f t="shared" si="6"/>
        <v>-1863.9</v>
      </c>
      <c r="Y22" s="2"/>
      <c r="Z22" s="6">
        <f t="shared" si="7"/>
        <v>-1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/>
      <c r="E23" s="2"/>
      <c r="F23" s="6">
        <f t="shared" si="0"/>
        <v>0</v>
      </c>
      <c r="G23" s="2"/>
      <c r="H23" s="7">
        <v>11.89</v>
      </c>
      <c r="I23" s="2"/>
      <c r="J23" s="6">
        <f t="shared" si="1"/>
        <v>0</v>
      </c>
      <c r="K23" s="2"/>
      <c r="L23" s="7">
        <f t="shared" si="2"/>
        <v>-11.89</v>
      </c>
      <c r="M23" s="2"/>
      <c r="N23" s="6">
        <f t="shared" si="3"/>
        <v>-1</v>
      </c>
      <c r="O23" s="11"/>
      <c r="P23" s="7"/>
      <c r="Q23" s="2"/>
      <c r="R23" s="6">
        <f t="shared" si="4"/>
        <v>0</v>
      </c>
      <c r="S23" s="2"/>
      <c r="T23" s="7">
        <v>23.78</v>
      </c>
      <c r="U23" s="2"/>
      <c r="V23" s="6">
        <f t="shared" si="5"/>
        <v>0</v>
      </c>
      <c r="W23" s="2"/>
      <c r="X23" s="7">
        <f t="shared" si="6"/>
        <v>-23.78</v>
      </c>
      <c r="Y23" s="2"/>
      <c r="Z23" s="6">
        <f t="shared" si="7"/>
        <v>-1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/>
      <c r="E24" s="2"/>
      <c r="F24" s="6">
        <f t="shared" si="0"/>
        <v>0</v>
      </c>
      <c r="G24" s="2"/>
      <c r="H24" s="7">
        <v>467.52</v>
      </c>
      <c r="I24" s="2"/>
      <c r="J24" s="6">
        <f t="shared" si="1"/>
        <v>0</v>
      </c>
      <c r="K24" s="2"/>
      <c r="L24" s="7">
        <f t="shared" si="2"/>
        <v>-467.52</v>
      </c>
      <c r="M24" s="2"/>
      <c r="N24" s="6">
        <f t="shared" si="3"/>
        <v>-1</v>
      </c>
      <c r="O24" s="11"/>
      <c r="P24" s="7"/>
      <c r="Q24" s="2"/>
      <c r="R24" s="6">
        <f t="shared" si="4"/>
        <v>0</v>
      </c>
      <c r="S24" s="2"/>
      <c r="T24" s="7">
        <v>935.04</v>
      </c>
      <c r="U24" s="2"/>
      <c r="V24" s="6">
        <f t="shared" si="5"/>
        <v>0</v>
      </c>
      <c r="W24" s="2"/>
      <c r="X24" s="7">
        <f t="shared" si="6"/>
        <v>-935.04</v>
      </c>
      <c r="Y24" s="2"/>
      <c r="Z24" s="6">
        <f t="shared" si="7"/>
        <v>-1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/>
      <c r="E25" s="2"/>
      <c r="F25" s="6">
        <f t="shared" si="0"/>
        <v>0</v>
      </c>
      <c r="G25" s="2"/>
      <c r="H25" s="7">
        <v>422.53</v>
      </c>
      <c r="I25" s="2"/>
      <c r="J25" s="6">
        <f t="shared" si="1"/>
        <v>0</v>
      </c>
      <c r="K25" s="2"/>
      <c r="L25" s="7">
        <f t="shared" si="2"/>
        <v>-422.53</v>
      </c>
      <c r="M25" s="2"/>
      <c r="N25" s="6">
        <f t="shared" si="3"/>
        <v>-1</v>
      </c>
      <c r="O25" s="11"/>
      <c r="P25" s="7"/>
      <c r="Q25" s="2"/>
      <c r="R25" s="6">
        <f t="shared" si="4"/>
        <v>0</v>
      </c>
      <c r="S25" s="2"/>
      <c r="T25" s="7">
        <v>1178.25</v>
      </c>
      <c r="U25" s="2"/>
      <c r="V25" s="6">
        <f t="shared" si="5"/>
        <v>0</v>
      </c>
      <c r="W25" s="2"/>
      <c r="X25" s="7">
        <f t="shared" si="6"/>
        <v>-1178.25</v>
      </c>
      <c r="Y25" s="2"/>
      <c r="Z25" s="6">
        <f t="shared" si="7"/>
        <v>-1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/>
      <c r="E26" s="2"/>
      <c r="F26" s="6">
        <f t="shared" si="0"/>
        <v>0</v>
      </c>
      <c r="G26" s="2"/>
      <c r="H26" s="7">
        <v>210.98</v>
      </c>
      <c r="I26" s="2"/>
      <c r="J26" s="6">
        <f t="shared" si="1"/>
        <v>0</v>
      </c>
      <c r="K26" s="2"/>
      <c r="L26" s="7">
        <f t="shared" si="2"/>
        <v>-210.98</v>
      </c>
      <c r="M26" s="2"/>
      <c r="N26" s="6">
        <f t="shared" si="3"/>
        <v>-1</v>
      </c>
      <c r="O26" s="11"/>
      <c r="P26" s="7"/>
      <c r="Q26" s="2"/>
      <c r="R26" s="6">
        <f t="shared" si="4"/>
        <v>0</v>
      </c>
      <c r="S26" s="2"/>
      <c r="T26" s="7">
        <v>1913.32</v>
      </c>
      <c r="U26" s="2"/>
      <c r="V26" s="6">
        <f t="shared" si="5"/>
        <v>0</v>
      </c>
      <c r="W26" s="2"/>
      <c r="X26" s="7">
        <f t="shared" si="6"/>
        <v>-1913.32</v>
      </c>
      <c r="Y26" s="2"/>
      <c r="Z26" s="6">
        <f t="shared" si="7"/>
        <v>-1</v>
      </c>
    </row>
    <row r="27" spans="1:26" s="28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29" si="8">IF(D$12=0,0,D27/D$12)</f>
        <v>0</v>
      </c>
      <c r="G27" s="1"/>
      <c r="H27" s="1">
        <f>SUM(OSRRefH22_1x_0)</f>
        <v>3430.55</v>
      </c>
      <c r="I27" s="1"/>
      <c r="J27" s="5">
        <f t="shared" ref="J27:J29" si="9">IF(H$12=0,0,H27/H$12)</f>
        <v>0</v>
      </c>
      <c r="K27" s="1"/>
      <c r="L27" s="1">
        <f t="shared" ref="L27:L29" si="10">+D27-H27</f>
        <v>-3430.55</v>
      </c>
      <c r="M27" s="1"/>
      <c r="N27" s="5">
        <f t="shared" ref="N27:N29" si="11">IF(H27=0,0,L27/H27)</f>
        <v>-1</v>
      </c>
      <c r="O27" s="14"/>
      <c r="P27" s="1">
        <f>SUM(OSRRefP22_1x_0)</f>
        <v>0</v>
      </c>
      <c r="Q27" s="1"/>
      <c r="R27" s="5">
        <f t="shared" ref="R27:R29" si="12">IF(P$12=0,0,P27/P$12)</f>
        <v>0</v>
      </c>
      <c r="S27" s="1"/>
      <c r="T27" s="1">
        <f>SUM(OSRRefT22_1x_0)</f>
        <v>9148.6299999999992</v>
      </c>
      <c r="U27" s="1"/>
      <c r="V27" s="5">
        <f t="shared" ref="V27:V29" si="13">IF(T$12=0,0,T27/T$12)</f>
        <v>0</v>
      </c>
      <c r="W27" s="1"/>
      <c r="X27" s="1">
        <f t="shared" ref="X27:X29" si="14">+P27-T27</f>
        <v>-9148.6299999999992</v>
      </c>
      <c r="Y27" s="1"/>
      <c r="Z27" s="5">
        <f t="shared" ref="Z27:Z29" si="15">IF(T27=0,0,X27/T27)</f>
        <v>-1</v>
      </c>
    </row>
    <row r="28" spans="1:26" s="24" customFormat="1" hidden="1" outlineLevel="2" x14ac:dyDescent="0.25">
      <c r="A28" s="29"/>
      <c r="B28" s="11" t="str">
        <f>CONCATENATE("          ", "6001", " - ", "ADMINISTRATIVE SALARIES")</f>
        <v xml:space="preserve">          6001 - ADMINISTRATIVE SALARIES</v>
      </c>
      <c r="C28" s="11"/>
      <c r="D28" s="7"/>
      <c r="E28" s="2"/>
      <c r="F28" s="6">
        <f t="shared" si="8"/>
        <v>0</v>
      </c>
      <c r="G28" s="2"/>
      <c r="H28" s="7">
        <v>4574.55</v>
      </c>
      <c r="I28" s="2"/>
      <c r="J28" s="6">
        <f t="shared" si="9"/>
        <v>0</v>
      </c>
      <c r="K28" s="2"/>
      <c r="L28" s="7">
        <f t="shared" si="10"/>
        <v>-4574.55</v>
      </c>
      <c r="M28" s="2"/>
      <c r="N28" s="6">
        <f t="shared" si="11"/>
        <v>-1</v>
      </c>
      <c r="O28" s="11"/>
      <c r="P28" s="7"/>
      <c r="Q28" s="2"/>
      <c r="R28" s="6">
        <f t="shared" si="12"/>
        <v>0</v>
      </c>
      <c r="S28" s="2"/>
      <c r="T28" s="7">
        <v>9148.6299999999992</v>
      </c>
      <c r="U28" s="2"/>
      <c r="V28" s="6">
        <f t="shared" si="13"/>
        <v>0</v>
      </c>
      <c r="W28" s="2"/>
      <c r="X28" s="7">
        <f t="shared" si="14"/>
        <v>-9148.6299999999992</v>
      </c>
      <c r="Y28" s="2"/>
      <c r="Z28" s="6">
        <f t="shared" si="15"/>
        <v>-1</v>
      </c>
    </row>
    <row r="29" spans="1:26" s="24" customFormat="1" hidden="1" outlineLevel="2" x14ac:dyDescent="0.25">
      <c r="A29" s="29"/>
      <c r="B29" s="11" t="str">
        <f>CONCATENATE("          ", "6002", " - ", "STAFF SALARIES")</f>
        <v xml:space="preserve">          6002 - STAFF SALARIES</v>
      </c>
      <c r="C29" s="11"/>
      <c r="D29" s="7"/>
      <c r="E29" s="2"/>
      <c r="F29" s="6">
        <f t="shared" si="8"/>
        <v>0</v>
      </c>
      <c r="G29" s="2"/>
      <c r="H29" s="7">
        <v>-1144</v>
      </c>
      <c r="I29" s="2"/>
      <c r="J29" s="6">
        <f t="shared" si="9"/>
        <v>0</v>
      </c>
      <c r="K29" s="2"/>
      <c r="L29" s="7">
        <f t="shared" si="10"/>
        <v>1144</v>
      </c>
      <c r="M29" s="2"/>
      <c r="N29" s="6">
        <f t="shared" si="11"/>
        <v>-1</v>
      </c>
      <c r="O29" s="11"/>
      <c r="P29" s="7"/>
      <c r="Q29" s="2"/>
      <c r="R29" s="6">
        <f t="shared" si="12"/>
        <v>0</v>
      </c>
      <c r="S29" s="2"/>
      <c r="T29" s="7">
        <v>0</v>
      </c>
      <c r="U29" s="2"/>
      <c r="V29" s="6">
        <f t="shared" si="13"/>
        <v>0</v>
      </c>
      <c r="W29" s="2"/>
      <c r="X29" s="7">
        <f t="shared" si="14"/>
        <v>0</v>
      </c>
      <c r="Y29" s="2"/>
      <c r="Z29" s="6">
        <f t="shared" si="15"/>
        <v>0</v>
      </c>
    </row>
    <row r="30" spans="1:26" s="52" customFormat="1" x14ac:dyDescent="0.25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collapsed="1" x14ac:dyDescent="0.25">
      <c r="A31" s="10"/>
      <c r="B31" s="25" t="s">
        <v>0</v>
      </c>
      <c r="C31" s="10"/>
      <c r="D31" s="4">
        <f>SUM(OSRRefD25x_0)</f>
        <v>0</v>
      </c>
      <c r="E31" s="4"/>
      <c r="F31" s="12">
        <f t="shared" ref="F31:F33" si="16">IF(D$12=0,0,D31/D$12)</f>
        <v>0</v>
      </c>
      <c r="G31" s="4"/>
      <c r="H31" s="4">
        <f>SUM(OSRRefH25x_0)</f>
        <v>7933.5599999999995</v>
      </c>
      <c r="I31" s="4"/>
      <c r="J31" s="12">
        <f t="shared" ref="J31:J33" si="17">IF(H$12=0,0,H31/H$12)</f>
        <v>0</v>
      </c>
      <c r="K31" s="4"/>
      <c r="L31" s="4">
        <f t="shared" ref="L31:L33" si="18">+D31-H31</f>
        <v>-7933.5599999999995</v>
      </c>
      <c r="M31" s="4"/>
      <c r="N31" s="12">
        <f t="shared" ref="N31:N33" si="19">IF(H31=0,0,L31/H31)</f>
        <v>-1</v>
      </c>
      <c r="O31" s="10"/>
      <c r="P31" s="4">
        <f>SUM(OSRRefP25x_0)</f>
        <v>1564.13</v>
      </c>
      <c r="Q31" s="4"/>
      <c r="R31" s="12">
        <f t="shared" ref="R31:R33" si="20">IF(P$12=0,0,P31/P$12)</f>
        <v>0</v>
      </c>
      <c r="S31" s="4"/>
      <c r="T31" s="4">
        <f>SUM(OSRRefT25x_0)</f>
        <v>16595.78</v>
      </c>
      <c r="U31" s="4"/>
      <c r="V31" s="12">
        <f t="shared" ref="V31:V33" si="21">IF(T$12=0,0,T31/T$12)</f>
        <v>0</v>
      </c>
      <c r="W31" s="4"/>
      <c r="X31" s="4">
        <f t="shared" ref="X31:X33" si="22">+P31-T31</f>
        <v>-15031.649999999998</v>
      </c>
      <c r="Y31" s="4"/>
      <c r="Z31" s="12">
        <f t="shared" ref="Z31:Z33" si="23">IF(T31=0,0,X31/T31)</f>
        <v>-0.90575134160611903</v>
      </c>
    </row>
    <row r="32" spans="1:26" s="24" customFormat="1" hidden="1" outlineLevel="1" x14ac:dyDescent="0.25">
      <c r="A32" s="44"/>
      <c r="B32" s="11" t="str">
        <f>CONCATENATE("          ", "9160", " - ", "MISC. INCOME")</f>
        <v xml:space="preserve">          9160 - MISC. INCOME</v>
      </c>
      <c r="C32" s="11"/>
      <c r="D32" s="2">
        <f t="shared" ref="D32:D33" si="24">0</f>
        <v>0</v>
      </c>
      <c r="E32" s="2"/>
      <c r="F32" s="19">
        <f t="shared" si="16"/>
        <v>0</v>
      </c>
      <c r="G32" s="2"/>
      <c r="H32" s="2">
        <f>--4981.17</f>
        <v>4981.17</v>
      </c>
      <c r="I32" s="2"/>
      <c r="J32" s="19">
        <f t="shared" si="17"/>
        <v>0</v>
      </c>
      <c r="K32" s="2"/>
      <c r="L32" s="2">
        <f t="shared" si="18"/>
        <v>-4981.17</v>
      </c>
      <c r="M32" s="2"/>
      <c r="N32" s="19">
        <f t="shared" si="19"/>
        <v>-1</v>
      </c>
      <c r="O32" s="11"/>
      <c r="P32" s="2">
        <f>--1363.63</f>
        <v>1363.63</v>
      </c>
      <c r="Q32" s="2"/>
      <c r="R32" s="19">
        <f t="shared" si="20"/>
        <v>0</v>
      </c>
      <c r="S32" s="2"/>
      <c r="T32" s="2">
        <f>--9962.34</f>
        <v>9962.34</v>
      </c>
      <c r="U32" s="2"/>
      <c r="V32" s="19">
        <f t="shared" si="21"/>
        <v>0</v>
      </c>
      <c r="W32" s="2"/>
      <c r="X32" s="2">
        <f t="shared" si="22"/>
        <v>-8598.7099999999991</v>
      </c>
      <c r="Y32" s="2"/>
      <c r="Z32" s="19">
        <f t="shared" si="23"/>
        <v>-0.86312151562785444</v>
      </c>
    </row>
    <row r="33" spans="1:26" s="24" customFormat="1" hidden="1" outlineLevel="1" x14ac:dyDescent="0.25">
      <c r="A33" s="44"/>
      <c r="B33" s="11" t="str">
        <f>CONCATENATE("          ", "9165", " - ", "OTHER INCOME")</f>
        <v xml:space="preserve">          9165 - OTHER INCOME</v>
      </c>
      <c r="C33" s="11"/>
      <c r="D33" s="2">
        <f t="shared" si="24"/>
        <v>0</v>
      </c>
      <c r="E33" s="2"/>
      <c r="F33" s="19">
        <f t="shared" si="16"/>
        <v>0</v>
      </c>
      <c r="G33" s="2"/>
      <c r="H33" s="2">
        <f>--2952.39</f>
        <v>2952.39</v>
      </c>
      <c r="I33" s="2"/>
      <c r="J33" s="19">
        <f t="shared" si="17"/>
        <v>0</v>
      </c>
      <c r="K33" s="2"/>
      <c r="L33" s="2">
        <f t="shared" si="18"/>
        <v>-2952.39</v>
      </c>
      <c r="M33" s="2"/>
      <c r="N33" s="19">
        <f t="shared" si="19"/>
        <v>-1</v>
      </c>
      <c r="O33" s="11"/>
      <c r="P33" s="2">
        <f>--200.5</f>
        <v>200.5</v>
      </c>
      <c r="Q33" s="2"/>
      <c r="R33" s="19">
        <f t="shared" si="20"/>
        <v>0</v>
      </c>
      <c r="S33" s="2"/>
      <c r="T33" s="2">
        <f>--6633.44</f>
        <v>6633.44</v>
      </c>
      <c r="U33" s="2"/>
      <c r="V33" s="19">
        <f t="shared" si="21"/>
        <v>0</v>
      </c>
      <c r="W33" s="2"/>
      <c r="X33" s="2">
        <f t="shared" si="22"/>
        <v>-6432.94</v>
      </c>
      <c r="Y33" s="2"/>
      <c r="Z33" s="19">
        <f t="shared" si="23"/>
        <v>-0.9697743553872501</v>
      </c>
    </row>
    <row r="34" spans="1:26" x14ac:dyDescent="0.25">
      <c r="A34" s="9"/>
      <c r="B34" s="10"/>
      <c r="C34" s="10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O34" s="10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25">
      <c r="A35" s="10"/>
      <c r="B35" s="26" t="s">
        <v>3</v>
      </c>
      <c r="C35" s="26"/>
      <c r="D35" s="22">
        <f>+D16-D18+D31</f>
        <v>0</v>
      </c>
      <c r="E35" s="13"/>
      <c r="F35" s="21">
        <f>IF(D$12=0,0,D35/D$12)</f>
        <v>0</v>
      </c>
      <c r="G35" s="13"/>
      <c r="H35" s="22">
        <f>+H16-H18+H31</f>
        <v>1930.7499999999991</v>
      </c>
      <c r="I35" s="13"/>
      <c r="J35" s="21">
        <f>IF(H$12=0,0,H35/H$12)</f>
        <v>0</v>
      </c>
      <c r="K35" s="16"/>
      <c r="L35" s="22">
        <f>+D35-H35</f>
        <v>-1930.7499999999991</v>
      </c>
      <c r="M35" s="16"/>
      <c r="N35" s="21">
        <f>IF(H35=0,0,L35/H35)</f>
        <v>-1</v>
      </c>
      <c r="O35" s="25"/>
      <c r="P35" s="22">
        <f>+P16-P18+P31</f>
        <v>1564.13</v>
      </c>
      <c r="Q35" s="13"/>
      <c r="R35" s="21">
        <f>IF(P$12=0,0,P35/P$12)</f>
        <v>0</v>
      </c>
      <c r="S35" s="13"/>
      <c r="T35" s="22">
        <f>+T16-T18+T31</f>
        <v>478.07999999999993</v>
      </c>
      <c r="U35" s="13"/>
      <c r="V35" s="21">
        <f>IF(T$12=0,0,T35/T$12)</f>
        <v>0</v>
      </c>
      <c r="W35" s="16"/>
      <c r="X35" s="22">
        <f>+P35-T35</f>
        <v>1086.0500000000002</v>
      </c>
      <c r="Y35" s="16"/>
      <c r="Z35" s="21">
        <f>IF(T35=0,0,X35/T35)</f>
        <v>2.2716909303882202</v>
      </c>
    </row>
    <row r="36" spans="1:26" x14ac:dyDescent="0.25">
      <c r="A36" s="9"/>
      <c r="B36" s="10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x14ac:dyDescent="0.25">
      <c r="A37" s="51"/>
      <c r="B37" s="10" t="s">
        <v>13</v>
      </c>
      <c r="C37" s="10"/>
      <c r="D37" s="4"/>
      <c r="E37" s="4"/>
      <c r="F37" s="12">
        <f>IF(D$12=0,0,D37/D$12)</f>
        <v>0</v>
      </c>
      <c r="G37" s="4"/>
      <c r="H37" s="4"/>
      <c r="I37" s="4"/>
      <c r="J37" s="12">
        <f>IF(H$12=0,0,H37/H$12)</f>
        <v>0</v>
      </c>
      <c r="K37" s="4"/>
      <c r="L37" s="4">
        <f>+D37-H37</f>
        <v>0</v>
      </c>
      <c r="M37" s="4"/>
      <c r="N37" s="12">
        <f>IF(H37=0,0,L37/H37)</f>
        <v>0</v>
      </c>
      <c r="O37" s="10"/>
      <c r="P37" s="4"/>
      <c r="Q37" s="4"/>
      <c r="R37" s="12">
        <f>IF(P$12=0,0,P37/P$12)</f>
        <v>0</v>
      </c>
      <c r="S37" s="4"/>
      <c r="T37" s="4"/>
      <c r="U37" s="4"/>
      <c r="V37" s="12">
        <f>IF(T$12=0,0,T37/T$12)</f>
        <v>0</v>
      </c>
      <c r="W37" s="4"/>
      <c r="X37" s="4">
        <f>+P37-T37</f>
        <v>0</v>
      </c>
      <c r="Y37" s="4"/>
      <c r="Z37" s="12">
        <f>IF(T37=0,0,X37/T37)</f>
        <v>0</v>
      </c>
    </row>
    <row r="38" spans="1:26" x14ac:dyDescent="0.25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.75" thickBot="1" x14ac:dyDescent="0.3">
      <c r="A39" s="10"/>
      <c r="B39" s="26" t="s">
        <v>4</v>
      </c>
      <c r="C39" s="26"/>
      <c r="D39" s="36">
        <f>+D35-D37</f>
        <v>0</v>
      </c>
      <c r="E39" s="13"/>
      <c r="F39" s="34">
        <f>IF(D$12=0,0,D39/D$12)</f>
        <v>0</v>
      </c>
      <c r="G39" s="13"/>
      <c r="H39" s="36">
        <f>+H35-H37</f>
        <v>1930.7499999999991</v>
      </c>
      <c r="I39" s="13"/>
      <c r="J39" s="34">
        <f>IF(H$12=0,0,H39/H$12)</f>
        <v>0</v>
      </c>
      <c r="K39" s="16"/>
      <c r="L39" s="36">
        <f>D39-H39</f>
        <v>-1930.7499999999991</v>
      </c>
      <c r="M39" s="16"/>
      <c r="N39" s="34">
        <f>IF(H39=0,0,L39/H39)</f>
        <v>-1</v>
      </c>
      <c r="O39" s="25"/>
      <c r="P39" s="36">
        <f>+P35-P37</f>
        <v>1564.13</v>
      </c>
      <c r="Q39" s="13"/>
      <c r="R39" s="34">
        <f>IF(P$12=0,0,P39/P$12)</f>
        <v>0</v>
      </c>
      <c r="S39" s="13"/>
      <c r="T39" s="36">
        <f>+T35-T37</f>
        <v>478.07999999999993</v>
      </c>
      <c r="U39" s="13"/>
      <c r="V39" s="34">
        <f>IF(T$12=0,0,T39/T$12)</f>
        <v>0</v>
      </c>
      <c r="W39" s="16"/>
      <c r="X39" s="36">
        <f>P39-T39</f>
        <v>1086.0500000000002</v>
      </c>
      <c r="Y39" s="16"/>
      <c r="Z39" s="34">
        <f>IF(T39=0,0,X39/T39)</f>
        <v>2.2716909303882202</v>
      </c>
    </row>
    <row r="40" spans="1:26" ht="15.75" thickTop="1" x14ac:dyDescent="0.25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x14ac:dyDescent="0.25">
      <c r="A41" s="9"/>
      <c r="B41" s="9"/>
      <c r="C41" s="9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.75" thickBot="1" x14ac:dyDescent="0.3">
      <c r="A42" s="10"/>
      <c r="B42" s="26" t="s">
        <v>5</v>
      </c>
      <c r="C42" s="26"/>
      <c r="D42" s="30">
        <f>SUM(D39:D41)</f>
        <v>0</v>
      </c>
      <c r="E42" s="13"/>
      <c r="F42" s="31">
        <f>IF(D$12=0,0,D42/D$12)</f>
        <v>0</v>
      </c>
      <c r="G42" s="13"/>
      <c r="H42" s="30">
        <f>SUM(H39:H41)</f>
        <v>1930.7499999999991</v>
      </c>
      <c r="I42" s="13"/>
      <c r="J42" s="31">
        <f>IF(H$12=0,0,H42/H$12)</f>
        <v>0</v>
      </c>
      <c r="K42" s="16"/>
      <c r="L42" s="30">
        <f>+D42-H42</f>
        <v>-1930.7499999999991</v>
      </c>
      <c r="M42" s="16"/>
      <c r="N42" s="31">
        <f>IF(H42=0,0,L42/H42)</f>
        <v>-1</v>
      </c>
      <c r="O42" s="25"/>
      <c r="P42" s="30">
        <f>SUM(P39:P41)</f>
        <v>1564.13</v>
      </c>
      <c r="Q42" s="13"/>
      <c r="R42" s="31">
        <f>IF(P$12=0,0,P42/P$12)</f>
        <v>0</v>
      </c>
      <c r="S42" s="13"/>
      <c r="T42" s="30">
        <f>SUM(T39:T41)</f>
        <v>478.07999999999993</v>
      </c>
      <c r="U42" s="13"/>
      <c r="V42" s="31">
        <f>IF(T$12=0,0,T42/T$12)</f>
        <v>0</v>
      </c>
      <c r="W42" s="16"/>
      <c r="X42" s="30">
        <f>+P42-T42</f>
        <v>1086.0500000000002</v>
      </c>
      <c r="Y42" s="16"/>
      <c r="Z42" s="31">
        <f>IF(T42=0,0,X42/T42)</f>
        <v>2.2716909303882202</v>
      </c>
    </row>
    <row r="43" spans="1:26" ht="15.75" thickTop="1" x14ac:dyDescent="0.25">
      <c r="A43" s="9"/>
      <c r="C43" s="9"/>
      <c r="D43" s="18"/>
      <c r="E43" s="18"/>
      <c r="G43" s="18"/>
      <c r="H43" s="18"/>
      <c r="I43" s="18"/>
      <c r="J43" s="43"/>
      <c r="K43" s="18"/>
      <c r="L43" s="18"/>
      <c r="M43" s="18"/>
      <c r="P43" s="18"/>
      <c r="Q43" s="18"/>
      <c r="R43" s="43"/>
      <c r="S43" s="18"/>
      <c r="T43" s="18"/>
      <c r="U43" s="18"/>
      <c r="V43" s="43"/>
      <c r="W43" s="18"/>
      <c r="X43" s="18"/>
    </row>
    <row r="44" spans="1:26" x14ac:dyDescent="0.25">
      <c r="A44" s="9"/>
      <c r="B44" s="61">
        <v>44113.696879594907</v>
      </c>
      <c r="D44" s="18"/>
      <c r="E44" s="18"/>
      <c r="G44" s="18"/>
      <c r="H44" s="18"/>
      <c r="I44" s="18"/>
      <c r="J44" s="43"/>
      <c r="K44" s="18"/>
      <c r="L44" s="18"/>
      <c r="M44" s="18"/>
      <c r="P44" s="18"/>
      <c r="Q44" s="18"/>
      <c r="R44" s="43"/>
      <c r="S44" s="18"/>
      <c r="T44" s="18"/>
      <c r="U44" s="18"/>
      <c r="V44" s="43"/>
      <c r="W44" s="18"/>
      <c r="X44" s="18"/>
    </row>
    <row r="45" spans="1:26" x14ac:dyDescent="0.25">
      <c r="A45" s="9"/>
      <c r="B45" s="56" t="s">
        <v>313</v>
      </c>
      <c r="D45" s="18"/>
      <c r="E45" s="18"/>
      <c r="G45" s="18"/>
      <c r="H45" s="18"/>
      <c r="I45" s="18"/>
      <c r="J45" s="43"/>
      <c r="K45" s="18"/>
      <c r="L45" s="18"/>
      <c r="M45" s="18"/>
      <c r="P45" s="18"/>
      <c r="Q45" s="18"/>
      <c r="R45" s="43"/>
      <c r="S45" s="18"/>
      <c r="T45" s="18"/>
      <c r="U45" s="18"/>
      <c r="V45" s="43"/>
      <c r="W45" s="18"/>
      <c r="X45" s="18"/>
    </row>
    <row r="46" spans="1:26" x14ac:dyDescent="0.25">
      <c r="A46" s="9"/>
      <c r="B46" s="58"/>
      <c r="D46" s="18"/>
      <c r="E46" s="18"/>
      <c r="G46" s="18"/>
      <c r="H46" s="18"/>
      <c r="I46" s="18"/>
      <c r="J46" s="43"/>
      <c r="K46" s="18"/>
      <c r="L46" s="18"/>
      <c r="M46" s="18"/>
      <c r="P46" s="18"/>
      <c r="Q46" s="18"/>
      <c r="R46" s="43"/>
      <c r="S46" s="18"/>
      <c r="T46" s="18"/>
      <c r="U46" s="18"/>
      <c r="V46" s="43"/>
      <c r="W46" s="18"/>
      <c r="X46" s="18"/>
    </row>
    <row r="47" spans="1:26" x14ac:dyDescent="0.25">
      <c r="D47" s="18"/>
      <c r="E47" s="18"/>
      <c r="G47" s="18"/>
      <c r="H47" s="18"/>
      <c r="I47" s="18"/>
      <c r="J47" s="43"/>
      <c r="K47" s="18"/>
      <c r="L47" s="18"/>
      <c r="M47" s="18"/>
      <c r="P47" s="18"/>
      <c r="Q47" s="18"/>
      <c r="R47" s="43"/>
      <c r="S47" s="18"/>
      <c r="T47" s="18"/>
      <c r="U47" s="18"/>
      <c r="V47" s="43"/>
      <c r="W47" s="18"/>
      <c r="X47" s="18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2:Z100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300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49828.08</v>
      </c>
      <c r="E12" s="4"/>
      <c r="F12" s="12"/>
      <c r="G12" s="4"/>
      <c r="H12" s="4">
        <f>SUM(OSRRefH13x_0)</f>
        <v>506601.3</v>
      </c>
      <c r="I12" s="4"/>
      <c r="J12" s="12"/>
      <c r="K12" s="4"/>
      <c r="L12" s="4">
        <f t="shared" ref="L12:L17" si="0">+D12-H12</f>
        <v>-456773.22</v>
      </c>
      <c r="M12" s="4"/>
      <c r="N12" s="12">
        <f t="shared" ref="N12:N17" si="1">IF(H12=0,0,L12/H12)</f>
        <v>-0.90164241584062255</v>
      </c>
      <c r="O12" s="10"/>
      <c r="P12" s="4">
        <f>SUM(OSRRefP13x_0)</f>
        <v>69156</v>
      </c>
      <c r="Q12" s="4"/>
      <c r="R12" s="12"/>
      <c r="S12" s="4"/>
      <c r="T12" s="4">
        <f>SUM(OSRRefT13x_0)</f>
        <v>1016035.16</v>
      </c>
      <c r="U12" s="4"/>
      <c r="V12" s="12"/>
      <c r="W12" s="4"/>
      <c r="X12" s="4">
        <f t="shared" ref="X12:X17" si="2">+P12-T12</f>
        <v>-946879.16</v>
      </c>
      <c r="Y12" s="4"/>
      <c r="Z12" s="12">
        <f t="shared" ref="Z12:Z17" si="3">IF(T12=0,0,X12/T12)</f>
        <v>-0.93193542632914395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--140.01</f>
        <v>140.01</v>
      </c>
      <c r="E13" s="2"/>
      <c r="F13" s="19"/>
      <c r="G13" s="2"/>
      <c r="H13" s="2">
        <f>--288.29</f>
        <v>288.29000000000002</v>
      </c>
      <c r="I13" s="2"/>
      <c r="J13" s="19"/>
      <c r="K13" s="2"/>
      <c r="L13" s="2">
        <f t="shared" si="0"/>
        <v>-148.28000000000003</v>
      </c>
      <c r="M13" s="2"/>
      <c r="N13" s="19">
        <f t="shared" si="1"/>
        <v>-0.5143431960872733</v>
      </c>
      <c r="O13" s="11"/>
      <c r="P13" s="2">
        <f>--339.9</f>
        <v>339.9</v>
      </c>
      <c r="Q13" s="2"/>
      <c r="R13" s="19"/>
      <c r="S13" s="2"/>
      <c r="T13" s="2">
        <f>--1432.39</f>
        <v>1432.39</v>
      </c>
      <c r="U13" s="2"/>
      <c r="V13" s="19"/>
      <c r="W13" s="2"/>
      <c r="X13" s="2">
        <f t="shared" si="2"/>
        <v>-1092.4900000000002</v>
      </c>
      <c r="Y13" s="2"/>
      <c r="Z13" s="19">
        <f t="shared" si="3"/>
        <v>-0.76270429142901042</v>
      </c>
    </row>
    <row r="14" spans="1:26" s="24" customFormat="1" hidden="1" outlineLevel="1" x14ac:dyDescent="0.25">
      <c r="A14" s="44"/>
      <c r="B14" s="11" t="str">
        <f>CONCATENATE("          ", "4055", " - ", "TAXABLE SALES-FOOD")</f>
        <v xml:space="preserve">          4055 - TAXABLE SALES-FOOD</v>
      </c>
      <c r="C14" s="11"/>
      <c r="D14" s="2">
        <f>0</f>
        <v>0</v>
      </c>
      <c r="E14" s="2"/>
      <c r="F14" s="19"/>
      <c r="G14" s="2"/>
      <c r="H14" s="2">
        <f>--45.65</f>
        <v>45.65</v>
      </c>
      <c r="I14" s="2"/>
      <c r="J14" s="19"/>
      <c r="K14" s="2"/>
      <c r="L14" s="2">
        <f t="shared" si="0"/>
        <v>-45.65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--45.65</f>
        <v>45.65</v>
      </c>
      <c r="U14" s="2"/>
      <c r="V14" s="19"/>
      <c r="W14" s="2"/>
      <c r="X14" s="2">
        <f t="shared" si="2"/>
        <v>-45.65</v>
      </c>
      <c r="Y14" s="2"/>
      <c r="Z14" s="19">
        <f t="shared" si="3"/>
        <v>-1</v>
      </c>
    </row>
    <row r="15" spans="1:26" s="24" customFormat="1" hidden="1" outlineLevel="1" x14ac:dyDescent="0.25">
      <c r="A15" s="44"/>
      <c r="B15" s="11" t="str">
        <f>CONCATENATE("          ", "4151", " - ", "NON-TAXABLE SALES-FOOD")</f>
        <v xml:space="preserve">          4151 - NON-TAXABLE SALES-FOOD</v>
      </c>
      <c r="C15" s="11"/>
      <c r="D15" s="2">
        <f>--40550.68</f>
        <v>40550.68</v>
      </c>
      <c r="E15" s="2"/>
      <c r="F15" s="19"/>
      <c r="G15" s="2"/>
      <c r="H15" s="2">
        <f>--405256.16</f>
        <v>405256.16</v>
      </c>
      <c r="I15" s="2"/>
      <c r="J15" s="19"/>
      <c r="K15" s="2"/>
      <c r="L15" s="2">
        <f t="shared" si="0"/>
        <v>-364705.48</v>
      </c>
      <c r="M15" s="2"/>
      <c r="N15" s="19">
        <f t="shared" si="1"/>
        <v>-0.89993815269828348</v>
      </c>
      <c r="O15" s="11"/>
      <c r="P15" s="2">
        <f>--41850.68</f>
        <v>41850.68</v>
      </c>
      <c r="Q15" s="2"/>
      <c r="R15" s="19"/>
      <c r="S15" s="2"/>
      <c r="T15" s="2">
        <f>--894534.21</f>
        <v>894534.21</v>
      </c>
      <c r="U15" s="2"/>
      <c r="V15" s="19"/>
      <c r="W15" s="2"/>
      <c r="X15" s="2">
        <f t="shared" si="2"/>
        <v>-852683.52999999991</v>
      </c>
      <c r="Y15" s="2"/>
      <c r="Z15" s="19">
        <f t="shared" si="3"/>
        <v>-0.95321511516032453</v>
      </c>
    </row>
    <row r="16" spans="1:26" s="24" customFormat="1" hidden="1" outlineLevel="1" x14ac:dyDescent="0.25">
      <c r="A16" s="44"/>
      <c r="B16" s="11" t="str">
        <f>CONCATENATE("          ", "4153", " - ", "NON-TAXABLE SALES-FOOD")</f>
        <v xml:space="preserve">          4153 - NON-TAXABLE SALES-FOOD</v>
      </c>
      <c r="C16" s="11"/>
      <c r="D16" s="2">
        <f>--9137.39</f>
        <v>9137.39</v>
      </c>
      <c r="E16" s="2"/>
      <c r="F16" s="19"/>
      <c r="G16" s="2"/>
      <c r="H16" s="2">
        <f>--100740.21</f>
        <v>100740.21</v>
      </c>
      <c r="I16" s="2"/>
      <c r="J16" s="19"/>
      <c r="K16" s="2"/>
      <c r="L16" s="2">
        <f t="shared" si="0"/>
        <v>-91602.82</v>
      </c>
      <c r="M16" s="2"/>
      <c r="N16" s="19">
        <f t="shared" si="1"/>
        <v>-0.90929748905625674</v>
      </c>
      <c r="O16" s="11"/>
      <c r="P16" s="2">
        <f>--26965.42</f>
        <v>26965.42</v>
      </c>
      <c r="Q16" s="2"/>
      <c r="R16" s="19"/>
      <c r="S16" s="2"/>
      <c r="T16" s="2">
        <f>--119751.92</f>
        <v>119751.92</v>
      </c>
      <c r="U16" s="2"/>
      <c r="V16" s="19"/>
      <c r="W16" s="2"/>
      <c r="X16" s="2">
        <f t="shared" si="2"/>
        <v>-92786.5</v>
      </c>
      <c r="Y16" s="2"/>
      <c r="Z16" s="19">
        <f t="shared" si="3"/>
        <v>-0.77482265002515205</v>
      </c>
    </row>
    <row r="17" spans="1:26" s="24" customFormat="1" hidden="1" outlineLevel="1" x14ac:dyDescent="0.25">
      <c r="A17" s="44"/>
      <c r="B17" s="11" t="str">
        <f>CONCATENATE("          ", "4155", " - ", "NON-TAXABLE SALES-FOOD")</f>
        <v xml:space="preserve">          4155 - NON-TAXABLE SALES-FOOD</v>
      </c>
      <c r="C17" s="11"/>
      <c r="D17" s="2">
        <f>0</f>
        <v>0</v>
      </c>
      <c r="E17" s="2"/>
      <c r="F17" s="19"/>
      <c r="G17" s="2"/>
      <c r="H17" s="2">
        <f>--270.99</f>
        <v>270.99</v>
      </c>
      <c r="I17" s="2"/>
      <c r="J17" s="19"/>
      <c r="K17" s="2"/>
      <c r="L17" s="2">
        <f t="shared" si="0"/>
        <v>-270.99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--270.99</f>
        <v>270.99</v>
      </c>
      <c r="U17" s="2"/>
      <c r="V17" s="19"/>
      <c r="W17" s="2"/>
      <c r="X17" s="2">
        <f t="shared" si="2"/>
        <v>-270.99</v>
      </c>
      <c r="Y17" s="2"/>
      <c r="Z17" s="19">
        <f t="shared" si="3"/>
        <v>-1</v>
      </c>
    </row>
    <row r="18" spans="1:26" x14ac:dyDescent="0.25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25">
      <c r="A19" s="10"/>
      <c r="B19" s="25" t="s">
        <v>8</v>
      </c>
      <c r="C19" s="10"/>
      <c r="D19" s="4">
        <f>SUM(OSRRefD16x_0)</f>
        <v>46072.600000000006</v>
      </c>
      <c r="E19" s="4"/>
      <c r="F19" s="12">
        <f t="shared" ref="F19:F21" si="4">IF(D$12=0,0,D19/D$12)</f>
        <v>0.92463125209721109</v>
      </c>
      <c r="G19" s="4"/>
      <c r="H19" s="4">
        <f>SUM(OSRRefH16x_0)</f>
        <v>142443.63</v>
      </c>
      <c r="I19" s="4"/>
      <c r="J19" s="12">
        <f t="shared" ref="J19:J21" si="5">IF(H$12=0,0,H19/H$12)</f>
        <v>0.28117501869813599</v>
      </c>
      <c r="K19" s="4"/>
      <c r="L19" s="4">
        <f t="shared" ref="L19:L21" si="6">+D19-H19</f>
        <v>-96371.03</v>
      </c>
      <c r="M19" s="4"/>
      <c r="N19" s="12">
        <f t="shared" ref="N19:N21" si="7">IF(H19=0,0,L19/H19)</f>
        <v>-0.67655556096120262</v>
      </c>
      <c r="O19" s="10"/>
      <c r="P19" s="4">
        <f>SUM(OSRRefP16x_0)</f>
        <v>57762.22</v>
      </c>
      <c r="Q19" s="4"/>
      <c r="R19" s="12">
        <f t="shared" ref="R19:R21" si="8">IF(P$12=0,0,P19/P$12)</f>
        <v>0.8352452426398288</v>
      </c>
      <c r="S19" s="4"/>
      <c r="T19" s="4">
        <f>SUM(OSRRefT16x_0)</f>
        <v>300851.09999999998</v>
      </c>
      <c r="U19" s="4"/>
      <c r="V19" s="12">
        <f t="shared" ref="V19:V21" si="9">IF(T$12=0,0,T19/T$12)</f>
        <v>0.29610304037116192</v>
      </c>
      <c r="W19" s="4"/>
      <c r="X19" s="4">
        <f t="shared" ref="X19:X21" si="10">+P19-T19</f>
        <v>-243088.87999999998</v>
      </c>
      <c r="Y19" s="4"/>
      <c r="Z19" s="12">
        <f t="shared" ref="Z19:Z21" si="11">IF(T19=0,0,X19/T19)</f>
        <v>-0.80800395943375314</v>
      </c>
    </row>
    <row r="20" spans="1:26" s="24" customFormat="1" hidden="1" outlineLevel="1" x14ac:dyDescent="0.25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76328.600000000006</v>
      </c>
      <c r="E20" s="2"/>
      <c r="F20" s="19">
        <f t="shared" si="4"/>
        <v>1.5318390754771205</v>
      </c>
      <c r="G20" s="2"/>
      <c r="H20" s="2">
        <v>170925.58000000002</v>
      </c>
      <c r="I20" s="2"/>
      <c r="J20" s="19">
        <f t="shared" si="5"/>
        <v>0.33739664702794886</v>
      </c>
      <c r="K20" s="2"/>
      <c r="L20" s="2">
        <f t="shared" si="6"/>
        <v>-94596.98000000001</v>
      </c>
      <c r="M20" s="2"/>
      <c r="N20" s="19">
        <f t="shared" si="7"/>
        <v>-0.5534395729416276</v>
      </c>
      <c r="O20" s="11"/>
      <c r="P20" s="2">
        <v>84609.22</v>
      </c>
      <c r="Q20" s="2"/>
      <c r="R20" s="19">
        <f t="shared" si="8"/>
        <v>1.2234545086471167</v>
      </c>
      <c r="S20" s="2"/>
      <c r="T20" s="2">
        <v>325136.05</v>
      </c>
      <c r="U20" s="2"/>
      <c r="V20" s="19">
        <f t="shared" si="9"/>
        <v>0.32000472306489863</v>
      </c>
      <c r="W20" s="2"/>
      <c r="X20" s="2">
        <f t="shared" si="10"/>
        <v>-240526.83</v>
      </c>
      <c r="Y20" s="2"/>
      <c r="Z20" s="19">
        <f t="shared" si="11"/>
        <v>-0.73977287354016874</v>
      </c>
    </row>
    <row r="21" spans="1:26" s="24" customFormat="1" hidden="1" outlineLevel="1" x14ac:dyDescent="0.25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-30256</v>
      </c>
      <c r="E21" s="2"/>
      <c r="F21" s="19">
        <f t="shared" si="4"/>
        <v>-0.60720782337990942</v>
      </c>
      <c r="G21" s="2"/>
      <c r="H21" s="2">
        <v>-28481.95</v>
      </c>
      <c r="I21" s="2"/>
      <c r="J21" s="19">
        <f t="shared" si="5"/>
        <v>-5.6221628329812819E-2</v>
      </c>
      <c r="K21" s="2"/>
      <c r="L21" s="2">
        <f t="shared" si="6"/>
        <v>-1774.0499999999993</v>
      </c>
      <c r="M21" s="2"/>
      <c r="N21" s="19">
        <f t="shared" si="7"/>
        <v>6.2286816738320205E-2</v>
      </c>
      <c r="O21" s="11"/>
      <c r="P21" s="2">
        <v>-26847</v>
      </c>
      <c r="Q21" s="2"/>
      <c r="R21" s="19">
        <f t="shared" si="8"/>
        <v>-0.38820926600728789</v>
      </c>
      <c r="S21" s="2"/>
      <c r="T21" s="2">
        <v>-24284.95</v>
      </c>
      <c r="U21" s="2"/>
      <c r="V21" s="19">
        <f t="shared" si="9"/>
        <v>-2.3901682693736701E-2</v>
      </c>
      <c r="W21" s="2"/>
      <c r="X21" s="2">
        <f t="shared" si="10"/>
        <v>-2562.0499999999993</v>
      </c>
      <c r="Y21" s="2"/>
      <c r="Z21" s="19">
        <f t="shared" si="11"/>
        <v>0.10549949660180478</v>
      </c>
    </row>
    <row r="22" spans="1:26" x14ac:dyDescent="0.25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25">
      <c r="A23" s="10"/>
      <c r="B23" s="26" t="s">
        <v>6</v>
      </c>
      <c r="C23" s="26"/>
      <c r="D23" s="22">
        <f>D12-D19</f>
        <v>3755.4799999999959</v>
      </c>
      <c r="E23" s="13"/>
      <c r="F23" s="21">
        <f>IF(D$12=0,0,D23/D$12)</f>
        <v>7.5368747902788871E-2</v>
      </c>
      <c r="G23" s="13"/>
      <c r="H23" s="22">
        <f>H12-H19</f>
        <v>364157.67</v>
      </c>
      <c r="I23" s="13"/>
      <c r="J23" s="21">
        <f>IF(H$12=0,0,H23/H$12)</f>
        <v>0.71882498130186401</v>
      </c>
      <c r="K23" s="16"/>
      <c r="L23" s="22">
        <f>+D23-H23</f>
        <v>-360402.19</v>
      </c>
      <c r="M23" s="16"/>
      <c r="N23" s="21">
        <f>IF(H23=0,0,L23/H23)</f>
        <v>-0.98968721433218754</v>
      </c>
      <c r="O23" s="25"/>
      <c r="P23" s="22">
        <f>P12-P19</f>
        <v>11393.779999999999</v>
      </c>
      <c r="Q23" s="13"/>
      <c r="R23" s="21">
        <f>IF(P$12=0,0,P23/P$12)</f>
        <v>0.1647547573601712</v>
      </c>
      <c r="S23" s="13"/>
      <c r="T23" s="22">
        <f>T12-T19</f>
        <v>715184.06</v>
      </c>
      <c r="U23" s="13"/>
      <c r="V23" s="21">
        <f>IF(T$12=0,0,T23/T$12)</f>
        <v>0.70389695962883803</v>
      </c>
      <c r="W23" s="16"/>
      <c r="X23" s="22">
        <f>+P23-T23</f>
        <v>-703790.28</v>
      </c>
      <c r="Y23" s="16"/>
      <c r="Z23" s="21">
        <f>IF(T23=0,0,X23/T23)</f>
        <v>-0.98406874448516091</v>
      </c>
    </row>
    <row r="24" spans="1:26" x14ac:dyDescent="0.25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25">
      <c r="A25" s="10"/>
      <c r="B25" s="25" t="s">
        <v>9</v>
      </c>
      <c r="C25" s="10"/>
      <c r="D25" s="20">
        <f>SUM(OSRRefD22x_0)</f>
        <v>198092.34999999995</v>
      </c>
      <c r="E25" s="20"/>
      <c r="F25" s="35">
        <f t="shared" ref="F25:F35" si="12">IF(D$12=0,0,D25/D$12)</f>
        <v>3.9755164156435474</v>
      </c>
      <c r="G25" s="20"/>
      <c r="H25" s="20">
        <f>SUM(OSRRefH22x_0)</f>
        <v>370140.71000000008</v>
      </c>
      <c r="I25" s="20"/>
      <c r="J25" s="35">
        <f t="shared" ref="J25:J35" si="13">IF(H$12=0,0,H25/H$12)</f>
        <v>0.73063513654623491</v>
      </c>
      <c r="K25" s="4"/>
      <c r="L25" s="20">
        <f t="shared" ref="L25:L35" si="14">+D25-H25</f>
        <v>-172048.36000000013</v>
      </c>
      <c r="M25" s="4"/>
      <c r="N25" s="35">
        <f t="shared" ref="N25:N35" si="15">IF(H25=0,0,L25/H25)</f>
        <v>-0.4648187982348661</v>
      </c>
      <c r="O25" s="10"/>
      <c r="P25" s="20">
        <f>SUM(OSRRefP22x_0)</f>
        <v>384062.35</v>
      </c>
      <c r="Q25" s="20"/>
      <c r="R25" s="35">
        <f t="shared" ref="R25:R35" si="16">IF(P$12=0,0,P25/P$12)</f>
        <v>5.5535651281161424</v>
      </c>
      <c r="S25" s="20"/>
      <c r="T25" s="20">
        <f>SUM(OSRRefT22x_0)</f>
        <v>775760.4099999998</v>
      </c>
      <c r="U25" s="20"/>
      <c r="V25" s="35">
        <f t="shared" ref="V25:V35" si="17">IF(T$12=0,0,T25/T$12)</f>
        <v>0.76351728812219433</v>
      </c>
      <c r="W25" s="4"/>
      <c r="X25" s="20">
        <f t="shared" ref="X25:X35" si="18">+P25-T25</f>
        <v>-391698.05999999982</v>
      </c>
      <c r="Y25" s="4"/>
      <c r="Z25" s="35">
        <f t="shared" ref="Z25:Z35" si="19">IF(T25=0,0,X25/T25)</f>
        <v>-0.50492143573039505</v>
      </c>
    </row>
    <row r="26" spans="1:26" s="28" customFormat="1" outlineLevel="1" collapsed="1" x14ac:dyDescent="0.25">
      <c r="A26" s="27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72340.7</v>
      </c>
      <c r="E26" s="1"/>
      <c r="F26" s="5">
        <f t="shared" si="12"/>
        <v>1.4518058893700097</v>
      </c>
      <c r="G26" s="1"/>
      <c r="H26" s="1">
        <f>SUM(OSRRefH22_0x_0)</f>
        <v>86552.31</v>
      </c>
      <c r="I26" s="1"/>
      <c r="J26" s="5">
        <f t="shared" si="13"/>
        <v>0.17084896939664387</v>
      </c>
      <c r="K26" s="1"/>
      <c r="L26" s="1">
        <f t="shared" si="14"/>
        <v>-14211.61</v>
      </c>
      <c r="M26" s="1"/>
      <c r="N26" s="5">
        <f t="shared" si="15"/>
        <v>-0.16419677302662403</v>
      </c>
      <c r="O26" s="14"/>
      <c r="P26" s="1">
        <f>SUM(OSRRefP22_0x_0)</f>
        <v>143882.51</v>
      </c>
      <c r="Q26" s="1"/>
      <c r="R26" s="5">
        <f t="shared" si="16"/>
        <v>2.0805499161316447</v>
      </c>
      <c r="S26" s="1"/>
      <c r="T26" s="1">
        <f>SUM(OSRRefT22_0x_0)</f>
        <v>187486.28999999998</v>
      </c>
      <c r="U26" s="1"/>
      <c r="V26" s="5">
        <f t="shared" si="17"/>
        <v>0.18452736419082189</v>
      </c>
      <c r="W26" s="1"/>
      <c r="X26" s="1">
        <f t="shared" si="18"/>
        <v>-43603.77999999997</v>
      </c>
      <c r="Y26" s="1"/>
      <c r="Z26" s="5">
        <f t="shared" si="19"/>
        <v>-0.23257049888821191</v>
      </c>
    </row>
    <row r="27" spans="1:26" s="24" customFormat="1" hidden="1" outlineLevel="2" x14ac:dyDescent="0.25">
      <c r="A27" s="29"/>
      <c r="B27" s="11" t="str">
        <f>CONCATENATE("          ", "6111", " - ", "F.I.C.A.")</f>
        <v xml:space="preserve">          6111 - F.I.C.A.</v>
      </c>
      <c r="C27" s="11"/>
      <c r="D27" s="7">
        <v>6963.14</v>
      </c>
      <c r="E27" s="2"/>
      <c r="F27" s="6">
        <f t="shared" si="12"/>
        <v>0.13974329333981964</v>
      </c>
      <c r="G27" s="2"/>
      <c r="H27" s="7">
        <v>12899.09</v>
      </c>
      <c r="I27" s="2"/>
      <c r="J27" s="6">
        <f t="shared" si="13"/>
        <v>2.5462015198144974E-2</v>
      </c>
      <c r="K27" s="2"/>
      <c r="L27" s="7">
        <f t="shared" si="14"/>
        <v>-5935.95</v>
      </c>
      <c r="M27" s="2"/>
      <c r="N27" s="6">
        <f t="shared" si="15"/>
        <v>-0.46018362535651736</v>
      </c>
      <c r="O27" s="11"/>
      <c r="P27" s="7">
        <v>13363.65</v>
      </c>
      <c r="Q27" s="2"/>
      <c r="R27" s="6">
        <f t="shared" si="16"/>
        <v>0.19323919833420095</v>
      </c>
      <c r="S27" s="2"/>
      <c r="T27" s="7">
        <v>26033.929999999997</v>
      </c>
      <c r="U27" s="2"/>
      <c r="V27" s="6">
        <f t="shared" si="17"/>
        <v>2.5623060131108058E-2</v>
      </c>
      <c r="W27" s="2"/>
      <c r="X27" s="7">
        <f t="shared" si="18"/>
        <v>-12670.279999999997</v>
      </c>
      <c r="Y27" s="2"/>
      <c r="Z27" s="6">
        <f t="shared" si="19"/>
        <v>-0.48668333978004852</v>
      </c>
    </row>
    <row r="28" spans="1:26" s="24" customFormat="1" hidden="1" outlineLevel="2" x14ac:dyDescent="0.25">
      <c r="A28" s="29"/>
      <c r="B28" s="11" t="str">
        <f>CONCATENATE("          ", "6112", " - ", "COMPENSATION INSURANCE")</f>
        <v xml:space="preserve">          6112 - COMPENSATION INSURANCE</v>
      </c>
      <c r="C28" s="11"/>
      <c r="D28" s="7">
        <v>3863.42</v>
      </c>
      <c r="E28" s="2"/>
      <c r="F28" s="6">
        <f t="shared" si="12"/>
        <v>7.753499633138583E-2</v>
      </c>
      <c r="G28" s="2"/>
      <c r="H28" s="7">
        <v>6934.63</v>
      </c>
      <c r="I28" s="2"/>
      <c r="J28" s="6">
        <f t="shared" si="13"/>
        <v>1.3688535738064628E-2</v>
      </c>
      <c r="K28" s="2"/>
      <c r="L28" s="7">
        <f t="shared" si="14"/>
        <v>-3071.21</v>
      </c>
      <c r="M28" s="2"/>
      <c r="N28" s="6">
        <f t="shared" si="15"/>
        <v>-0.44288015366356964</v>
      </c>
      <c r="O28" s="11"/>
      <c r="P28" s="7">
        <v>7434.63</v>
      </c>
      <c r="Q28" s="2"/>
      <c r="R28" s="6">
        <f t="shared" si="16"/>
        <v>0.10750520562207184</v>
      </c>
      <c r="S28" s="2"/>
      <c r="T28" s="7">
        <v>13989.39</v>
      </c>
      <c r="U28" s="2"/>
      <c r="V28" s="6">
        <f t="shared" si="17"/>
        <v>1.3768608165095389E-2</v>
      </c>
      <c r="W28" s="2"/>
      <c r="X28" s="7">
        <f t="shared" si="18"/>
        <v>-6554.7599999999993</v>
      </c>
      <c r="Y28" s="2"/>
      <c r="Z28" s="6">
        <f t="shared" si="19"/>
        <v>-0.46855223851790534</v>
      </c>
    </row>
    <row r="29" spans="1:26" s="24" customFormat="1" hidden="1" outlineLevel="2" x14ac:dyDescent="0.25">
      <c r="A29" s="29"/>
      <c r="B29" s="11" t="str">
        <f>CONCATENATE("          ", "6113", " - ", "GROUP INSURANCE")</f>
        <v xml:space="preserve">          6113 - GROUP INSURANCE</v>
      </c>
      <c r="C29" s="11"/>
      <c r="D29" s="7">
        <v>44390.990000000005</v>
      </c>
      <c r="E29" s="2"/>
      <c r="F29" s="6">
        <f t="shared" si="12"/>
        <v>0.89088301214897314</v>
      </c>
      <c r="G29" s="2"/>
      <c r="H29" s="7">
        <v>45625.93</v>
      </c>
      <c r="I29" s="2"/>
      <c r="J29" s="6">
        <f t="shared" si="13"/>
        <v>9.00627969174181E-2</v>
      </c>
      <c r="K29" s="2"/>
      <c r="L29" s="7">
        <f t="shared" si="14"/>
        <v>-1234.9399999999951</v>
      </c>
      <c r="M29" s="2"/>
      <c r="N29" s="6">
        <f t="shared" si="15"/>
        <v>-2.7066626367944612E-2</v>
      </c>
      <c r="O29" s="11"/>
      <c r="P29" s="7">
        <v>86082.08</v>
      </c>
      <c r="Q29" s="2"/>
      <c r="R29" s="6">
        <f t="shared" si="16"/>
        <v>1.2447521545491353</v>
      </c>
      <c r="S29" s="2"/>
      <c r="T29" s="7">
        <v>90086.96</v>
      </c>
      <c r="U29" s="2"/>
      <c r="V29" s="6">
        <f t="shared" si="17"/>
        <v>8.8665199342117265E-2</v>
      </c>
      <c r="W29" s="2"/>
      <c r="X29" s="7">
        <f t="shared" si="18"/>
        <v>-4004.8800000000047</v>
      </c>
      <c r="Y29" s="2"/>
      <c r="Z29" s="6">
        <f t="shared" si="19"/>
        <v>-4.4455712569277557E-2</v>
      </c>
    </row>
    <row r="30" spans="1:26" s="24" customFormat="1" hidden="1" outlineLevel="2" x14ac:dyDescent="0.25">
      <c r="A30" s="29"/>
      <c r="B30" s="11" t="str">
        <f>CONCATENATE("          ", "6114", " - ", "STATE UNEMPLOYMENT INSURANCE")</f>
        <v xml:space="preserve">          6114 - STATE UNEMPLOYMENT INSURANCE</v>
      </c>
      <c r="C30" s="11"/>
      <c r="D30" s="7">
        <v>238.78</v>
      </c>
      <c r="E30" s="2"/>
      <c r="F30" s="6">
        <f t="shared" si="12"/>
        <v>4.7920770778243915E-3</v>
      </c>
      <c r="G30" s="2"/>
      <c r="H30" s="7">
        <v>466.53</v>
      </c>
      <c r="I30" s="2"/>
      <c r="J30" s="6">
        <f t="shared" si="13"/>
        <v>9.2090170317367913E-4</v>
      </c>
      <c r="K30" s="2"/>
      <c r="L30" s="7">
        <f t="shared" si="14"/>
        <v>-227.74999999999997</v>
      </c>
      <c r="M30" s="2"/>
      <c r="N30" s="6">
        <f t="shared" si="15"/>
        <v>-0.48817868089940625</v>
      </c>
      <c r="O30" s="11"/>
      <c r="P30" s="7">
        <v>531.4</v>
      </c>
      <c r="Q30" s="2"/>
      <c r="R30" s="6">
        <f t="shared" si="16"/>
        <v>7.6840765804847009E-3</v>
      </c>
      <c r="S30" s="2"/>
      <c r="T30" s="7">
        <v>940.55</v>
      </c>
      <c r="U30" s="2"/>
      <c r="V30" s="6">
        <f t="shared" si="17"/>
        <v>9.2570615371223954E-4</v>
      </c>
      <c r="W30" s="2"/>
      <c r="X30" s="7">
        <f t="shared" si="18"/>
        <v>-409.15</v>
      </c>
      <c r="Y30" s="2"/>
      <c r="Z30" s="6">
        <f t="shared" si="19"/>
        <v>-0.43501142948274946</v>
      </c>
    </row>
    <row r="31" spans="1:26" s="24" customFormat="1" hidden="1" outlineLevel="2" x14ac:dyDescent="0.25">
      <c r="A31" s="29"/>
      <c r="B31" s="11" t="str">
        <f>CONCATENATE("          ", "6115", " - ", "P.E.R.S.")</f>
        <v xml:space="preserve">          6115 - P.E.R.S.</v>
      </c>
      <c r="C31" s="11"/>
      <c r="D31" s="7">
        <v>3585.18</v>
      </c>
      <c r="E31" s="2"/>
      <c r="F31" s="6">
        <f t="shared" si="12"/>
        <v>7.1950996305697498E-2</v>
      </c>
      <c r="G31" s="2"/>
      <c r="H31" s="7">
        <v>4215.32</v>
      </c>
      <c r="I31" s="2"/>
      <c r="J31" s="6">
        <f t="shared" si="13"/>
        <v>8.3207840169379748E-3</v>
      </c>
      <c r="K31" s="2"/>
      <c r="L31" s="7">
        <f t="shared" si="14"/>
        <v>-630.13999999999987</v>
      </c>
      <c r="M31" s="2"/>
      <c r="N31" s="6">
        <f t="shared" si="15"/>
        <v>-0.14948805784614214</v>
      </c>
      <c r="O31" s="11"/>
      <c r="P31" s="7">
        <v>8962.94</v>
      </c>
      <c r="Q31" s="2"/>
      <c r="R31" s="6">
        <f t="shared" si="16"/>
        <v>0.12960466192376657</v>
      </c>
      <c r="S31" s="2"/>
      <c r="T31" s="7">
        <v>8177.86</v>
      </c>
      <c r="U31" s="2"/>
      <c r="V31" s="6">
        <f t="shared" si="17"/>
        <v>8.0487962640977892E-3</v>
      </c>
      <c r="W31" s="2"/>
      <c r="X31" s="7">
        <f t="shared" si="18"/>
        <v>785.08000000000084</v>
      </c>
      <c r="Y31" s="2"/>
      <c r="Z31" s="6">
        <f t="shared" si="19"/>
        <v>9.6000665210703148E-2</v>
      </c>
    </row>
    <row r="32" spans="1:26" s="24" customFormat="1" hidden="1" outlineLevel="2" x14ac:dyDescent="0.25">
      <c r="A32" s="29"/>
      <c r="B32" s="11" t="str">
        <f>CONCATENATE("          ", "6117", " - ", "RETIREMENT STAFF HOURLY")</f>
        <v xml:space="preserve">          6117 - RETIREMENT STAFF HOURLY</v>
      </c>
      <c r="C32" s="11"/>
      <c r="D32" s="7">
        <v>1373.88</v>
      </c>
      <c r="E32" s="2"/>
      <c r="F32" s="6">
        <f t="shared" si="12"/>
        <v>2.7572404957204855E-2</v>
      </c>
      <c r="G32" s="2"/>
      <c r="H32" s="7">
        <v>1165.05</v>
      </c>
      <c r="I32" s="2"/>
      <c r="J32" s="6">
        <f t="shared" si="13"/>
        <v>2.2997374858690651E-3</v>
      </c>
      <c r="K32" s="2"/>
      <c r="L32" s="7">
        <f t="shared" si="14"/>
        <v>208.83000000000015</v>
      </c>
      <c r="M32" s="2"/>
      <c r="N32" s="6">
        <f t="shared" si="15"/>
        <v>0.1792455259430927</v>
      </c>
      <c r="O32" s="11"/>
      <c r="P32" s="7">
        <v>3343.02</v>
      </c>
      <c r="Q32" s="2"/>
      <c r="R32" s="6">
        <f t="shared" si="16"/>
        <v>4.8340274162762452E-2</v>
      </c>
      <c r="S32" s="2"/>
      <c r="T32" s="7">
        <v>2547.31</v>
      </c>
      <c r="U32" s="2"/>
      <c r="V32" s="6">
        <f t="shared" si="17"/>
        <v>2.5071081201559994E-3</v>
      </c>
      <c r="W32" s="2"/>
      <c r="X32" s="7">
        <f t="shared" si="18"/>
        <v>795.71</v>
      </c>
      <c r="Y32" s="2"/>
      <c r="Z32" s="6">
        <f t="shared" si="19"/>
        <v>0.31237265978620588</v>
      </c>
    </row>
    <row r="33" spans="1:26" s="24" customFormat="1" hidden="1" outlineLevel="2" x14ac:dyDescent="0.25">
      <c r="A33" s="29"/>
      <c r="B33" s="11" t="str">
        <f>CONCATENATE("          ", "6118", " - ", "VACATION")</f>
        <v xml:space="preserve">          6118 - VACATION</v>
      </c>
      <c r="C33" s="11"/>
      <c r="D33" s="7">
        <v>5869.15</v>
      </c>
      <c r="E33" s="2"/>
      <c r="F33" s="6">
        <f t="shared" si="12"/>
        <v>0.11778800226699482</v>
      </c>
      <c r="G33" s="2"/>
      <c r="H33" s="7">
        <v>7453.46</v>
      </c>
      <c r="I33" s="2"/>
      <c r="J33" s="6">
        <f t="shared" si="13"/>
        <v>1.4712674444380621E-2</v>
      </c>
      <c r="K33" s="2"/>
      <c r="L33" s="7">
        <f t="shared" si="14"/>
        <v>-1584.3100000000004</v>
      </c>
      <c r="M33" s="2"/>
      <c r="N33" s="6">
        <f t="shared" si="15"/>
        <v>-0.21256034110332656</v>
      </c>
      <c r="O33" s="11"/>
      <c r="P33" s="7">
        <v>11321.27</v>
      </c>
      <c r="Q33" s="2"/>
      <c r="R33" s="6">
        <f t="shared" si="16"/>
        <v>0.16370625831453525</v>
      </c>
      <c r="S33" s="2"/>
      <c r="T33" s="7">
        <v>18398.12</v>
      </c>
      <c r="U33" s="2"/>
      <c r="V33" s="6">
        <f t="shared" si="17"/>
        <v>1.8107759184239253E-2</v>
      </c>
      <c r="W33" s="2"/>
      <c r="X33" s="7">
        <f t="shared" si="18"/>
        <v>-7076.8499999999985</v>
      </c>
      <c r="Y33" s="2"/>
      <c r="Z33" s="6">
        <f t="shared" si="19"/>
        <v>-0.38465071431211445</v>
      </c>
    </row>
    <row r="34" spans="1:26" s="24" customFormat="1" hidden="1" outlineLevel="2" x14ac:dyDescent="0.25">
      <c r="A34" s="29"/>
      <c r="B34" s="11" t="str">
        <f>CONCATENATE("          ", "6119", " - ", "SICK LEAVE")</f>
        <v xml:space="preserve">          6119 - SICK LEAVE</v>
      </c>
      <c r="C34" s="11"/>
      <c r="D34" s="7">
        <v>4078.56</v>
      </c>
      <c r="E34" s="2"/>
      <c r="F34" s="6">
        <f t="shared" si="12"/>
        <v>8.1852642124681504E-2</v>
      </c>
      <c r="G34" s="2"/>
      <c r="H34" s="7">
        <v>4745.12</v>
      </c>
      <c r="I34" s="2"/>
      <c r="J34" s="6">
        <f t="shared" si="13"/>
        <v>9.3665768327084835E-3</v>
      </c>
      <c r="K34" s="2"/>
      <c r="L34" s="7">
        <f t="shared" si="14"/>
        <v>-666.56</v>
      </c>
      <c r="M34" s="2"/>
      <c r="N34" s="6">
        <f t="shared" si="15"/>
        <v>-0.14047273830798798</v>
      </c>
      <c r="O34" s="11"/>
      <c r="P34" s="7">
        <v>8157.12</v>
      </c>
      <c r="Q34" s="2"/>
      <c r="R34" s="6">
        <f t="shared" si="16"/>
        <v>0.11795245531841055</v>
      </c>
      <c r="S34" s="2"/>
      <c r="T34" s="7">
        <v>21174.42</v>
      </c>
      <c r="U34" s="2"/>
      <c r="V34" s="6">
        <f t="shared" si="17"/>
        <v>2.0840243363231641E-2</v>
      </c>
      <c r="W34" s="2"/>
      <c r="X34" s="7">
        <f t="shared" si="18"/>
        <v>-13017.3</v>
      </c>
      <c r="Y34" s="2"/>
      <c r="Z34" s="6">
        <f t="shared" si="19"/>
        <v>-0.61476536311266139</v>
      </c>
    </row>
    <row r="35" spans="1:26" s="24" customFormat="1" hidden="1" outlineLevel="2" x14ac:dyDescent="0.25">
      <c r="A35" s="29"/>
      <c r="B35" s="11" t="str">
        <f>CONCATENATE("          ", "6156", " - ", "EMPLOYEE MEALS")</f>
        <v xml:space="preserve">          6156 - EMPLOYEE MEALS</v>
      </c>
      <c r="C35" s="11"/>
      <c r="D35" s="7">
        <v>1977.6</v>
      </c>
      <c r="E35" s="2"/>
      <c r="F35" s="6">
        <f t="shared" si="12"/>
        <v>3.9688464817428243E-2</v>
      </c>
      <c r="G35" s="2"/>
      <c r="H35" s="7">
        <v>3047.18</v>
      </c>
      <c r="I35" s="2"/>
      <c r="J35" s="6">
        <f t="shared" si="13"/>
        <v>6.0149470599463522E-3</v>
      </c>
      <c r="K35" s="2"/>
      <c r="L35" s="7">
        <f t="shared" si="14"/>
        <v>-1069.58</v>
      </c>
      <c r="M35" s="2"/>
      <c r="N35" s="6">
        <f t="shared" si="15"/>
        <v>-0.35100650437453645</v>
      </c>
      <c r="O35" s="11"/>
      <c r="P35" s="7">
        <v>4686.3999999999996</v>
      </c>
      <c r="Q35" s="2"/>
      <c r="R35" s="6">
        <f t="shared" si="16"/>
        <v>6.7765631326276818E-2</v>
      </c>
      <c r="S35" s="2"/>
      <c r="T35" s="7">
        <v>6137.75</v>
      </c>
      <c r="U35" s="2"/>
      <c r="V35" s="6">
        <f t="shared" si="17"/>
        <v>6.0408834670642696E-3</v>
      </c>
      <c r="W35" s="2"/>
      <c r="X35" s="7">
        <f t="shared" si="18"/>
        <v>-1451.3500000000004</v>
      </c>
      <c r="Y35" s="2"/>
      <c r="Z35" s="6">
        <f t="shared" si="19"/>
        <v>-0.23646287320272091</v>
      </c>
    </row>
    <row r="36" spans="1:26" s="28" customFormat="1" outlineLevel="1" collapsed="1" x14ac:dyDescent="0.25">
      <c r="A36" s="27"/>
      <c r="B36" s="14" t="str">
        <f>CONCATENATE("     ","*Payroll                                          ")</f>
        <v xml:space="preserve">     *Payroll                                          </v>
      </c>
      <c r="C36" s="14"/>
      <c r="D36" s="1">
        <f>SUM(OSRRefD22_1x_0)</f>
        <v>87695.920000000013</v>
      </c>
      <c r="E36" s="1"/>
      <c r="F36" s="5">
        <f t="shared" ref="F36:F43" si="20">IF(D$12=0,0,D36/D$12)</f>
        <v>1.7599698804368944</v>
      </c>
      <c r="G36" s="1"/>
      <c r="H36" s="1">
        <f>SUM(OSRRefH22_1x_0)</f>
        <v>192867.7</v>
      </c>
      <c r="I36" s="1"/>
      <c r="J36" s="5">
        <f t="shared" ref="J36:J43" si="21">IF(H$12=0,0,H36/H$12)</f>
        <v>0.38070905068739463</v>
      </c>
      <c r="K36" s="1"/>
      <c r="L36" s="1">
        <f t="shared" ref="L36:L43" si="22">+D36-H36</f>
        <v>-105171.78</v>
      </c>
      <c r="M36" s="1"/>
      <c r="N36" s="5">
        <f t="shared" ref="N36:N43" si="23">IF(H36=0,0,L36/H36)</f>
        <v>-0.54530530513922237</v>
      </c>
      <c r="O36" s="14"/>
      <c r="P36" s="1">
        <f>SUM(OSRRefP22_1x_0)</f>
        <v>174693.48</v>
      </c>
      <c r="Q36" s="1"/>
      <c r="R36" s="5">
        <f t="shared" ref="R36:R43" si="24">IF(P$12=0,0,P36/P$12)</f>
        <v>2.5260784313725493</v>
      </c>
      <c r="S36" s="1"/>
      <c r="T36" s="1">
        <f>SUM(OSRRefT22_1x_0)</f>
        <v>398288.76</v>
      </c>
      <c r="U36" s="1"/>
      <c r="V36" s="5">
        <f t="shared" ref="V36:V43" si="25">IF(T$12=0,0,T36/T$12)</f>
        <v>0.39200293029229422</v>
      </c>
      <c r="W36" s="1"/>
      <c r="X36" s="1">
        <f t="shared" ref="X36:X43" si="26">+P36-T36</f>
        <v>-223595.28</v>
      </c>
      <c r="Y36" s="1"/>
      <c r="Z36" s="5">
        <f t="shared" ref="Z36:Z43" si="27">IF(T36=0,0,X36/T36)</f>
        <v>-0.56138988205441698</v>
      </c>
    </row>
    <row r="37" spans="1:26" s="24" customFormat="1" hidden="1" outlineLevel="2" x14ac:dyDescent="0.25">
      <c r="A37" s="29"/>
      <c r="B37" s="11" t="str">
        <f>CONCATENATE("          ", "6001", " - ", "ADMINISTRATIVE SALARIES")</f>
        <v xml:space="preserve">          6001 - ADMINISTRATIVE SALARIES</v>
      </c>
      <c r="C37" s="11"/>
      <c r="D37" s="7">
        <v>5375.72</v>
      </c>
      <c r="E37" s="2"/>
      <c r="F37" s="6">
        <f t="shared" si="20"/>
        <v>0.10788535299774746</v>
      </c>
      <c r="G37" s="2"/>
      <c r="H37" s="7">
        <v>5294.28</v>
      </c>
      <c r="I37" s="2"/>
      <c r="J37" s="6">
        <f t="shared" si="21"/>
        <v>1.0450585105091519E-2</v>
      </c>
      <c r="K37" s="2"/>
      <c r="L37" s="7">
        <f t="shared" si="22"/>
        <v>81.440000000000509</v>
      </c>
      <c r="M37" s="2"/>
      <c r="N37" s="6">
        <f t="shared" si="23"/>
        <v>1.5382639376836985E-2</v>
      </c>
      <c r="O37" s="11"/>
      <c r="P37" s="7">
        <v>16575.259999999998</v>
      </c>
      <c r="Q37" s="2"/>
      <c r="R37" s="6">
        <f t="shared" si="24"/>
        <v>0.23967927584012955</v>
      </c>
      <c r="S37" s="2"/>
      <c r="T37" s="7">
        <v>13031.81</v>
      </c>
      <c r="U37" s="2"/>
      <c r="V37" s="6">
        <f t="shared" si="25"/>
        <v>1.2826140780403701E-2</v>
      </c>
      <c r="W37" s="2"/>
      <c r="X37" s="7">
        <f t="shared" si="26"/>
        <v>3543.4499999999989</v>
      </c>
      <c r="Y37" s="2"/>
      <c r="Z37" s="6">
        <f t="shared" si="27"/>
        <v>0.27190773960025499</v>
      </c>
    </row>
    <row r="38" spans="1:26" s="24" customFormat="1" hidden="1" outlineLevel="2" x14ac:dyDescent="0.25">
      <c r="A38" s="29"/>
      <c r="B38" s="11" t="str">
        <f>CONCATENATE("          ", "6002", " - ", "STAFF SALARIES")</f>
        <v xml:space="preserve">          6002 - STAFF SALARIES</v>
      </c>
      <c r="C38" s="11"/>
      <c r="D38" s="7">
        <v>27627.58</v>
      </c>
      <c r="E38" s="2"/>
      <c r="F38" s="6">
        <f t="shared" si="20"/>
        <v>0.5544580485541486</v>
      </c>
      <c r="G38" s="2"/>
      <c r="H38" s="7">
        <v>37442.700000000004</v>
      </c>
      <c r="I38" s="2"/>
      <c r="J38" s="6">
        <f t="shared" si="21"/>
        <v>7.3909601100510411E-2</v>
      </c>
      <c r="K38" s="2"/>
      <c r="L38" s="7">
        <f t="shared" si="22"/>
        <v>-9815.1200000000026</v>
      </c>
      <c r="M38" s="2"/>
      <c r="N38" s="6">
        <f t="shared" si="23"/>
        <v>-0.26213707878972409</v>
      </c>
      <c r="O38" s="11"/>
      <c r="P38" s="7">
        <v>61864.12000000001</v>
      </c>
      <c r="Q38" s="2"/>
      <c r="R38" s="6">
        <f t="shared" si="24"/>
        <v>0.894558968130025</v>
      </c>
      <c r="S38" s="2"/>
      <c r="T38" s="7">
        <v>82827.11</v>
      </c>
      <c r="U38" s="2"/>
      <c r="V38" s="6">
        <f t="shared" si="25"/>
        <v>8.1519924960077164E-2</v>
      </c>
      <c r="W38" s="2"/>
      <c r="X38" s="7">
        <f t="shared" si="26"/>
        <v>-20962.989999999991</v>
      </c>
      <c r="Y38" s="2"/>
      <c r="Z38" s="6">
        <f t="shared" si="27"/>
        <v>-0.25309334105705233</v>
      </c>
    </row>
    <row r="39" spans="1:26" s="24" customFormat="1" hidden="1" outlineLevel="2" x14ac:dyDescent="0.25">
      <c r="A39" s="29"/>
      <c r="B39" s="11" t="str">
        <f>CONCATENATE("          ", "6004", " - ", "STAFF HOURLY")</f>
        <v xml:space="preserve">          6004 - STAFF HOURLY</v>
      </c>
      <c r="C39" s="11"/>
      <c r="D39" s="7">
        <v>41720.519999999997</v>
      </c>
      <c r="E39" s="2"/>
      <c r="F39" s="6">
        <f t="shared" si="20"/>
        <v>0.83728933565170471</v>
      </c>
      <c r="G39" s="2"/>
      <c r="H39" s="7">
        <v>37745.11</v>
      </c>
      <c r="I39" s="2"/>
      <c r="J39" s="6">
        <f t="shared" si="21"/>
        <v>7.4506539955582429E-2</v>
      </c>
      <c r="K39" s="2"/>
      <c r="L39" s="7">
        <f t="shared" si="22"/>
        <v>3975.4099999999962</v>
      </c>
      <c r="M39" s="2"/>
      <c r="N39" s="6">
        <f t="shared" si="23"/>
        <v>0.10532251727442299</v>
      </c>
      <c r="O39" s="11"/>
      <c r="P39" s="7">
        <v>74881</v>
      </c>
      <c r="Q39" s="2"/>
      <c r="R39" s="6">
        <f t="shared" si="24"/>
        <v>1.0827838510035284</v>
      </c>
      <c r="S39" s="2"/>
      <c r="T39" s="7">
        <v>83517.600000000006</v>
      </c>
      <c r="U39" s="2"/>
      <c r="V39" s="6">
        <f t="shared" si="25"/>
        <v>8.2199517583623788E-2</v>
      </c>
      <c r="W39" s="2"/>
      <c r="X39" s="7">
        <f t="shared" si="26"/>
        <v>-8636.6000000000058</v>
      </c>
      <c r="Y39" s="2"/>
      <c r="Z39" s="6">
        <f t="shared" si="27"/>
        <v>-0.10341053861701013</v>
      </c>
    </row>
    <row r="40" spans="1:26" s="24" customFormat="1" hidden="1" outlineLevel="2" x14ac:dyDescent="0.25">
      <c r="A40" s="29"/>
      <c r="B40" s="11" t="str">
        <f>CONCATENATE("          ", "6005", " - ", "TEMPORARY WAGES-HOURLY")</f>
        <v xml:space="preserve">          6005 - TEMPORARY WAGES-HOURLY</v>
      </c>
      <c r="C40" s="11"/>
      <c r="D40" s="7">
        <v>953.1</v>
      </c>
      <c r="E40" s="2"/>
      <c r="F40" s="6">
        <f t="shared" si="20"/>
        <v>1.9127768920656787E-2</v>
      </c>
      <c r="G40" s="2"/>
      <c r="H40" s="7">
        <v>30349.040000000001</v>
      </c>
      <c r="I40" s="2"/>
      <c r="J40" s="6">
        <f t="shared" si="21"/>
        <v>5.9907149863215908E-2</v>
      </c>
      <c r="K40" s="2"/>
      <c r="L40" s="7">
        <f t="shared" si="22"/>
        <v>-29395.940000000002</v>
      </c>
      <c r="M40" s="2"/>
      <c r="N40" s="6">
        <f t="shared" si="23"/>
        <v>-0.96859538225920827</v>
      </c>
      <c r="O40" s="11"/>
      <c r="P40" s="7">
        <v>953.1</v>
      </c>
      <c r="Q40" s="2"/>
      <c r="R40" s="6">
        <f t="shared" si="24"/>
        <v>1.3781884435190005E-2</v>
      </c>
      <c r="S40" s="2"/>
      <c r="T40" s="7">
        <v>64524.450000000004</v>
      </c>
      <c r="U40" s="2"/>
      <c r="V40" s="6">
        <f t="shared" si="25"/>
        <v>6.3506119217370399E-2</v>
      </c>
      <c r="W40" s="2"/>
      <c r="X40" s="7">
        <f t="shared" si="26"/>
        <v>-63571.350000000006</v>
      </c>
      <c r="Y40" s="2"/>
      <c r="Z40" s="6">
        <f t="shared" si="27"/>
        <v>-0.9852288551084124</v>
      </c>
    </row>
    <row r="41" spans="1:26" s="24" customFormat="1" hidden="1" outlineLevel="2" x14ac:dyDescent="0.25">
      <c r="A41" s="29"/>
      <c r="B41" s="11" t="str">
        <f>CONCATENATE("          ", "6006", " - ", "TEMPORARY PART TIME")</f>
        <v xml:space="preserve">          6006 - TEMPORARY PART TIME</v>
      </c>
      <c r="C41" s="11"/>
      <c r="D41" s="7"/>
      <c r="E41" s="2"/>
      <c r="F41" s="6">
        <f t="shared" si="20"/>
        <v>0</v>
      </c>
      <c r="G41" s="2"/>
      <c r="H41" s="7">
        <v>4951.3100000000004</v>
      </c>
      <c r="I41" s="2"/>
      <c r="J41" s="6">
        <f t="shared" si="21"/>
        <v>9.7735832892651489E-3</v>
      </c>
      <c r="K41" s="2"/>
      <c r="L41" s="7">
        <f t="shared" si="22"/>
        <v>-4951.3100000000004</v>
      </c>
      <c r="M41" s="2"/>
      <c r="N41" s="6">
        <f t="shared" si="23"/>
        <v>-1</v>
      </c>
      <c r="O41" s="11"/>
      <c r="P41" s="7"/>
      <c r="Q41" s="2"/>
      <c r="R41" s="6">
        <f t="shared" si="24"/>
        <v>0</v>
      </c>
      <c r="S41" s="2"/>
      <c r="T41" s="7">
        <v>11275.88</v>
      </c>
      <c r="U41" s="2"/>
      <c r="V41" s="6">
        <f t="shared" si="25"/>
        <v>1.1097923028569207E-2</v>
      </c>
      <c r="W41" s="2"/>
      <c r="X41" s="7">
        <f t="shared" si="26"/>
        <v>-11275.88</v>
      </c>
      <c r="Y41" s="2"/>
      <c r="Z41" s="6">
        <f t="shared" si="27"/>
        <v>-1</v>
      </c>
    </row>
    <row r="42" spans="1:26" s="24" customFormat="1" hidden="1" outlineLevel="2" x14ac:dyDescent="0.25">
      <c r="A42" s="29"/>
      <c r="B42" s="11" t="str">
        <f>CONCATENATE("          ", "6007", " - ", "STUDENT HOURLY")</f>
        <v xml:space="preserve">          6007 - STUDENT HOURLY</v>
      </c>
      <c r="C42" s="11"/>
      <c r="D42" s="7">
        <v>11402.67</v>
      </c>
      <c r="E42" s="2"/>
      <c r="F42" s="6">
        <f t="shared" si="20"/>
        <v>0.22884024429598732</v>
      </c>
      <c r="G42" s="2"/>
      <c r="H42" s="7">
        <v>67318.759999999995</v>
      </c>
      <c r="I42" s="2"/>
      <c r="J42" s="6">
        <f t="shared" si="21"/>
        <v>0.13288311735481137</v>
      </c>
      <c r="K42" s="2"/>
      <c r="L42" s="7">
        <f t="shared" si="22"/>
        <v>-55916.09</v>
      </c>
      <c r="M42" s="2"/>
      <c r="N42" s="6">
        <f t="shared" si="23"/>
        <v>-0.83061675527000201</v>
      </c>
      <c r="O42" s="11"/>
      <c r="P42" s="7">
        <v>19803.670000000002</v>
      </c>
      <c r="Q42" s="2"/>
      <c r="R42" s="6">
        <f t="shared" si="24"/>
        <v>0.2863622823760773</v>
      </c>
      <c r="S42" s="2"/>
      <c r="T42" s="7">
        <v>124075.41</v>
      </c>
      <c r="U42" s="2"/>
      <c r="V42" s="6">
        <f t="shared" si="25"/>
        <v>0.12211724050966898</v>
      </c>
      <c r="W42" s="2"/>
      <c r="X42" s="7">
        <f t="shared" si="26"/>
        <v>-104271.74</v>
      </c>
      <c r="Y42" s="2"/>
      <c r="Z42" s="6">
        <f t="shared" si="27"/>
        <v>-0.84039004988982102</v>
      </c>
    </row>
    <row r="43" spans="1:26" s="24" customFormat="1" hidden="1" outlineLevel="2" x14ac:dyDescent="0.25">
      <c r="A43" s="29"/>
      <c r="B43" s="11" t="str">
        <f>CONCATENATE("          ", "6008", " - ", "STUDENT HOURLY-FICA EXEMPT")</f>
        <v xml:space="preserve">          6008 - STUDENT HOURLY-FICA EXEMPT</v>
      </c>
      <c r="C43" s="11"/>
      <c r="D43" s="7">
        <v>616.33000000000004</v>
      </c>
      <c r="E43" s="2"/>
      <c r="F43" s="6">
        <f t="shared" si="20"/>
        <v>1.2369130016649247E-2</v>
      </c>
      <c r="G43" s="2"/>
      <c r="H43" s="7">
        <v>9766.5</v>
      </c>
      <c r="I43" s="2"/>
      <c r="J43" s="6">
        <f t="shared" si="21"/>
        <v>1.9278474018917836E-2</v>
      </c>
      <c r="K43" s="2"/>
      <c r="L43" s="7">
        <f t="shared" si="22"/>
        <v>-9150.17</v>
      </c>
      <c r="M43" s="2"/>
      <c r="N43" s="6">
        <f t="shared" si="23"/>
        <v>-0.93689346234577386</v>
      </c>
      <c r="O43" s="11"/>
      <c r="P43" s="7">
        <v>616.33000000000004</v>
      </c>
      <c r="Q43" s="2"/>
      <c r="R43" s="6">
        <f t="shared" si="24"/>
        <v>8.912169587599052E-3</v>
      </c>
      <c r="S43" s="2"/>
      <c r="T43" s="7">
        <v>19036.5</v>
      </c>
      <c r="U43" s="2"/>
      <c r="V43" s="6">
        <f t="shared" si="25"/>
        <v>1.8736064212580988E-2</v>
      </c>
      <c r="W43" s="2"/>
      <c r="X43" s="7">
        <f t="shared" si="26"/>
        <v>-18420.169999999998</v>
      </c>
      <c r="Y43" s="2"/>
      <c r="Z43" s="6">
        <f t="shared" si="27"/>
        <v>-0.96762377537887734</v>
      </c>
    </row>
    <row r="44" spans="1:26" s="28" customFormat="1" outlineLevel="1" collapsed="1" x14ac:dyDescent="0.25">
      <c r="A44" s="27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704.51</v>
      </c>
      <c r="E44" s="1"/>
      <c r="F44" s="5">
        <f t="shared" ref="F44:F69" si="28">IF(D$12=0,0,D44/D$12)</f>
        <v>1.4138814901156135E-2</v>
      </c>
      <c r="G44" s="1"/>
      <c r="H44" s="1">
        <f>SUM(OSRRefH22_2x_0)</f>
        <v>5519.13</v>
      </c>
      <c r="I44" s="1"/>
      <c r="J44" s="5">
        <f t="shared" ref="J44:J69" si="29">IF(H$12=0,0,H44/H$12)</f>
        <v>1.0894425261048482E-2</v>
      </c>
      <c r="K44" s="1"/>
      <c r="L44" s="1">
        <f t="shared" ref="L44:L69" si="30">+D44-H44</f>
        <v>-4814.62</v>
      </c>
      <c r="M44" s="1"/>
      <c r="N44" s="5">
        <f t="shared" ref="N44:N69" si="31">IF(H44=0,0,L44/H44)</f>
        <v>-0.87235125825990689</v>
      </c>
      <c r="O44" s="14"/>
      <c r="P44" s="1">
        <f>SUM(OSRRefP22_2x_0)</f>
        <v>1429</v>
      </c>
      <c r="Q44" s="1"/>
      <c r="R44" s="5">
        <f t="shared" ref="R44:R69" si="32">IF(P$12=0,0,P44/P$12)</f>
        <v>2.0663427612933077E-2</v>
      </c>
      <c r="S44" s="1"/>
      <c r="T44" s="1">
        <f>SUM(OSRRefT22_2x_0)</f>
        <v>6787.2</v>
      </c>
      <c r="U44" s="1"/>
      <c r="V44" s="5">
        <f t="shared" ref="V44:V69" si="33">IF(T$12=0,0,T44/T$12)</f>
        <v>6.6800837876516E-3</v>
      </c>
      <c r="W44" s="1"/>
      <c r="X44" s="1">
        <f t="shared" ref="X44:X69" si="34">+P44-T44</f>
        <v>-5358.2</v>
      </c>
      <c r="Y44" s="1"/>
      <c r="Z44" s="5">
        <f t="shared" ref="Z44:Z69" si="35">IF(T44=0,0,X44/T44)</f>
        <v>-0.78945662423385199</v>
      </c>
    </row>
    <row r="45" spans="1:26" s="24" customFormat="1" hidden="1" outlineLevel="2" x14ac:dyDescent="0.25">
      <c r="A45" s="29"/>
      <c r="B45" s="11" t="str">
        <f>CONCATENATE("          ", "6362", " - ", "ADVERTISING EXPENSE")</f>
        <v xml:space="preserve">          6362 - ADVERTISING EXPENSE</v>
      </c>
      <c r="C45" s="11"/>
      <c r="D45" s="7">
        <v>704.51</v>
      </c>
      <c r="E45" s="2"/>
      <c r="F45" s="6">
        <f t="shared" si="28"/>
        <v>1.4138814901156135E-2</v>
      </c>
      <c r="G45" s="2"/>
      <c r="H45" s="7">
        <v>5519.13</v>
      </c>
      <c r="I45" s="2"/>
      <c r="J45" s="6">
        <f t="shared" si="29"/>
        <v>1.0894425261048482E-2</v>
      </c>
      <c r="K45" s="2"/>
      <c r="L45" s="7">
        <f t="shared" si="30"/>
        <v>-4814.62</v>
      </c>
      <c r="M45" s="2"/>
      <c r="N45" s="6">
        <f t="shared" si="31"/>
        <v>-0.87235125825990689</v>
      </c>
      <c r="O45" s="11"/>
      <c r="P45" s="7">
        <v>1429</v>
      </c>
      <c r="Q45" s="2"/>
      <c r="R45" s="6">
        <f t="shared" si="32"/>
        <v>2.0663427612933077E-2</v>
      </c>
      <c r="S45" s="2"/>
      <c r="T45" s="7">
        <v>6787.2</v>
      </c>
      <c r="U45" s="2"/>
      <c r="V45" s="6">
        <f t="shared" si="33"/>
        <v>6.6800837876516E-3</v>
      </c>
      <c r="W45" s="2"/>
      <c r="X45" s="7">
        <f t="shared" si="34"/>
        <v>-5358.2</v>
      </c>
      <c r="Y45" s="2"/>
      <c r="Z45" s="6">
        <f t="shared" si="35"/>
        <v>-0.78945662423385199</v>
      </c>
    </row>
    <row r="46" spans="1:26" s="28" customFormat="1" outlineLevel="1" collapsed="1" x14ac:dyDescent="0.25">
      <c r="A46" s="27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32</v>
      </c>
      <c r="E46" s="1"/>
      <c r="F46" s="5">
        <f t="shared" si="28"/>
        <v>6.4220816856680007E-4</v>
      </c>
      <c r="G46" s="1"/>
      <c r="H46" s="1">
        <f>SUM(OSRRefH22_3x_0)</f>
        <v>-0.28999999999999998</v>
      </c>
      <c r="I46" s="1"/>
      <c r="J46" s="5">
        <f t="shared" si="29"/>
        <v>-5.7244227363806605E-7</v>
      </c>
      <c r="K46" s="1"/>
      <c r="L46" s="1">
        <f t="shared" si="30"/>
        <v>32.29</v>
      </c>
      <c r="M46" s="1"/>
      <c r="N46" s="5">
        <f t="shared" si="31"/>
        <v>-111.3448275862069</v>
      </c>
      <c r="O46" s="14"/>
      <c r="P46" s="1">
        <f>SUM(OSRRefP22_3x_0)</f>
        <v>32</v>
      </c>
      <c r="Q46" s="1"/>
      <c r="R46" s="5">
        <f t="shared" si="32"/>
        <v>4.6272196194111864E-4</v>
      </c>
      <c r="S46" s="1"/>
      <c r="T46" s="1">
        <f>SUM(OSRRefT22_3x_0)</f>
        <v>-2.39</v>
      </c>
      <c r="U46" s="1"/>
      <c r="V46" s="5">
        <f t="shared" si="33"/>
        <v>-2.3522808009911782E-6</v>
      </c>
      <c r="W46" s="1"/>
      <c r="X46" s="1">
        <f t="shared" si="34"/>
        <v>34.39</v>
      </c>
      <c r="Y46" s="1"/>
      <c r="Z46" s="5">
        <f t="shared" si="35"/>
        <v>-14.389121338912133</v>
      </c>
    </row>
    <row r="47" spans="1:26" s="24" customFormat="1" hidden="1" outlineLevel="2" x14ac:dyDescent="0.25">
      <c r="A47" s="29"/>
      <c r="B47" s="11" t="str">
        <f>CONCATENATE("          ", "6272", " - ", "CASH (OVER/SHORT)")</f>
        <v xml:space="preserve">          6272 - CASH (OVER/SHORT)</v>
      </c>
      <c r="C47" s="11"/>
      <c r="D47" s="7">
        <v>32</v>
      </c>
      <c r="E47" s="2"/>
      <c r="F47" s="6">
        <f t="shared" si="28"/>
        <v>6.4220816856680007E-4</v>
      </c>
      <c r="G47" s="2"/>
      <c r="H47" s="7">
        <v>-0.28999999999999998</v>
      </c>
      <c r="I47" s="2"/>
      <c r="J47" s="6">
        <f t="shared" si="29"/>
        <v>-5.7244227363806605E-7</v>
      </c>
      <c r="K47" s="2"/>
      <c r="L47" s="7">
        <f t="shared" si="30"/>
        <v>32.29</v>
      </c>
      <c r="M47" s="2"/>
      <c r="N47" s="6">
        <f t="shared" si="31"/>
        <v>-111.3448275862069</v>
      </c>
      <c r="O47" s="11"/>
      <c r="P47" s="7">
        <v>32</v>
      </c>
      <c r="Q47" s="2"/>
      <c r="R47" s="6">
        <f t="shared" si="32"/>
        <v>4.6272196194111864E-4</v>
      </c>
      <c r="S47" s="2"/>
      <c r="T47" s="7">
        <v>-2.39</v>
      </c>
      <c r="U47" s="2"/>
      <c r="V47" s="6">
        <f t="shared" si="33"/>
        <v>-2.3522808009911782E-6</v>
      </c>
      <c r="W47" s="2"/>
      <c r="X47" s="7">
        <f t="shared" si="34"/>
        <v>34.39</v>
      </c>
      <c r="Y47" s="2"/>
      <c r="Z47" s="6">
        <f t="shared" si="35"/>
        <v>-14.389121338912133</v>
      </c>
    </row>
    <row r="48" spans="1:26" s="28" customFormat="1" outlineLevel="1" collapsed="1" x14ac:dyDescent="0.25">
      <c r="A48" s="27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0</v>
      </c>
      <c r="E48" s="1"/>
      <c r="F48" s="5">
        <f t="shared" si="28"/>
        <v>0</v>
      </c>
      <c r="G48" s="1"/>
      <c r="H48" s="1">
        <f>SUM(OSRRefH22_4x_0)</f>
        <v>187.39</v>
      </c>
      <c r="I48" s="1"/>
      <c r="J48" s="5">
        <f t="shared" si="29"/>
        <v>3.6989640571392137E-4</v>
      </c>
      <c r="K48" s="1"/>
      <c r="L48" s="1">
        <f t="shared" si="30"/>
        <v>-187.39</v>
      </c>
      <c r="M48" s="1"/>
      <c r="N48" s="5">
        <f t="shared" si="31"/>
        <v>-1</v>
      </c>
      <c r="O48" s="14"/>
      <c r="P48" s="1">
        <f>SUM(OSRRefP22_4x_0)</f>
        <v>0</v>
      </c>
      <c r="Q48" s="1"/>
      <c r="R48" s="5">
        <f t="shared" si="32"/>
        <v>0</v>
      </c>
      <c r="S48" s="1"/>
      <c r="T48" s="1">
        <f>SUM(OSRRefT22_4x_0)</f>
        <v>560.77</v>
      </c>
      <c r="U48" s="1"/>
      <c r="V48" s="5">
        <f t="shared" si="33"/>
        <v>5.5191987647356614E-4</v>
      </c>
      <c r="W48" s="1"/>
      <c r="X48" s="1">
        <f t="shared" si="34"/>
        <v>-560.77</v>
      </c>
      <c r="Y48" s="1"/>
      <c r="Z48" s="5">
        <f t="shared" si="35"/>
        <v>-1</v>
      </c>
    </row>
    <row r="49" spans="1:26" s="24" customFormat="1" hidden="1" outlineLevel="2" x14ac:dyDescent="0.25">
      <c r="A49" s="29"/>
      <c r="B49" s="11" t="str">
        <f>CONCATENATE("          ", "6381", " - ", "BANK/CREDIT CARD FEES")</f>
        <v xml:space="preserve">          6381 - BANK/CREDIT CARD FEES</v>
      </c>
      <c r="C49" s="11"/>
      <c r="D49" s="7"/>
      <c r="E49" s="2"/>
      <c r="F49" s="6">
        <f t="shared" si="28"/>
        <v>0</v>
      </c>
      <c r="G49" s="2"/>
      <c r="H49" s="7">
        <v>187.39</v>
      </c>
      <c r="I49" s="2"/>
      <c r="J49" s="6">
        <f t="shared" si="29"/>
        <v>3.6989640571392137E-4</v>
      </c>
      <c r="K49" s="2"/>
      <c r="L49" s="7">
        <f t="shared" si="30"/>
        <v>-187.39</v>
      </c>
      <c r="M49" s="2"/>
      <c r="N49" s="6">
        <f t="shared" si="31"/>
        <v>-1</v>
      </c>
      <c r="O49" s="11"/>
      <c r="P49" s="7"/>
      <c r="Q49" s="2"/>
      <c r="R49" s="6">
        <f t="shared" si="32"/>
        <v>0</v>
      </c>
      <c r="S49" s="2"/>
      <c r="T49" s="7">
        <v>560.77</v>
      </c>
      <c r="U49" s="2"/>
      <c r="V49" s="6">
        <f t="shared" si="33"/>
        <v>5.5191987647356614E-4</v>
      </c>
      <c r="W49" s="2"/>
      <c r="X49" s="7">
        <f t="shared" si="34"/>
        <v>-560.77</v>
      </c>
      <c r="Y49" s="2"/>
      <c r="Z49" s="6">
        <f t="shared" si="35"/>
        <v>-1</v>
      </c>
    </row>
    <row r="50" spans="1:26" s="28" customFormat="1" outlineLevel="1" collapsed="1" x14ac:dyDescent="0.25">
      <c r="A50" s="27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775.54</v>
      </c>
      <c r="E50" s="1"/>
      <c r="F50" s="5">
        <f t="shared" si="28"/>
        <v>1.5564316345321754E-2</v>
      </c>
      <c r="G50" s="1"/>
      <c r="H50" s="1">
        <f>SUM(OSRRefH22_5x_0)</f>
        <v>0</v>
      </c>
      <c r="I50" s="1"/>
      <c r="J50" s="5">
        <f t="shared" si="29"/>
        <v>0</v>
      </c>
      <c r="K50" s="1"/>
      <c r="L50" s="1">
        <f t="shared" si="30"/>
        <v>775.54</v>
      </c>
      <c r="M50" s="1"/>
      <c r="N50" s="5">
        <f t="shared" si="31"/>
        <v>0</v>
      </c>
      <c r="O50" s="14"/>
      <c r="P50" s="1">
        <f>SUM(OSRRefP22_5x_0)</f>
        <v>988.56</v>
      </c>
      <c r="Q50" s="1"/>
      <c r="R50" s="5">
        <f t="shared" si="32"/>
        <v>1.4294638209266006E-2</v>
      </c>
      <c r="S50" s="1"/>
      <c r="T50" s="1">
        <f>SUM(OSRRefT22_5x_0)</f>
        <v>0</v>
      </c>
      <c r="U50" s="1"/>
      <c r="V50" s="5">
        <f t="shared" si="33"/>
        <v>0</v>
      </c>
      <c r="W50" s="1"/>
      <c r="X50" s="1">
        <f t="shared" si="34"/>
        <v>988.56</v>
      </c>
      <c r="Y50" s="1"/>
      <c r="Z50" s="5">
        <f t="shared" si="35"/>
        <v>0</v>
      </c>
    </row>
    <row r="51" spans="1:26" s="24" customFormat="1" hidden="1" outlineLevel="2" x14ac:dyDescent="0.25">
      <c r="A51" s="29"/>
      <c r="B51" s="11" t="str">
        <f>CONCATENATE("          ", "6322", " - ", "EQUIPMENT DEPRECIATION EXPENSE")</f>
        <v xml:space="preserve">          6322 - EQUIPMENT DEPRECIATION EXPENSE</v>
      </c>
      <c r="C51" s="11"/>
      <c r="D51" s="7">
        <v>775.54</v>
      </c>
      <c r="E51" s="2"/>
      <c r="F51" s="6">
        <f t="shared" si="28"/>
        <v>1.5564316345321754E-2</v>
      </c>
      <c r="G51" s="2"/>
      <c r="H51" s="7"/>
      <c r="I51" s="2"/>
      <c r="J51" s="6">
        <f t="shared" si="29"/>
        <v>0</v>
      </c>
      <c r="K51" s="2"/>
      <c r="L51" s="7">
        <f t="shared" si="30"/>
        <v>775.54</v>
      </c>
      <c r="M51" s="2"/>
      <c r="N51" s="6">
        <f t="shared" si="31"/>
        <v>0</v>
      </c>
      <c r="O51" s="11"/>
      <c r="P51" s="7">
        <v>988.56</v>
      </c>
      <c r="Q51" s="2"/>
      <c r="R51" s="6">
        <f t="shared" si="32"/>
        <v>1.4294638209266006E-2</v>
      </c>
      <c r="S51" s="2"/>
      <c r="T51" s="7"/>
      <c r="U51" s="2"/>
      <c r="V51" s="6">
        <f t="shared" si="33"/>
        <v>0</v>
      </c>
      <c r="W51" s="2"/>
      <c r="X51" s="7">
        <f t="shared" si="34"/>
        <v>988.56</v>
      </c>
      <c r="Y51" s="2"/>
      <c r="Z51" s="6">
        <f t="shared" si="35"/>
        <v>0</v>
      </c>
    </row>
    <row r="52" spans="1:26" s="28" customFormat="1" outlineLevel="1" collapsed="1" x14ac:dyDescent="0.25">
      <c r="A52" s="27"/>
      <c r="B52" s="14" t="str">
        <f>CONCATENATE("     ","Donations                                         ")</f>
        <v xml:space="preserve">     Donations                                         </v>
      </c>
      <c r="C52" s="14"/>
      <c r="D52" s="1">
        <f>SUM(OSRRefD22_6x_0)</f>
        <v>2222.02</v>
      </c>
      <c r="E52" s="1"/>
      <c r="F52" s="5">
        <f t="shared" si="28"/>
        <v>4.4593731084962535E-2</v>
      </c>
      <c r="G52" s="1"/>
      <c r="H52" s="1">
        <f>SUM(OSRRefH22_6x_0)</f>
        <v>7780.75</v>
      </c>
      <c r="I52" s="1"/>
      <c r="J52" s="5">
        <f t="shared" si="29"/>
        <v>1.5358724898653043E-2</v>
      </c>
      <c r="K52" s="1"/>
      <c r="L52" s="1">
        <f t="shared" si="30"/>
        <v>-5558.73</v>
      </c>
      <c r="M52" s="1"/>
      <c r="N52" s="5">
        <f t="shared" si="31"/>
        <v>-0.71442084631944214</v>
      </c>
      <c r="O52" s="14"/>
      <c r="P52" s="1">
        <f>SUM(OSRRefP22_6x_0)</f>
        <v>2222.02</v>
      </c>
      <c r="Q52" s="1"/>
      <c r="R52" s="5">
        <f t="shared" si="32"/>
        <v>3.2130545433512639E-2</v>
      </c>
      <c r="S52" s="1"/>
      <c r="T52" s="1">
        <f>SUM(OSRRefT22_6x_0)</f>
        <v>7780.75</v>
      </c>
      <c r="U52" s="1"/>
      <c r="V52" s="5">
        <f t="shared" si="33"/>
        <v>7.6579534905071587E-3</v>
      </c>
      <c r="W52" s="1"/>
      <c r="X52" s="1">
        <f t="shared" si="34"/>
        <v>-5558.73</v>
      </c>
      <c r="Y52" s="1"/>
      <c r="Z52" s="5">
        <f t="shared" si="35"/>
        <v>-0.71442084631944214</v>
      </c>
    </row>
    <row r="53" spans="1:26" s="24" customFormat="1" hidden="1" outlineLevel="2" x14ac:dyDescent="0.25">
      <c r="A53" s="29"/>
      <c r="B53" s="11" t="str">
        <f>CONCATENATE("          ", "6399", " - ", "DONATION-ON CAMPUS")</f>
        <v xml:space="preserve">          6399 - DONATION-ON CAMPUS</v>
      </c>
      <c r="C53" s="11"/>
      <c r="D53" s="7">
        <v>2222.02</v>
      </c>
      <c r="E53" s="2"/>
      <c r="F53" s="6">
        <f t="shared" si="28"/>
        <v>4.4593731084962535E-2</v>
      </c>
      <c r="G53" s="2"/>
      <c r="H53" s="7">
        <v>7780.75</v>
      </c>
      <c r="I53" s="2"/>
      <c r="J53" s="6">
        <f t="shared" si="29"/>
        <v>1.5358724898653043E-2</v>
      </c>
      <c r="K53" s="2"/>
      <c r="L53" s="7">
        <f t="shared" si="30"/>
        <v>-5558.73</v>
      </c>
      <c r="M53" s="2"/>
      <c r="N53" s="6">
        <f t="shared" si="31"/>
        <v>-0.71442084631944214</v>
      </c>
      <c r="O53" s="11"/>
      <c r="P53" s="7">
        <v>2222.02</v>
      </c>
      <c r="Q53" s="2"/>
      <c r="R53" s="6">
        <f t="shared" si="32"/>
        <v>3.2130545433512639E-2</v>
      </c>
      <c r="S53" s="2"/>
      <c r="T53" s="7">
        <v>7780.75</v>
      </c>
      <c r="U53" s="2"/>
      <c r="V53" s="6">
        <f t="shared" si="33"/>
        <v>7.6579534905071587E-3</v>
      </c>
      <c r="W53" s="2"/>
      <c r="X53" s="7">
        <f t="shared" si="34"/>
        <v>-5558.73</v>
      </c>
      <c r="Y53" s="2"/>
      <c r="Z53" s="6">
        <f t="shared" si="35"/>
        <v>-0.71442084631944214</v>
      </c>
    </row>
    <row r="54" spans="1:26" s="28" customFormat="1" outlineLevel="1" collapsed="1" x14ac:dyDescent="0.25">
      <c r="A54" s="27"/>
      <c r="B54" s="14" t="str">
        <f>CONCATENATE("     ","Employees' Appreciation                           ")</f>
        <v xml:space="preserve">     Employees' Appreciation                           </v>
      </c>
      <c r="C54" s="14"/>
      <c r="D54" s="1">
        <f>SUM(OSRRefD22_7x_0)</f>
        <v>0</v>
      </c>
      <c r="E54" s="1"/>
      <c r="F54" s="5">
        <f t="shared" si="28"/>
        <v>0</v>
      </c>
      <c r="G54" s="1"/>
      <c r="H54" s="1">
        <f>SUM(OSRRefH22_7x_0)</f>
        <v>113.06</v>
      </c>
      <c r="I54" s="1"/>
      <c r="J54" s="5">
        <f t="shared" si="29"/>
        <v>2.2317352916386121E-4</v>
      </c>
      <c r="K54" s="1"/>
      <c r="L54" s="1">
        <f t="shared" si="30"/>
        <v>-113.06</v>
      </c>
      <c r="M54" s="1"/>
      <c r="N54" s="5">
        <f t="shared" si="31"/>
        <v>-1</v>
      </c>
      <c r="O54" s="14"/>
      <c r="P54" s="1">
        <f>SUM(OSRRefP22_7x_0)</f>
        <v>0</v>
      </c>
      <c r="Q54" s="1"/>
      <c r="R54" s="5">
        <f t="shared" si="32"/>
        <v>0</v>
      </c>
      <c r="S54" s="1"/>
      <c r="T54" s="1">
        <f>SUM(OSRRefT22_7x_0)</f>
        <v>113.06</v>
      </c>
      <c r="U54" s="1"/>
      <c r="V54" s="5">
        <f t="shared" si="33"/>
        <v>1.1127567671969147E-4</v>
      </c>
      <c r="W54" s="1"/>
      <c r="X54" s="1">
        <f t="shared" si="34"/>
        <v>-113.06</v>
      </c>
      <c r="Y54" s="1"/>
      <c r="Z54" s="5">
        <f t="shared" si="35"/>
        <v>-1</v>
      </c>
    </row>
    <row r="55" spans="1:26" s="24" customFormat="1" hidden="1" outlineLevel="2" x14ac:dyDescent="0.25">
      <c r="A55" s="29"/>
      <c r="B55" s="11" t="str">
        <f>CONCATENATE("          ", "6277", " - ", "EMPLOYEE APPRECIATION")</f>
        <v xml:space="preserve">          6277 - EMPLOYEE APPRECIATION</v>
      </c>
      <c r="C55" s="11"/>
      <c r="D55" s="7"/>
      <c r="E55" s="2"/>
      <c r="F55" s="6">
        <f t="shared" si="28"/>
        <v>0</v>
      </c>
      <c r="G55" s="2"/>
      <c r="H55" s="7">
        <v>113.06</v>
      </c>
      <c r="I55" s="2"/>
      <c r="J55" s="6">
        <f t="shared" si="29"/>
        <v>2.2317352916386121E-4</v>
      </c>
      <c r="K55" s="2"/>
      <c r="L55" s="7">
        <f t="shared" si="30"/>
        <v>-113.06</v>
      </c>
      <c r="M55" s="2"/>
      <c r="N55" s="6">
        <f t="shared" si="31"/>
        <v>-1</v>
      </c>
      <c r="O55" s="11"/>
      <c r="P55" s="7"/>
      <c r="Q55" s="2"/>
      <c r="R55" s="6">
        <f t="shared" si="32"/>
        <v>0</v>
      </c>
      <c r="S55" s="2"/>
      <c r="T55" s="7">
        <v>113.06</v>
      </c>
      <c r="U55" s="2"/>
      <c r="V55" s="6">
        <f t="shared" si="33"/>
        <v>1.1127567671969147E-4</v>
      </c>
      <c r="W55" s="2"/>
      <c r="X55" s="7">
        <f t="shared" si="34"/>
        <v>-113.06</v>
      </c>
      <c r="Y55" s="2"/>
      <c r="Z55" s="6">
        <f t="shared" si="35"/>
        <v>-1</v>
      </c>
    </row>
    <row r="56" spans="1:26" s="28" customFormat="1" outlineLevel="1" collapsed="1" x14ac:dyDescent="0.25">
      <c r="A56" s="27"/>
      <c r="B56" s="14" t="str">
        <f>CONCATENATE("     ","Equipment Rental                                  ")</f>
        <v xml:space="preserve">     Equipment Rental                                  </v>
      </c>
      <c r="C56" s="14"/>
      <c r="D56" s="1">
        <f>SUM(OSRRefD22_8x_0)</f>
        <v>675.21</v>
      </c>
      <c r="E56" s="1"/>
      <c r="F56" s="5">
        <f t="shared" si="28"/>
        <v>1.3550793046812159E-2</v>
      </c>
      <c r="G56" s="1"/>
      <c r="H56" s="1">
        <f>SUM(OSRRefH22_8x_0)</f>
        <v>2449.44</v>
      </c>
      <c r="I56" s="1"/>
      <c r="J56" s="5">
        <f t="shared" si="29"/>
        <v>4.8350448370345677E-3</v>
      </c>
      <c r="K56" s="1"/>
      <c r="L56" s="1">
        <f t="shared" si="30"/>
        <v>-1774.23</v>
      </c>
      <c r="M56" s="1"/>
      <c r="N56" s="5">
        <f t="shared" si="31"/>
        <v>-0.72434107387811086</v>
      </c>
      <c r="O56" s="14"/>
      <c r="P56" s="1">
        <f>SUM(OSRRefP22_8x_0)</f>
        <v>1056.76</v>
      </c>
      <c r="Q56" s="1"/>
      <c r="R56" s="5">
        <f t="shared" si="32"/>
        <v>1.5280814390653017E-2</v>
      </c>
      <c r="S56" s="1"/>
      <c r="T56" s="1">
        <f>SUM(OSRRefT22_8x_0)</f>
        <v>2701.07</v>
      </c>
      <c r="U56" s="1"/>
      <c r="V56" s="5">
        <f t="shared" si="33"/>
        <v>2.6584414657461262E-3</v>
      </c>
      <c r="W56" s="1"/>
      <c r="X56" s="1">
        <f t="shared" si="34"/>
        <v>-1644.3100000000002</v>
      </c>
      <c r="Y56" s="1"/>
      <c r="Z56" s="5">
        <f t="shared" si="35"/>
        <v>-0.60876245339809787</v>
      </c>
    </row>
    <row r="57" spans="1:26" s="24" customFormat="1" hidden="1" outlineLevel="2" x14ac:dyDescent="0.25">
      <c r="A57" s="29"/>
      <c r="B57" s="11" t="str">
        <f>CONCATENATE("          ", "6351", " - ", "EQUIPMENT RENTAL")</f>
        <v xml:space="preserve">          6351 - EQUIPMENT RENTAL</v>
      </c>
      <c r="C57" s="11"/>
      <c r="D57" s="7">
        <v>675.21</v>
      </c>
      <c r="E57" s="2"/>
      <c r="F57" s="6">
        <f t="shared" si="28"/>
        <v>1.3550793046812159E-2</v>
      </c>
      <c r="G57" s="2"/>
      <c r="H57" s="7">
        <v>2449.44</v>
      </c>
      <c r="I57" s="2"/>
      <c r="J57" s="6">
        <f t="shared" si="29"/>
        <v>4.8350448370345677E-3</v>
      </c>
      <c r="K57" s="2"/>
      <c r="L57" s="7">
        <f t="shared" si="30"/>
        <v>-1774.23</v>
      </c>
      <c r="M57" s="2"/>
      <c r="N57" s="6">
        <f t="shared" si="31"/>
        <v>-0.72434107387811086</v>
      </c>
      <c r="O57" s="11"/>
      <c r="P57" s="7">
        <v>1056.76</v>
      </c>
      <c r="Q57" s="2"/>
      <c r="R57" s="6">
        <f t="shared" si="32"/>
        <v>1.5280814390653017E-2</v>
      </c>
      <c r="S57" s="2"/>
      <c r="T57" s="7">
        <v>2701.07</v>
      </c>
      <c r="U57" s="2"/>
      <c r="V57" s="6">
        <f t="shared" si="33"/>
        <v>2.6584414657461262E-3</v>
      </c>
      <c r="W57" s="2"/>
      <c r="X57" s="7">
        <f t="shared" si="34"/>
        <v>-1644.3100000000002</v>
      </c>
      <c r="Y57" s="2"/>
      <c r="Z57" s="6">
        <f t="shared" si="35"/>
        <v>-0.60876245339809787</v>
      </c>
    </row>
    <row r="58" spans="1:26" s="28" customFormat="1" outlineLevel="1" collapsed="1" x14ac:dyDescent="0.25">
      <c r="A58" s="27"/>
      <c r="B58" s="14" t="str">
        <f>CONCATENATE("     ","General                                           ")</f>
        <v xml:space="preserve">     General                                           </v>
      </c>
      <c r="C58" s="14"/>
      <c r="D58" s="1">
        <f>SUM(OSRRefD22_9x_0)</f>
        <v>80.650000000000006</v>
      </c>
      <c r="E58" s="1"/>
      <c r="F58" s="5">
        <f t="shared" si="28"/>
        <v>1.6185652748410134E-3</v>
      </c>
      <c r="G58" s="1"/>
      <c r="H58" s="1">
        <f>SUM(OSRRefH22_9x_0)</f>
        <v>485</v>
      </c>
      <c r="I58" s="1"/>
      <c r="J58" s="5">
        <f t="shared" si="29"/>
        <v>9.5736035418780016E-4</v>
      </c>
      <c r="K58" s="1"/>
      <c r="L58" s="1">
        <f t="shared" si="30"/>
        <v>-404.35</v>
      </c>
      <c r="M58" s="1"/>
      <c r="N58" s="5">
        <f t="shared" si="31"/>
        <v>-0.83371134020618565</v>
      </c>
      <c r="O58" s="14"/>
      <c r="P58" s="1">
        <f>SUM(OSRRefP22_9x_0)</f>
        <v>6379.3</v>
      </c>
      <c r="Q58" s="1"/>
      <c r="R58" s="5">
        <f t="shared" si="32"/>
        <v>9.2245069119093068E-2</v>
      </c>
      <c r="S58" s="1"/>
      <c r="T58" s="1">
        <f>SUM(OSRRefT22_9x_0)</f>
        <v>6110.86</v>
      </c>
      <c r="U58" s="1"/>
      <c r="V58" s="5">
        <f t="shared" si="33"/>
        <v>6.0144178475083476E-3</v>
      </c>
      <c r="W58" s="1"/>
      <c r="X58" s="1">
        <f t="shared" si="34"/>
        <v>268.44000000000051</v>
      </c>
      <c r="Y58" s="1"/>
      <c r="Z58" s="5">
        <f t="shared" si="35"/>
        <v>4.3928350510402878E-2</v>
      </c>
    </row>
    <row r="59" spans="1:26" s="24" customFormat="1" hidden="1" outlineLevel="2" x14ac:dyDescent="0.25">
      <c r="A59" s="29"/>
      <c r="B59" s="11" t="str">
        <f>CONCATENATE("          ", "6279", " - ", "GENERAL EXPENSE")</f>
        <v xml:space="preserve">          6279 - GENERAL EXPENSE</v>
      </c>
      <c r="C59" s="11"/>
      <c r="D59" s="7">
        <v>80.650000000000006</v>
      </c>
      <c r="E59" s="2"/>
      <c r="F59" s="6">
        <f t="shared" si="28"/>
        <v>1.6185652748410134E-3</v>
      </c>
      <c r="G59" s="2"/>
      <c r="H59" s="7">
        <v>485</v>
      </c>
      <c r="I59" s="2"/>
      <c r="J59" s="6">
        <f t="shared" si="29"/>
        <v>9.5736035418780016E-4</v>
      </c>
      <c r="K59" s="2"/>
      <c r="L59" s="7">
        <f t="shared" si="30"/>
        <v>-404.35</v>
      </c>
      <c r="M59" s="2"/>
      <c r="N59" s="6">
        <f t="shared" si="31"/>
        <v>-0.83371134020618565</v>
      </c>
      <c r="O59" s="11"/>
      <c r="P59" s="7">
        <v>6379.3</v>
      </c>
      <c r="Q59" s="2"/>
      <c r="R59" s="6">
        <f t="shared" si="32"/>
        <v>9.2245069119093068E-2</v>
      </c>
      <c r="S59" s="2"/>
      <c r="T59" s="7">
        <v>6110.86</v>
      </c>
      <c r="U59" s="2"/>
      <c r="V59" s="6">
        <f t="shared" si="33"/>
        <v>6.0144178475083476E-3</v>
      </c>
      <c r="W59" s="2"/>
      <c r="X59" s="7">
        <f t="shared" si="34"/>
        <v>268.44000000000051</v>
      </c>
      <c r="Y59" s="2"/>
      <c r="Z59" s="6">
        <f t="shared" si="35"/>
        <v>4.3928350510402878E-2</v>
      </c>
    </row>
    <row r="60" spans="1:26" s="28" customFormat="1" outlineLevel="1" collapsed="1" x14ac:dyDescent="0.25">
      <c r="A60" s="27"/>
      <c r="B60" s="14" t="str">
        <f>CONCATENATE("     ","Insurance                                         ")</f>
        <v xml:space="preserve">     Insurance                                         </v>
      </c>
      <c r="C60" s="14"/>
      <c r="D60" s="1">
        <f>SUM(OSRRefD22_10x_0)</f>
        <v>5.9</v>
      </c>
      <c r="E60" s="1"/>
      <c r="F60" s="5">
        <f t="shared" si="28"/>
        <v>1.1840713107950377E-4</v>
      </c>
      <c r="G60" s="1"/>
      <c r="H60" s="1">
        <f>SUM(OSRRefH22_10x_0)</f>
        <v>5.9</v>
      </c>
      <c r="I60" s="1"/>
      <c r="J60" s="5">
        <f t="shared" si="29"/>
        <v>1.1646239360222725E-5</v>
      </c>
      <c r="K60" s="1"/>
      <c r="L60" s="1">
        <f t="shared" si="30"/>
        <v>0</v>
      </c>
      <c r="M60" s="1"/>
      <c r="N60" s="5">
        <f t="shared" si="31"/>
        <v>0</v>
      </c>
      <c r="O60" s="14"/>
      <c r="P60" s="1">
        <f>SUM(OSRRefP22_10x_0)</f>
        <v>11.8</v>
      </c>
      <c r="Q60" s="1"/>
      <c r="R60" s="5">
        <f t="shared" si="32"/>
        <v>1.706287234657875E-4</v>
      </c>
      <c r="S60" s="1"/>
      <c r="T60" s="1">
        <f>SUM(OSRRefT22_10x_0)</f>
        <v>11.8</v>
      </c>
      <c r="U60" s="1"/>
      <c r="V60" s="5">
        <f t="shared" si="33"/>
        <v>1.1613771318701215E-5</v>
      </c>
      <c r="W60" s="1"/>
      <c r="X60" s="1">
        <f t="shared" si="34"/>
        <v>0</v>
      </c>
      <c r="Y60" s="1"/>
      <c r="Z60" s="5">
        <f t="shared" si="35"/>
        <v>0</v>
      </c>
    </row>
    <row r="61" spans="1:26" s="24" customFormat="1" hidden="1" outlineLevel="2" x14ac:dyDescent="0.25">
      <c r="A61" s="29"/>
      <c r="B61" s="11" t="str">
        <f>CONCATENATE("          ", "6314", " - ", "LIABILITY INSURANCE")</f>
        <v xml:space="preserve">          6314 - LIABILITY INSURANCE</v>
      </c>
      <c r="C61" s="11"/>
      <c r="D61" s="7">
        <v>5.9</v>
      </c>
      <c r="E61" s="2"/>
      <c r="F61" s="6">
        <f t="shared" si="28"/>
        <v>1.1840713107950377E-4</v>
      </c>
      <c r="G61" s="2"/>
      <c r="H61" s="7">
        <v>5.9</v>
      </c>
      <c r="I61" s="2"/>
      <c r="J61" s="6">
        <f t="shared" si="29"/>
        <v>1.1646239360222725E-5</v>
      </c>
      <c r="K61" s="2"/>
      <c r="L61" s="7">
        <f t="shared" si="30"/>
        <v>0</v>
      </c>
      <c r="M61" s="2"/>
      <c r="N61" s="6">
        <f t="shared" si="31"/>
        <v>0</v>
      </c>
      <c r="O61" s="11"/>
      <c r="P61" s="7">
        <v>11.8</v>
      </c>
      <c r="Q61" s="2"/>
      <c r="R61" s="6">
        <f t="shared" si="32"/>
        <v>1.706287234657875E-4</v>
      </c>
      <c r="S61" s="2"/>
      <c r="T61" s="7">
        <v>11.8</v>
      </c>
      <c r="U61" s="2"/>
      <c r="V61" s="6">
        <f t="shared" si="33"/>
        <v>1.1613771318701215E-5</v>
      </c>
      <c r="W61" s="2"/>
      <c r="X61" s="7">
        <f t="shared" si="34"/>
        <v>0</v>
      </c>
      <c r="Y61" s="2"/>
      <c r="Z61" s="6">
        <f t="shared" si="35"/>
        <v>0</v>
      </c>
    </row>
    <row r="62" spans="1:26" s="28" customFormat="1" outlineLevel="1" collapsed="1" x14ac:dyDescent="0.25">
      <c r="A62" s="27"/>
      <c r="B62" s="14" t="str">
        <f>CONCATENATE("     ","R/H Commissions                                   ")</f>
        <v xml:space="preserve">     R/H Commissions                                   </v>
      </c>
      <c r="C62" s="14"/>
      <c r="D62" s="1">
        <f>SUM(OSRRefD22_11x_0)</f>
        <v>3533.81</v>
      </c>
      <c r="E62" s="1"/>
      <c r="F62" s="5">
        <f t="shared" si="28"/>
        <v>7.0920051505095116E-2</v>
      </c>
      <c r="G62" s="1"/>
      <c r="H62" s="1">
        <f>SUM(OSRRefH22_11x_0)</f>
        <v>32320.179999999997</v>
      </c>
      <c r="I62" s="1"/>
      <c r="J62" s="5">
        <f t="shared" si="29"/>
        <v>6.3798059736522583E-2</v>
      </c>
      <c r="K62" s="1"/>
      <c r="L62" s="1">
        <f t="shared" si="30"/>
        <v>-28786.369999999995</v>
      </c>
      <c r="M62" s="1"/>
      <c r="N62" s="5">
        <f t="shared" si="31"/>
        <v>-0.89066242824142683</v>
      </c>
      <c r="O62" s="14"/>
      <c r="P62" s="1">
        <f>SUM(OSRRefP22_11x_0)</f>
        <v>4685.49</v>
      </c>
      <c r="Q62" s="1"/>
      <c r="R62" s="5">
        <f t="shared" si="32"/>
        <v>6.7752472670484121E-2</v>
      </c>
      <c r="S62" s="1"/>
      <c r="T62" s="1">
        <f>SUM(OSRRefT22_11x_0)</f>
        <v>72032.83</v>
      </c>
      <c r="U62" s="1"/>
      <c r="V62" s="5">
        <f t="shared" si="33"/>
        <v>7.0896001276176304E-2</v>
      </c>
      <c r="W62" s="1"/>
      <c r="X62" s="1">
        <f t="shared" si="34"/>
        <v>-67347.34</v>
      </c>
      <c r="Y62" s="1"/>
      <c r="Z62" s="5">
        <f t="shared" si="35"/>
        <v>-0.93495340943844629</v>
      </c>
    </row>
    <row r="63" spans="1:26" s="24" customFormat="1" hidden="1" outlineLevel="2" x14ac:dyDescent="0.25">
      <c r="A63" s="29"/>
      <c r="B63" s="11" t="str">
        <f>CONCATENATE("          ", "6387", " - ", "COMMISSION DUE HOUSING")</f>
        <v xml:space="preserve">          6387 - COMMISSION DUE HOUSING</v>
      </c>
      <c r="C63" s="11"/>
      <c r="D63" s="7">
        <v>3533.81</v>
      </c>
      <c r="E63" s="2"/>
      <c r="F63" s="6">
        <f t="shared" si="28"/>
        <v>7.0920051505095116E-2</v>
      </c>
      <c r="G63" s="2"/>
      <c r="H63" s="7">
        <v>32320.179999999997</v>
      </c>
      <c r="I63" s="2"/>
      <c r="J63" s="6">
        <f t="shared" si="29"/>
        <v>6.3798059736522583E-2</v>
      </c>
      <c r="K63" s="2"/>
      <c r="L63" s="7">
        <f t="shared" si="30"/>
        <v>-28786.369999999995</v>
      </c>
      <c r="M63" s="2"/>
      <c r="N63" s="6">
        <f t="shared" si="31"/>
        <v>-0.89066242824142683</v>
      </c>
      <c r="O63" s="11"/>
      <c r="P63" s="7">
        <v>4685.49</v>
      </c>
      <c r="Q63" s="2"/>
      <c r="R63" s="6">
        <f t="shared" si="32"/>
        <v>6.7752472670484121E-2</v>
      </c>
      <c r="S63" s="2"/>
      <c r="T63" s="7">
        <v>72032.83</v>
      </c>
      <c r="U63" s="2"/>
      <c r="V63" s="6">
        <f t="shared" si="33"/>
        <v>7.0896001276176304E-2</v>
      </c>
      <c r="W63" s="2"/>
      <c r="X63" s="7">
        <f t="shared" si="34"/>
        <v>-67347.34</v>
      </c>
      <c r="Y63" s="2"/>
      <c r="Z63" s="6">
        <f t="shared" si="35"/>
        <v>-0.93495340943844629</v>
      </c>
    </row>
    <row r="64" spans="1:26" s="28" customFormat="1" outlineLevel="1" collapsed="1" x14ac:dyDescent="0.25">
      <c r="A64" s="27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SUM(OSRRefD22_12x_0)</f>
        <v>2473.65</v>
      </c>
      <c r="E64" s="1"/>
      <c r="F64" s="5">
        <f t="shared" si="28"/>
        <v>4.9643694880477034E-2</v>
      </c>
      <c r="G64" s="1"/>
      <c r="H64" s="1">
        <f>SUM(OSRRefH22_12x_0)</f>
        <v>20.39</v>
      </c>
      <c r="I64" s="1"/>
      <c r="J64" s="5">
        <f t="shared" si="29"/>
        <v>4.0248613653379886E-5</v>
      </c>
      <c r="K64" s="1"/>
      <c r="L64" s="1">
        <f t="shared" si="30"/>
        <v>2453.2600000000002</v>
      </c>
      <c r="M64" s="1"/>
      <c r="N64" s="5">
        <f t="shared" si="31"/>
        <v>120.31682197155469</v>
      </c>
      <c r="O64" s="14"/>
      <c r="P64" s="1">
        <f>SUM(OSRRefP22_12x_0)</f>
        <v>2475.3000000000002</v>
      </c>
      <c r="Q64" s="1"/>
      <c r="R64" s="5">
        <f t="shared" si="32"/>
        <v>3.5792989762276593E-2</v>
      </c>
      <c r="S64" s="1"/>
      <c r="T64" s="1">
        <f>SUM(OSRRefT22_12x_0)</f>
        <v>29.21</v>
      </c>
      <c r="U64" s="1"/>
      <c r="V64" s="5">
        <f t="shared" si="33"/>
        <v>2.8749005103327329E-5</v>
      </c>
      <c r="W64" s="1"/>
      <c r="X64" s="1">
        <f t="shared" si="34"/>
        <v>2446.09</v>
      </c>
      <c r="Y64" s="1"/>
      <c r="Z64" s="5">
        <f t="shared" si="35"/>
        <v>83.741526874358101</v>
      </c>
    </row>
    <row r="65" spans="1:26" s="24" customFormat="1" hidden="1" outlineLevel="2" x14ac:dyDescent="0.25">
      <c r="A65" s="29"/>
      <c r="B65" s="11" t="str">
        <f>CONCATENATE("          ", "6373", " - ", "MAINTENANCE CONTRACTS")</f>
        <v xml:space="preserve">          6373 - MAINTENANCE CONTRACTS</v>
      </c>
      <c r="C65" s="11"/>
      <c r="D65" s="7">
        <v>2473.65</v>
      </c>
      <c r="E65" s="2"/>
      <c r="F65" s="6">
        <f t="shared" si="28"/>
        <v>4.9643694880477034E-2</v>
      </c>
      <c r="G65" s="2"/>
      <c r="H65" s="7">
        <v>20.39</v>
      </c>
      <c r="I65" s="2"/>
      <c r="J65" s="6">
        <f t="shared" si="29"/>
        <v>4.0248613653379886E-5</v>
      </c>
      <c r="K65" s="2"/>
      <c r="L65" s="7">
        <f t="shared" si="30"/>
        <v>2453.2600000000002</v>
      </c>
      <c r="M65" s="2"/>
      <c r="N65" s="6">
        <f t="shared" si="31"/>
        <v>120.31682197155469</v>
      </c>
      <c r="O65" s="11"/>
      <c r="P65" s="7">
        <v>2475.3000000000002</v>
      </c>
      <c r="Q65" s="2"/>
      <c r="R65" s="6">
        <f t="shared" si="32"/>
        <v>3.5792989762276593E-2</v>
      </c>
      <c r="S65" s="2"/>
      <c r="T65" s="7">
        <v>29.21</v>
      </c>
      <c r="U65" s="2"/>
      <c r="V65" s="6">
        <f t="shared" si="33"/>
        <v>2.8749005103327329E-5</v>
      </c>
      <c r="W65" s="2"/>
      <c r="X65" s="7">
        <f t="shared" si="34"/>
        <v>2446.09</v>
      </c>
      <c r="Y65" s="2"/>
      <c r="Z65" s="6">
        <f t="shared" si="35"/>
        <v>83.741526874358101</v>
      </c>
    </row>
    <row r="66" spans="1:26" s="28" customFormat="1" outlineLevel="1" collapsed="1" x14ac:dyDescent="0.25">
      <c r="A66" s="27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SUM(OSRRefD22_13x_0)</f>
        <v>7432.2300000000005</v>
      </c>
      <c r="E66" s="1"/>
      <c r="F66" s="5">
        <f t="shared" si="28"/>
        <v>0.14915746302085089</v>
      </c>
      <c r="G66" s="1"/>
      <c r="H66" s="1">
        <f>SUM(OSRRefH22_13x_0)</f>
        <v>18115.54</v>
      </c>
      <c r="I66" s="1"/>
      <c r="J66" s="5">
        <f t="shared" si="29"/>
        <v>3.5758968640625284E-2</v>
      </c>
      <c r="K66" s="1"/>
      <c r="L66" s="1">
        <f t="shared" si="30"/>
        <v>-10683.310000000001</v>
      </c>
      <c r="M66" s="1"/>
      <c r="N66" s="5">
        <f t="shared" si="31"/>
        <v>-0.58973179932809072</v>
      </c>
      <c r="O66" s="14"/>
      <c r="P66" s="1">
        <f>SUM(OSRRefP22_13x_0)</f>
        <v>18584.900000000001</v>
      </c>
      <c r="Q66" s="1"/>
      <c r="R66" s="5">
        <f t="shared" si="32"/>
        <v>0.26873879345248425</v>
      </c>
      <c r="S66" s="1"/>
      <c r="T66" s="1">
        <f>SUM(OSRRefT22_13x_0)</f>
        <v>37677.18</v>
      </c>
      <c r="U66" s="1"/>
      <c r="V66" s="5">
        <f t="shared" si="33"/>
        <v>3.7082555292673139E-2</v>
      </c>
      <c r="W66" s="1"/>
      <c r="X66" s="1">
        <f t="shared" si="34"/>
        <v>-19092.28</v>
      </c>
      <c r="Y66" s="1"/>
      <c r="Z66" s="5">
        <f t="shared" si="35"/>
        <v>-0.50673325339104458</v>
      </c>
    </row>
    <row r="67" spans="1:26" s="24" customFormat="1" hidden="1" outlineLevel="2" x14ac:dyDescent="0.25">
      <c r="A67" s="29"/>
      <c r="B67" s="11" t="str">
        <f>CONCATENATE("          ", "6282", " - ", "JANITORIAL/EXTERMINATOR EXPENS")</f>
        <v xml:space="preserve">          6282 - JANITORIAL/EXTERMINATOR EXPENS</v>
      </c>
      <c r="C67" s="11"/>
      <c r="D67" s="7">
        <v>910.43</v>
      </c>
      <c r="E67" s="2"/>
      <c r="F67" s="6">
        <f t="shared" si="28"/>
        <v>1.8271424465883493E-2</v>
      </c>
      <c r="G67" s="2"/>
      <c r="H67" s="7">
        <v>1658.3</v>
      </c>
      <c r="I67" s="2"/>
      <c r="J67" s="6">
        <f t="shared" si="29"/>
        <v>3.2733828357724309E-3</v>
      </c>
      <c r="K67" s="2"/>
      <c r="L67" s="7">
        <f t="shared" si="30"/>
        <v>-747.87</v>
      </c>
      <c r="M67" s="2"/>
      <c r="N67" s="6">
        <f t="shared" si="31"/>
        <v>-0.45098594946632092</v>
      </c>
      <c r="O67" s="11"/>
      <c r="P67" s="7">
        <v>2132.11</v>
      </c>
      <c r="Q67" s="2"/>
      <c r="R67" s="6">
        <f t="shared" si="32"/>
        <v>3.0830441321071204E-2</v>
      </c>
      <c r="S67" s="2"/>
      <c r="T67" s="7">
        <v>3166.6</v>
      </c>
      <c r="U67" s="2"/>
      <c r="V67" s="6">
        <f t="shared" si="33"/>
        <v>3.1166244286270563E-3</v>
      </c>
      <c r="W67" s="2"/>
      <c r="X67" s="7">
        <f t="shared" si="34"/>
        <v>-1034.4899999999998</v>
      </c>
      <c r="Y67" s="2"/>
      <c r="Z67" s="6">
        <f t="shared" si="35"/>
        <v>-0.32668793027221621</v>
      </c>
    </row>
    <row r="68" spans="1:26" s="24" customFormat="1" hidden="1" outlineLevel="2" x14ac:dyDescent="0.25">
      <c r="A68" s="29"/>
      <c r="B68" s="11" t="str">
        <f>CONCATENATE("          ", "6285", " - ", "JANITORIAL SERVICES")</f>
        <v xml:space="preserve">          6285 - JANITORIAL SERVICES</v>
      </c>
      <c r="C68" s="11"/>
      <c r="D68" s="7">
        <v>4157.05</v>
      </c>
      <c r="E68" s="2"/>
      <c r="F68" s="6">
        <f t="shared" si="28"/>
        <v>8.3427858348144257E-2</v>
      </c>
      <c r="G68" s="2"/>
      <c r="H68" s="7">
        <v>11660.97</v>
      </c>
      <c r="I68" s="2"/>
      <c r="J68" s="6">
        <f t="shared" si="29"/>
        <v>2.3018041998707859E-2</v>
      </c>
      <c r="K68" s="2"/>
      <c r="L68" s="7">
        <f t="shared" si="30"/>
        <v>-7503.9199999999992</v>
      </c>
      <c r="M68" s="2"/>
      <c r="N68" s="6">
        <f t="shared" si="31"/>
        <v>-0.64350735830724204</v>
      </c>
      <c r="O68" s="11"/>
      <c r="P68" s="7">
        <v>12471.15</v>
      </c>
      <c r="Q68" s="2"/>
      <c r="R68" s="6">
        <f t="shared" si="32"/>
        <v>0.18033359361443693</v>
      </c>
      <c r="S68" s="2"/>
      <c r="T68" s="7">
        <v>24671.98</v>
      </c>
      <c r="U68" s="2"/>
      <c r="V68" s="6">
        <f t="shared" si="33"/>
        <v>2.4282604550811018E-2</v>
      </c>
      <c r="W68" s="2"/>
      <c r="X68" s="7">
        <f t="shared" si="34"/>
        <v>-12200.83</v>
      </c>
      <c r="Y68" s="2"/>
      <c r="Z68" s="6">
        <f t="shared" si="35"/>
        <v>-0.49452172059153743</v>
      </c>
    </row>
    <row r="69" spans="1:26" s="24" customFormat="1" hidden="1" outlineLevel="2" x14ac:dyDescent="0.25">
      <c r="A69" s="29"/>
      <c r="B69" s="11" t="str">
        <f>CONCATENATE("          ", "6286", " - ", "LAUNDRY EXPENSE")</f>
        <v xml:space="preserve">          6286 - LAUNDRY EXPENSE</v>
      </c>
      <c r="C69" s="11"/>
      <c r="D69" s="7">
        <v>2364.75</v>
      </c>
      <c r="E69" s="2"/>
      <c r="F69" s="6">
        <f t="shared" si="28"/>
        <v>4.7458180206823138E-2</v>
      </c>
      <c r="G69" s="2"/>
      <c r="H69" s="7">
        <v>4796.2700000000004</v>
      </c>
      <c r="I69" s="2"/>
      <c r="J69" s="6">
        <f t="shared" si="29"/>
        <v>9.4675438061449912E-3</v>
      </c>
      <c r="K69" s="2"/>
      <c r="L69" s="7">
        <f t="shared" si="30"/>
        <v>-2431.5200000000004</v>
      </c>
      <c r="M69" s="2"/>
      <c r="N69" s="6">
        <f t="shared" si="31"/>
        <v>-0.5069606173130371</v>
      </c>
      <c r="O69" s="11"/>
      <c r="P69" s="7">
        <v>3981.64</v>
      </c>
      <c r="Q69" s="2"/>
      <c r="R69" s="6">
        <f t="shared" si="32"/>
        <v>5.7574758516976111E-2</v>
      </c>
      <c r="S69" s="2"/>
      <c r="T69" s="7">
        <v>9838.6</v>
      </c>
      <c r="U69" s="2"/>
      <c r="V69" s="6">
        <f t="shared" si="33"/>
        <v>9.6833263132350654E-3</v>
      </c>
      <c r="W69" s="2"/>
      <c r="X69" s="7">
        <f t="shared" si="34"/>
        <v>-5856.9600000000009</v>
      </c>
      <c r="Y69" s="2"/>
      <c r="Z69" s="6">
        <f t="shared" si="35"/>
        <v>-0.59530420994857003</v>
      </c>
    </row>
    <row r="70" spans="1:26" s="28" customFormat="1" outlineLevel="1" collapsed="1" x14ac:dyDescent="0.25">
      <c r="A70" s="27"/>
      <c r="B70" s="14" t="str">
        <f>CONCATENATE("     ","Supplies                                          ")</f>
        <v xml:space="preserve">     Supplies                                          </v>
      </c>
      <c r="C70" s="14"/>
      <c r="D70" s="1">
        <f>SUM(OSRRefD22_14x_0)</f>
        <v>19137.71</v>
      </c>
      <c r="E70" s="1"/>
      <c r="F70" s="5">
        <f t="shared" ref="F70:F78" si="36">IF(D$12=0,0,D70/D$12)</f>
        <v>0.38407480280195422</v>
      </c>
      <c r="G70" s="1"/>
      <c r="H70" s="1">
        <f>SUM(OSRRefH22_14x_0)</f>
        <v>22655.909999999996</v>
      </c>
      <c r="I70" s="1"/>
      <c r="J70" s="5">
        <f t="shared" ref="J70:J78" si="37">IF(H$12=0,0,H70/H$12)</f>
        <v>4.472138148875654E-2</v>
      </c>
      <c r="K70" s="1"/>
      <c r="L70" s="1">
        <f t="shared" ref="L70:L78" si="38">+D70-H70</f>
        <v>-3518.1999999999971</v>
      </c>
      <c r="M70" s="1"/>
      <c r="N70" s="5">
        <f t="shared" ref="N70:N78" si="39">IF(H70=0,0,L70/H70)</f>
        <v>-0.15528839936246205</v>
      </c>
      <c r="O70" s="14"/>
      <c r="P70" s="1">
        <f>SUM(OSRRefP22_14x_0)</f>
        <v>26006.23</v>
      </c>
      <c r="Q70" s="1"/>
      <c r="R70" s="5">
        <f t="shared" ref="R70:R78" si="40">IF(P$12=0,0,P70/P$12)</f>
        <v>0.37605168025912428</v>
      </c>
      <c r="S70" s="1"/>
      <c r="T70" s="1">
        <f>SUM(OSRRefT22_14x_0)</f>
        <v>50774.19</v>
      </c>
      <c r="U70" s="1"/>
      <c r="V70" s="5">
        <f t="shared" ref="V70:V78" si="41">IF(T$12=0,0,T70/T$12)</f>
        <v>4.9972867080702206E-2</v>
      </c>
      <c r="W70" s="1"/>
      <c r="X70" s="1">
        <f t="shared" ref="X70:X78" si="42">+P70-T70</f>
        <v>-24767.960000000003</v>
      </c>
      <c r="Y70" s="1"/>
      <c r="Z70" s="5">
        <f t="shared" ref="Z70:Z78" si="43">IF(T70=0,0,X70/T70)</f>
        <v>-0.48780610778822864</v>
      </c>
    </row>
    <row r="71" spans="1:26" s="24" customFormat="1" hidden="1" outlineLevel="2" x14ac:dyDescent="0.25">
      <c r="A71" s="29"/>
      <c r="B71" s="11" t="str">
        <f>CONCATENATE("          ", "6235", " - ", "COVID-19 EXPENSES")</f>
        <v xml:space="preserve">          6235 - COVID-19 EXPENSES</v>
      </c>
      <c r="C71" s="11"/>
      <c r="D71" s="7">
        <v>8707.61</v>
      </c>
      <c r="E71" s="2"/>
      <c r="F71" s="6">
        <f t="shared" si="36"/>
        <v>0.17475307095918607</v>
      </c>
      <c r="G71" s="2"/>
      <c r="H71" s="7"/>
      <c r="I71" s="2"/>
      <c r="J71" s="6">
        <f t="shared" si="37"/>
        <v>0</v>
      </c>
      <c r="K71" s="2"/>
      <c r="L71" s="7">
        <f t="shared" si="38"/>
        <v>8707.61</v>
      </c>
      <c r="M71" s="2"/>
      <c r="N71" s="6">
        <f t="shared" si="39"/>
        <v>0</v>
      </c>
      <c r="O71" s="11"/>
      <c r="P71" s="7">
        <v>13673.73</v>
      </c>
      <c r="Q71" s="2"/>
      <c r="R71" s="6">
        <f t="shared" si="40"/>
        <v>0.19772297414541037</v>
      </c>
      <c r="S71" s="2"/>
      <c r="T71" s="7"/>
      <c r="U71" s="2"/>
      <c r="V71" s="6">
        <f t="shared" si="41"/>
        <v>0</v>
      </c>
      <c r="W71" s="2"/>
      <c r="X71" s="7">
        <f t="shared" si="42"/>
        <v>13673.73</v>
      </c>
      <c r="Y71" s="2"/>
      <c r="Z71" s="6">
        <f t="shared" si="43"/>
        <v>0</v>
      </c>
    </row>
    <row r="72" spans="1:26" s="24" customFormat="1" hidden="1" outlineLevel="2" x14ac:dyDescent="0.25">
      <c r="A72" s="29"/>
      <c r="B72" s="11" t="str">
        <f>CONCATENATE("          ", "6237", " - ", "JANITORIAL SUPPLIES")</f>
        <v xml:space="preserve">          6237 - JANITORIAL SUPPLIES</v>
      </c>
      <c r="C72" s="11"/>
      <c r="D72" s="7">
        <v>1416.91</v>
      </c>
      <c r="E72" s="2"/>
      <c r="F72" s="6">
        <f t="shared" si="36"/>
        <v>2.8435974253874521E-2</v>
      </c>
      <c r="G72" s="2"/>
      <c r="H72" s="7">
        <v>8681.9599999999991</v>
      </c>
      <c r="I72" s="2"/>
      <c r="J72" s="6">
        <f t="shared" si="37"/>
        <v>1.7137658351843943E-2</v>
      </c>
      <c r="K72" s="2"/>
      <c r="L72" s="7">
        <f t="shared" si="38"/>
        <v>-7265.0499999999993</v>
      </c>
      <c r="M72" s="2"/>
      <c r="N72" s="6">
        <f t="shared" si="39"/>
        <v>-0.83679837271768132</v>
      </c>
      <c r="O72" s="11"/>
      <c r="P72" s="7">
        <v>2604.9499999999998</v>
      </c>
      <c r="Q72" s="2"/>
      <c r="R72" s="6">
        <f t="shared" si="40"/>
        <v>3.7667736711203652E-2</v>
      </c>
      <c r="S72" s="2"/>
      <c r="T72" s="7">
        <v>15933.409999999998</v>
      </c>
      <c r="U72" s="2"/>
      <c r="V72" s="6">
        <f t="shared" si="41"/>
        <v>1.568194746331416E-2</v>
      </c>
      <c r="W72" s="2"/>
      <c r="X72" s="7">
        <f t="shared" si="42"/>
        <v>-13328.46</v>
      </c>
      <c r="Y72" s="2"/>
      <c r="Z72" s="6">
        <f t="shared" si="43"/>
        <v>-0.83651020089233885</v>
      </c>
    </row>
    <row r="73" spans="1:26" s="24" customFormat="1" hidden="1" outlineLevel="2" x14ac:dyDescent="0.25">
      <c r="A73" s="29"/>
      <c r="B73" s="11" t="str">
        <f>CONCATENATE("          ", "6239", " - ", "KITCHEN SUPPLIES")</f>
        <v xml:space="preserve">          6239 - KITCHEN SUPPLIES</v>
      </c>
      <c r="C73" s="11"/>
      <c r="D73" s="7">
        <v>2324.31</v>
      </c>
      <c r="E73" s="2"/>
      <c r="F73" s="6">
        <f t="shared" si="36"/>
        <v>4.6646589633796844E-2</v>
      </c>
      <c r="G73" s="2"/>
      <c r="H73" s="7">
        <v>4959.72</v>
      </c>
      <c r="I73" s="2"/>
      <c r="J73" s="6">
        <f t="shared" si="37"/>
        <v>9.7901841152006532E-3</v>
      </c>
      <c r="K73" s="2"/>
      <c r="L73" s="7">
        <f t="shared" si="38"/>
        <v>-2635.4100000000003</v>
      </c>
      <c r="M73" s="2"/>
      <c r="N73" s="6">
        <f t="shared" si="39"/>
        <v>-0.53136265756937895</v>
      </c>
      <c r="O73" s="11"/>
      <c r="P73" s="7">
        <v>2374.31</v>
      </c>
      <c r="Q73" s="2"/>
      <c r="R73" s="6">
        <f t="shared" si="40"/>
        <v>3.4332668170513045E-2</v>
      </c>
      <c r="S73" s="2"/>
      <c r="T73" s="7">
        <v>5792.69</v>
      </c>
      <c r="U73" s="2"/>
      <c r="V73" s="6">
        <f t="shared" si="41"/>
        <v>5.7012692356040113E-3</v>
      </c>
      <c r="W73" s="2"/>
      <c r="X73" s="7">
        <f t="shared" si="42"/>
        <v>-3418.3799999999997</v>
      </c>
      <c r="Y73" s="2"/>
      <c r="Z73" s="6">
        <f t="shared" si="43"/>
        <v>-0.59011961627499487</v>
      </c>
    </row>
    <row r="74" spans="1:26" s="24" customFormat="1" hidden="1" outlineLevel="2" x14ac:dyDescent="0.25">
      <c r="A74" s="29"/>
      <c r="B74" s="11" t="str">
        <f>CONCATENATE("          ", "6241", " - ", "OFFICE EXPENSE")</f>
        <v xml:space="preserve">          6241 - OFFICE EXPENSE</v>
      </c>
      <c r="C74" s="11"/>
      <c r="D74" s="7">
        <v>165.61</v>
      </c>
      <c r="E74" s="2"/>
      <c r="F74" s="6">
        <f t="shared" si="36"/>
        <v>3.3236279623858676E-3</v>
      </c>
      <c r="G74" s="2"/>
      <c r="H74" s="7">
        <v>1032.6400000000001</v>
      </c>
      <c r="I74" s="2"/>
      <c r="J74" s="6">
        <f t="shared" si="37"/>
        <v>2.038368239481423E-3</v>
      </c>
      <c r="K74" s="2"/>
      <c r="L74" s="7">
        <f t="shared" si="38"/>
        <v>-867.03000000000009</v>
      </c>
      <c r="M74" s="2"/>
      <c r="N74" s="6">
        <f t="shared" si="39"/>
        <v>-0.83962465137898978</v>
      </c>
      <c r="O74" s="11"/>
      <c r="P74" s="7">
        <v>182.09</v>
      </c>
      <c r="Q74" s="2"/>
      <c r="R74" s="6">
        <f t="shared" si="40"/>
        <v>2.6330325640580715E-3</v>
      </c>
      <c r="S74" s="2"/>
      <c r="T74" s="7">
        <v>21882.62</v>
      </c>
      <c r="U74" s="2"/>
      <c r="V74" s="6">
        <f t="shared" si="41"/>
        <v>2.1537266485935385E-2</v>
      </c>
      <c r="W74" s="2"/>
      <c r="X74" s="7">
        <f t="shared" si="42"/>
        <v>-21700.53</v>
      </c>
      <c r="Y74" s="2"/>
      <c r="Z74" s="6">
        <f t="shared" si="43"/>
        <v>-0.99167878435031998</v>
      </c>
    </row>
    <row r="75" spans="1:26" s="24" customFormat="1" hidden="1" outlineLevel="2" x14ac:dyDescent="0.25">
      <c r="A75" s="29"/>
      <c r="B75" s="11" t="str">
        <f>CONCATENATE("          ", "6243", " - ", "PAPER SUPPLIES")</f>
        <v xml:space="preserve">          6243 - PAPER SUPPLIES</v>
      </c>
      <c r="C75" s="11"/>
      <c r="D75" s="7">
        <v>3012.29</v>
      </c>
      <c r="E75" s="2"/>
      <c r="F75" s="6">
        <f t="shared" si="36"/>
        <v>6.0453663877877692E-2</v>
      </c>
      <c r="G75" s="2"/>
      <c r="H75" s="7">
        <v>5324.74</v>
      </c>
      <c r="I75" s="2"/>
      <c r="J75" s="6">
        <f t="shared" si="37"/>
        <v>1.0510711283212262E-2</v>
      </c>
      <c r="K75" s="2"/>
      <c r="L75" s="7">
        <f t="shared" si="38"/>
        <v>-2312.4499999999998</v>
      </c>
      <c r="M75" s="2"/>
      <c r="N75" s="6">
        <f t="shared" si="39"/>
        <v>-0.43428411528074606</v>
      </c>
      <c r="O75" s="11"/>
      <c r="P75" s="7">
        <v>3660.17</v>
      </c>
      <c r="Q75" s="2"/>
      <c r="R75" s="6">
        <f t="shared" si="40"/>
        <v>5.2926282607438258E-2</v>
      </c>
      <c r="S75" s="2"/>
      <c r="T75" s="7">
        <v>9921.8700000000008</v>
      </c>
      <c r="U75" s="2"/>
      <c r="V75" s="6">
        <f t="shared" si="41"/>
        <v>9.7652821384645785E-3</v>
      </c>
      <c r="W75" s="2"/>
      <c r="X75" s="7">
        <f t="shared" si="42"/>
        <v>-6261.7000000000007</v>
      </c>
      <c r="Y75" s="2"/>
      <c r="Z75" s="6">
        <f t="shared" si="43"/>
        <v>-0.63110079047598888</v>
      </c>
    </row>
    <row r="76" spans="1:26" s="24" customFormat="1" hidden="1" outlineLevel="2" x14ac:dyDescent="0.25">
      <c r="A76" s="29"/>
      <c r="B76" s="11" t="str">
        <f>CONCATENATE("          ", "6245", " - ", "PRINTING")</f>
        <v xml:space="preserve">          6245 - PRINTING</v>
      </c>
      <c r="C76" s="11"/>
      <c r="D76" s="7"/>
      <c r="E76" s="2"/>
      <c r="F76" s="6">
        <f t="shared" si="36"/>
        <v>0</v>
      </c>
      <c r="G76" s="2"/>
      <c r="H76" s="7">
        <v>1323</v>
      </c>
      <c r="I76" s="2"/>
      <c r="J76" s="6">
        <f t="shared" si="37"/>
        <v>2.6115211311143497E-3</v>
      </c>
      <c r="K76" s="2"/>
      <c r="L76" s="7">
        <f t="shared" si="38"/>
        <v>-1323</v>
      </c>
      <c r="M76" s="2"/>
      <c r="N76" s="6">
        <f t="shared" si="39"/>
        <v>-1</v>
      </c>
      <c r="O76" s="11"/>
      <c r="P76" s="7"/>
      <c r="Q76" s="2"/>
      <c r="R76" s="6">
        <f t="shared" si="40"/>
        <v>0</v>
      </c>
      <c r="S76" s="2"/>
      <c r="T76" s="7">
        <v>1323</v>
      </c>
      <c r="U76" s="2"/>
      <c r="V76" s="6">
        <f t="shared" si="41"/>
        <v>1.3021202927662463E-3</v>
      </c>
      <c r="W76" s="2"/>
      <c r="X76" s="7">
        <f t="shared" si="42"/>
        <v>-1323</v>
      </c>
      <c r="Y76" s="2"/>
      <c r="Z76" s="6">
        <f t="shared" si="43"/>
        <v>-1</v>
      </c>
    </row>
    <row r="77" spans="1:26" s="24" customFormat="1" hidden="1" outlineLevel="2" x14ac:dyDescent="0.25">
      <c r="A77" s="29"/>
      <c r="B77" s="11" t="str">
        <f>CONCATENATE("          ", "6247", " - ", "STORE SUPPLIES")</f>
        <v xml:space="preserve">          6247 - STORE SUPPLIES</v>
      </c>
      <c r="C77" s="11"/>
      <c r="D77" s="7"/>
      <c r="E77" s="2"/>
      <c r="F77" s="6">
        <f t="shared" si="36"/>
        <v>0</v>
      </c>
      <c r="G77" s="2"/>
      <c r="H77" s="7">
        <v>220.25</v>
      </c>
      <c r="I77" s="2"/>
      <c r="J77" s="6">
        <f t="shared" si="37"/>
        <v>4.3476003713373811E-4</v>
      </c>
      <c r="K77" s="2"/>
      <c r="L77" s="7">
        <f t="shared" si="38"/>
        <v>-220.25</v>
      </c>
      <c r="M77" s="2"/>
      <c r="N77" s="6">
        <f t="shared" si="39"/>
        <v>-1</v>
      </c>
      <c r="O77" s="11"/>
      <c r="P77" s="7"/>
      <c r="Q77" s="2"/>
      <c r="R77" s="6">
        <f t="shared" si="40"/>
        <v>0</v>
      </c>
      <c r="S77" s="2"/>
      <c r="T77" s="7">
        <v>376.35</v>
      </c>
      <c r="U77" s="2"/>
      <c r="V77" s="6">
        <f t="shared" si="41"/>
        <v>3.7041040981298324E-4</v>
      </c>
      <c r="W77" s="2"/>
      <c r="X77" s="7">
        <f t="shared" si="42"/>
        <v>-376.35</v>
      </c>
      <c r="Y77" s="2"/>
      <c r="Z77" s="6">
        <f t="shared" si="43"/>
        <v>-1</v>
      </c>
    </row>
    <row r="78" spans="1:26" s="24" customFormat="1" hidden="1" outlineLevel="2" x14ac:dyDescent="0.25">
      <c r="A78" s="29"/>
      <c r="B78" s="11" t="str">
        <f>CONCATENATE("          ", "6248", " - ", "UNIFORMS")</f>
        <v xml:space="preserve">          6248 - UNIFORMS</v>
      </c>
      <c r="C78" s="11"/>
      <c r="D78" s="7">
        <v>3510.98</v>
      </c>
      <c r="E78" s="2"/>
      <c r="F78" s="6">
        <f t="shared" si="36"/>
        <v>7.0461876114833247E-2</v>
      </c>
      <c r="G78" s="2"/>
      <c r="H78" s="7">
        <v>1113.5999999999999</v>
      </c>
      <c r="I78" s="2"/>
      <c r="J78" s="6">
        <f t="shared" si="37"/>
        <v>2.1981783307701737E-3</v>
      </c>
      <c r="K78" s="2"/>
      <c r="L78" s="7">
        <f t="shared" si="38"/>
        <v>2397.38</v>
      </c>
      <c r="M78" s="2"/>
      <c r="N78" s="6">
        <f t="shared" si="39"/>
        <v>2.1528196839080462</v>
      </c>
      <c r="O78" s="11"/>
      <c r="P78" s="7">
        <v>3510.98</v>
      </c>
      <c r="Q78" s="2"/>
      <c r="R78" s="6">
        <f t="shared" si="40"/>
        <v>5.0768986060500898E-2</v>
      </c>
      <c r="S78" s="2"/>
      <c r="T78" s="7">
        <v>-4455.75</v>
      </c>
      <c r="U78" s="2"/>
      <c r="V78" s="6">
        <f t="shared" si="41"/>
        <v>-4.3854289451951646E-3</v>
      </c>
      <c r="W78" s="2"/>
      <c r="X78" s="7">
        <f t="shared" si="42"/>
        <v>7966.73</v>
      </c>
      <c r="Y78" s="2"/>
      <c r="Z78" s="6">
        <f t="shared" si="43"/>
        <v>-1.7879661112046232</v>
      </c>
    </row>
    <row r="79" spans="1:26" s="28" customFormat="1" outlineLevel="1" collapsed="1" x14ac:dyDescent="0.25">
      <c r="A79" s="27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SUM(OSRRefD22_15x_0)</f>
        <v>632.5</v>
      </c>
      <c r="E79" s="1"/>
      <c r="F79" s="5">
        <f t="shared" ref="F79:F84" si="44">IF(D$12=0,0,D79/D$12)</f>
        <v>1.2693645831828157E-2</v>
      </c>
      <c r="G79" s="1"/>
      <c r="H79" s="1">
        <f>SUM(OSRRefH22_15x_0)</f>
        <v>758.5</v>
      </c>
      <c r="I79" s="1"/>
      <c r="J79" s="5">
        <f t="shared" ref="J79:J84" si="45">IF(H$12=0,0,H79/H$12)</f>
        <v>1.4972326363947349E-3</v>
      </c>
      <c r="K79" s="1"/>
      <c r="L79" s="1">
        <f t="shared" ref="L79:L84" si="46">+D79-H79</f>
        <v>-126</v>
      </c>
      <c r="M79" s="1"/>
      <c r="N79" s="5">
        <f t="shared" ref="N79:N84" si="47">IF(H79=0,0,L79/H79)</f>
        <v>-0.16611733684904417</v>
      </c>
      <c r="O79" s="14"/>
      <c r="P79" s="1">
        <f>SUM(OSRRefP22_15x_0)</f>
        <v>1265</v>
      </c>
      <c r="Q79" s="1"/>
      <c r="R79" s="5">
        <f t="shared" ref="R79:R84" si="48">IF(P$12=0,0,P79/P$12)</f>
        <v>1.8291977557984847E-2</v>
      </c>
      <c r="S79" s="1"/>
      <c r="T79" s="1">
        <f>SUM(OSRRefT22_15x_0)</f>
        <v>324.14999999999998</v>
      </c>
      <c r="U79" s="1"/>
      <c r="V79" s="5">
        <f t="shared" ref="V79:V84" si="49">IF(T$12=0,0,T79/T$12)</f>
        <v>3.1903423499635581E-4</v>
      </c>
      <c r="W79" s="1"/>
      <c r="X79" s="1">
        <f t="shared" ref="X79:X84" si="50">+P79-T79</f>
        <v>940.85</v>
      </c>
      <c r="Y79" s="1"/>
      <c r="Z79" s="5">
        <f t="shared" ref="Z79:Z84" si="51">IF(T79=0,0,X79/T79)</f>
        <v>2.902514268085763</v>
      </c>
    </row>
    <row r="80" spans="1:26" s="24" customFormat="1" hidden="1" outlineLevel="2" x14ac:dyDescent="0.25">
      <c r="A80" s="29"/>
      <c r="B80" s="11" t="str">
        <f>CONCATENATE("          ", "6309", " - ", "TELEPHONE")</f>
        <v xml:space="preserve">          6309 - TELEPHONE</v>
      </c>
      <c r="C80" s="11"/>
      <c r="D80" s="7">
        <v>632.5</v>
      </c>
      <c r="E80" s="2"/>
      <c r="F80" s="6">
        <f t="shared" si="44"/>
        <v>1.2693645831828157E-2</v>
      </c>
      <c r="G80" s="2"/>
      <c r="H80" s="7">
        <v>758.5</v>
      </c>
      <c r="I80" s="2"/>
      <c r="J80" s="6">
        <f t="shared" si="45"/>
        <v>1.4972326363947349E-3</v>
      </c>
      <c r="K80" s="2"/>
      <c r="L80" s="7">
        <f t="shared" si="46"/>
        <v>-126</v>
      </c>
      <c r="M80" s="2"/>
      <c r="N80" s="6">
        <f t="shared" si="47"/>
        <v>-0.16611733684904417</v>
      </c>
      <c r="O80" s="11"/>
      <c r="P80" s="7">
        <v>1265</v>
      </c>
      <c r="Q80" s="2"/>
      <c r="R80" s="6">
        <f t="shared" si="48"/>
        <v>1.8291977557984847E-2</v>
      </c>
      <c r="S80" s="2"/>
      <c r="T80" s="7">
        <v>324.14999999999998</v>
      </c>
      <c r="U80" s="2"/>
      <c r="V80" s="6">
        <f t="shared" si="49"/>
        <v>3.1903423499635581E-4</v>
      </c>
      <c r="W80" s="2"/>
      <c r="X80" s="7">
        <f t="shared" si="50"/>
        <v>940.85</v>
      </c>
      <c r="Y80" s="2"/>
      <c r="Z80" s="6">
        <f t="shared" si="51"/>
        <v>2.902514268085763</v>
      </c>
    </row>
    <row r="81" spans="1:26" s="28" customFormat="1" outlineLevel="1" collapsed="1" x14ac:dyDescent="0.25">
      <c r="A81" s="27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SUM(OSRRefD22_16x_0)</f>
        <v>350</v>
      </c>
      <c r="E81" s="1"/>
      <c r="F81" s="5">
        <f t="shared" si="44"/>
        <v>7.0241518436993753E-3</v>
      </c>
      <c r="G81" s="1"/>
      <c r="H81" s="1">
        <f>SUM(OSRRefH22_16x_0)</f>
        <v>189.9</v>
      </c>
      <c r="I81" s="1"/>
      <c r="J81" s="5">
        <f t="shared" si="45"/>
        <v>3.7485099228920261E-4</v>
      </c>
      <c r="K81" s="1"/>
      <c r="L81" s="1">
        <f t="shared" si="46"/>
        <v>160.1</v>
      </c>
      <c r="M81" s="1"/>
      <c r="N81" s="5">
        <f t="shared" si="47"/>
        <v>0.84307530279094256</v>
      </c>
      <c r="O81" s="14"/>
      <c r="P81" s="1">
        <f>SUM(OSRRefP22_16x_0)</f>
        <v>350</v>
      </c>
      <c r="Q81" s="1"/>
      <c r="R81" s="5">
        <f t="shared" si="48"/>
        <v>5.0610214587309852E-3</v>
      </c>
      <c r="S81" s="1"/>
      <c r="T81" s="1">
        <f>SUM(OSRRefT22_16x_0)</f>
        <v>3396.27</v>
      </c>
      <c r="U81" s="1"/>
      <c r="V81" s="5">
        <f t="shared" si="49"/>
        <v>3.3426697556411334E-3</v>
      </c>
      <c r="W81" s="1"/>
      <c r="X81" s="1">
        <f t="shared" si="50"/>
        <v>-3046.27</v>
      </c>
      <c r="Y81" s="1"/>
      <c r="Z81" s="5">
        <f t="shared" si="51"/>
        <v>-0.89694576697376827</v>
      </c>
    </row>
    <row r="82" spans="1:26" s="24" customFormat="1" hidden="1" outlineLevel="2" x14ac:dyDescent="0.25">
      <c r="A82" s="29"/>
      <c r="B82" s="11" t="str">
        <f>CONCATENATE("          ", "6376", " - ", "TRAINING")</f>
        <v xml:space="preserve">          6376 - TRAINING</v>
      </c>
      <c r="C82" s="11"/>
      <c r="D82" s="7">
        <v>350</v>
      </c>
      <c r="E82" s="2"/>
      <c r="F82" s="6">
        <f t="shared" si="44"/>
        <v>7.0241518436993753E-3</v>
      </c>
      <c r="G82" s="2"/>
      <c r="H82" s="7">
        <v>189.9</v>
      </c>
      <c r="I82" s="2"/>
      <c r="J82" s="6">
        <f t="shared" si="45"/>
        <v>3.7485099228920261E-4</v>
      </c>
      <c r="K82" s="2"/>
      <c r="L82" s="7">
        <f t="shared" si="46"/>
        <v>160.1</v>
      </c>
      <c r="M82" s="2"/>
      <c r="N82" s="6">
        <f t="shared" si="47"/>
        <v>0.84307530279094256</v>
      </c>
      <c r="O82" s="11"/>
      <c r="P82" s="7">
        <v>350</v>
      </c>
      <c r="Q82" s="2"/>
      <c r="R82" s="6">
        <f t="shared" si="48"/>
        <v>5.0610214587309852E-3</v>
      </c>
      <c r="S82" s="2"/>
      <c r="T82" s="7">
        <v>3396.27</v>
      </c>
      <c r="U82" s="2"/>
      <c r="V82" s="6">
        <f t="shared" si="49"/>
        <v>3.3426697556411334E-3</v>
      </c>
      <c r="W82" s="2"/>
      <c r="X82" s="7">
        <f t="shared" si="50"/>
        <v>-3046.27</v>
      </c>
      <c r="Y82" s="2"/>
      <c r="Z82" s="6">
        <f t="shared" si="51"/>
        <v>-0.89694576697376827</v>
      </c>
    </row>
    <row r="83" spans="1:26" s="28" customFormat="1" outlineLevel="1" collapsed="1" x14ac:dyDescent="0.25">
      <c r="A83" s="27"/>
      <c r="B83" s="14" t="str">
        <f>CONCATENATE("     ","Travel                                            ")</f>
        <v xml:space="preserve">     Travel                                            </v>
      </c>
      <c r="C83" s="14"/>
      <c r="D83" s="1">
        <f>SUM(OSRRefD22_17x_0)</f>
        <v>0</v>
      </c>
      <c r="E83" s="1"/>
      <c r="F83" s="5">
        <f t="shared" si="44"/>
        <v>0</v>
      </c>
      <c r="G83" s="1"/>
      <c r="H83" s="1">
        <f>SUM(OSRRefH22_17x_0)</f>
        <v>119.9</v>
      </c>
      <c r="I83" s="1"/>
      <c r="J83" s="5">
        <f t="shared" si="45"/>
        <v>2.3667527106622114E-4</v>
      </c>
      <c r="K83" s="1"/>
      <c r="L83" s="1">
        <f t="shared" si="46"/>
        <v>-119.9</v>
      </c>
      <c r="M83" s="1"/>
      <c r="N83" s="5">
        <f t="shared" si="47"/>
        <v>-1</v>
      </c>
      <c r="O83" s="14"/>
      <c r="P83" s="1">
        <f>SUM(OSRRefP22_17x_0)</f>
        <v>0</v>
      </c>
      <c r="Q83" s="1"/>
      <c r="R83" s="5">
        <f t="shared" si="48"/>
        <v>0</v>
      </c>
      <c r="S83" s="1"/>
      <c r="T83" s="1">
        <f>SUM(OSRRefT22_17x_0)</f>
        <v>1688.41</v>
      </c>
      <c r="U83" s="1"/>
      <c r="V83" s="5">
        <f t="shared" si="49"/>
        <v>1.661763358661722E-3</v>
      </c>
      <c r="W83" s="1"/>
      <c r="X83" s="1">
        <f t="shared" si="50"/>
        <v>-1688.41</v>
      </c>
      <c r="Y83" s="1"/>
      <c r="Z83" s="5">
        <f t="shared" si="51"/>
        <v>-1</v>
      </c>
    </row>
    <row r="84" spans="1:26" s="24" customFormat="1" hidden="1" outlineLevel="2" x14ac:dyDescent="0.25">
      <c r="A84" s="29"/>
      <c r="B84" s="11" t="str">
        <f>CONCATENATE("          ", "6292", " - ", "TRAVEL/CONFERENCE")</f>
        <v xml:space="preserve">          6292 - TRAVEL/CONFERENCE</v>
      </c>
      <c r="C84" s="11"/>
      <c r="D84" s="7"/>
      <c r="E84" s="2"/>
      <c r="F84" s="6">
        <f t="shared" si="44"/>
        <v>0</v>
      </c>
      <c r="G84" s="2"/>
      <c r="H84" s="7">
        <v>119.9</v>
      </c>
      <c r="I84" s="2"/>
      <c r="J84" s="6">
        <f t="shared" si="45"/>
        <v>2.3667527106622114E-4</v>
      </c>
      <c r="K84" s="2"/>
      <c r="L84" s="7">
        <f t="shared" si="46"/>
        <v>-119.9</v>
      </c>
      <c r="M84" s="2"/>
      <c r="N84" s="6">
        <f t="shared" si="47"/>
        <v>-1</v>
      </c>
      <c r="O84" s="11"/>
      <c r="P84" s="7"/>
      <c r="Q84" s="2"/>
      <c r="R84" s="6">
        <f t="shared" si="48"/>
        <v>0</v>
      </c>
      <c r="S84" s="2"/>
      <c r="T84" s="7">
        <v>1688.41</v>
      </c>
      <c r="U84" s="2"/>
      <c r="V84" s="6">
        <f t="shared" si="49"/>
        <v>1.661763358661722E-3</v>
      </c>
      <c r="W84" s="2"/>
      <c r="X84" s="7">
        <f t="shared" si="50"/>
        <v>-1688.41</v>
      </c>
      <c r="Y84" s="2"/>
      <c r="Z84" s="6">
        <f t="shared" si="51"/>
        <v>-1</v>
      </c>
    </row>
    <row r="85" spans="1:26" s="52" customFormat="1" x14ac:dyDescent="0.25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25">
      <c r="A86" s="10"/>
      <c r="B86" s="25" t="s">
        <v>0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25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25">
      <c r="A88" s="10"/>
      <c r="B88" s="26" t="s">
        <v>3</v>
      </c>
      <c r="C88" s="26"/>
      <c r="D88" s="22">
        <f>+D23-D25+D86</f>
        <v>-194336.86999999994</v>
      </c>
      <c r="E88" s="13"/>
      <c r="F88" s="21">
        <f>IF(D$12=0,0,D88/D$12)</f>
        <v>-3.9001476677407583</v>
      </c>
      <c r="G88" s="13"/>
      <c r="H88" s="22">
        <f>+H23-H25+H86</f>
        <v>-5983.0400000000955</v>
      </c>
      <c r="I88" s="13"/>
      <c r="J88" s="21">
        <f>IF(H$12=0,0,H88/H$12)</f>
        <v>-1.181015524437086E-2</v>
      </c>
      <c r="K88" s="16"/>
      <c r="L88" s="22">
        <f>+D88-H88</f>
        <v>-188353.82999999984</v>
      </c>
      <c r="M88" s="16"/>
      <c r="N88" s="21">
        <f>IF(H88=0,0,L88/H88)</f>
        <v>31.481292119056004</v>
      </c>
      <c r="O88" s="25"/>
      <c r="P88" s="22">
        <f>+P23-P25+P86</f>
        <v>-372668.56999999995</v>
      </c>
      <c r="Q88" s="13"/>
      <c r="R88" s="21">
        <f>IF(P$12=0,0,P88/P$12)</f>
        <v>-5.3888103707559711</v>
      </c>
      <c r="S88" s="13"/>
      <c r="T88" s="22">
        <f>+T23-T25+T86</f>
        <v>-60576.349999999744</v>
      </c>
      <c r="U88" s="13"/>
      <c r="V88" s="21">
        <f>IF(T$12=0,0,T88/T$12)</f>
        <v>-5.9620328493356217E-2</v>
      </c>
      <c r="W88" s="16"/>
      <c r="X88" s="22">
        <f>+P88-T88</f>
        <v>-312092.2200000002</v>
      </c>
      <c r="Y88" s="16"/>
      <c r="Z88" s="21">
        <f>IF(T88=0,0,X88/T88)</f>
        <v>5.1520472923839344</v>
      </c>
    </row>
    <row r="89" spans="1:26" x14ac:dyDescent="0.25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25">
      <c r="A90" s="51"/>
      <c r="B90" s="10" t="s">
        <v>13</v>
      </c>
      <c r="C90" s="10"/>
      <c r="D90" s="4">
        <v>2380.36</v>
      </c>
      <c r="E90" s="4"/>
      <c r="F90" s="12">
        <f>IF(D$12=0,0,D90/D$12)</f>
        <v>4.7771457379052133E-2</v>
      </c>
      <c r="G90" s="4"/>
      <c r="H90" s="4">
        <v>20754.710000000003</v>
      </c>
      <c r="I90" s="4"/>
      <c r="J90" s="12">
        <f>IF(H$12=0,0,H90/H$12)</f>
        <v>4.0968528900340376E-2</v>
      </c>
      <c r="K90" s="4"/>
      <c r="L90" s="4">
        <f>+D90-H90</f>
        <v>-18374.350000000002</v>
      </c>
      <c r="M90" s="4"/>
      <c r="N90" s="12">
        <f>IF(H90=0,0,L90/H90)</f>
        <v>-0.88530988869514438</v>
      </c>
      <c r="O90" s="10"/>
      <c r="P90" s="4">
        <v>11676.06</v>
      </c>
      <c r="Q90" s="4"/>
      <c r="R90" s="12">
        <f>IF(P$12=0,0,P90/P$12)</f>
        <v>0.16883654346694429</v>
      </c>
      <c r="S90" s="4"/>
      <c r="T90" s="4">
        <v>126681.01999999999</v>
      </c>
      <c r="U90" s="4"/>
      <c r="V90" s="12">
        <f>IF(T$12=0,0,T90/T$12)</f>
        <v>0.12468172853388261</v>
      </c>
      <c r="W90" s="4"/>
      <c r="X90" s="4">
        <f>+P90-T90</f>
        <v>-115004.95999999999</v>
      </c>
      <c r="Y90" s="4"/>
      <c r="Z90" s="12">
        <f>IF(T90=0,0,X90/T90)</f>
        <v>-0.90783102314774544</v>
      </c>
    </row>
    <row r="91" spans="1:26" x14ac:dyDescent="0.25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.75" thickBot="1" x14ac:dyDescent="0.3">
      <c r="A92" s="10"/>
      <c r="B92" s="26" t="s">
        <v>4</v>
      </c>
      <c r="C92" s="26"/>
      <c r="D92" s="36">
        <f>+D88-D90</f>
        <v>-196717.22999999992</v>
      </c>
      <c r="E92" s="13"/>
      <c r="F92" s="34">
        <f>IF(D$12=0,0,D92/D$12)</f>
        <v>-3.9479191251198102</v>
      </c>
      <c r="G92" s="13"/>
      <c r="H92" s="36">
        <f>+H88-H90</f>
        <v>-26737.750000000098</v>
      </c>
      <c r="I92" s="13"/>
      <c r="J92" s="34">
        <f>IF(H$12=0,0,H92/H$12)</f>
        <v>-5.2778684144711235E-2</v>
      </c>
      <c r="K92" s="16"/>
      <c r="L92" s="36">
        <f>D92-H92</f>
        <v>-169979.47999999984</v>
      </c>
      <c r="M92" s="16"/>
      <c r="N92" s="34">
        <f>IF(H92=0,0,L92/H92)</f>
        <v>6.357284363867536</v>
      </c>
      <c r="O92" s="25"/>
      <c r="P92" s="36">
        <f>+P88-P90</f>
        <v>-384344.62999999995</v>
      </c>
      <c r="Q92" s="13"/>
      <c r="R92" s="34">
        <f>IF(P$12=0,0,P92/P$12)</f>
        <v>-5.5576469142229152</v>
      </c>
      <c r="S92" s="13"/>
      <c r="T92" s="36">
        <f>+T88-T90</f>
        <v>-187257.36999999973</v>
      </c>
      <c r="U92" s="13"/>
      <c r="V92" s="34">
        <f>IF(T$12=0,0,T92/T$12)</f>
        <v>-0.18430205702723884</v>
      </c>
      <c r="W92" s="16"/>
      <c r="X92" s="36">
        <f>P92-T92</f>
        <v>-197087.26000000021</v>
      </c>
      <c r="Y92" s="16"/>
      <c r="Z92" s="34">
        <f>IF(T92=0,0,X92/T92)</f>
        <v>1.052494008647032</v>
      </c>
    </row>
    <row r="93" spans="1:26" ht="15.75" thickTop="1" x14ac:dyDescent="0.25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25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.75" thickBot="1" x14ac:dyDescent="0.3">
      <c r="A95" s="10"/>
      <c r="B95" s="26" t="s">
        <v>5</v>
      </c>
      <c r="C95" s="26"/>
      <c r="D95" s="30">
        <f>SUM(D92:D94)</f>
        <v>-196717.22999999992</v>
      </c>
      <c r="E95" s="13"/>
      <c r="F95" s="31">
        <f>IF(D$12=0,0,D95/D$12)</f>
        <v>-3.9479191251198102</v>
      </c>
      <c r="G95" s="13"/>
      <c r="H95" s="30">
        <f>SUM(H92:H94)</f>
        <v>-26737.750000000098</v>
      </c>
      <c r="I95" s="13"/>
      <c r="J95" s="31">
        <f>IF(H$12=0,0,H95/H$12)</f>
        <v>-5.2778684144711235E-2</v>
      </c>
      <c r="K95" s="16"/>
      <c r="L95" s="30">
        <f>+D95-H95</f>
        <v>-169979.47999999984</v>
      </c>
      <c r="M95" s="16"/>
      <c r="N95" s="31">
        <f>IF(H95=0,0,L95/H95)</f>
        <v>6.357284363867536</v>
      </c>
      <c r="O95" s="25"/>
      <c r="P95" s="30">
        <f>SUM(P92:P94)</f>
        <v>-384344.62999999995</v>
      </c>
      <c r="Q95" s="13"/>
      <c r="R95" s="31">
        <f>IF(P$12=0,0,P95/P$12)</f>
        <v>-5.5576469142229152</v>
      </c>
      <c r="S95" s="13"/>
      <c r="T95" s="30">
        <f>SUM(T92:T94)</f>
        <v>-187257.36999999973</v>
      </c>
      <c r="U95" s="13"/>
      <c r="V95" s="31">
        <f>IF(T$12=0,0,T95/T$12)</f>
        <v>-0.18430205702723884</v>
      </c>
      <c r="W95" s="16"/>
      <c r="X95" s="30">
        <f>+P95-T95</f>
        <v>-197087.26000000021</v>
      </c>
      <c r="Y95" s="16"/>
      <c r="Z95" s="31">
        <f>IF(T95=0,0,X95/T95)</f>
        <v>1.052494008647032</v>
      </c>
    </row>
    <row r="96" spans="1:26" ht="15.75" thickTop="1" x14ac:dyDescent="0.25">
      <c r="A96" s="9"/>
      <c r="C96" s="9"/>
      <c r="D96" s="18"/>
      <c r="E96" s="18"/>
      <c r="G96" s="18"/>
      <c r="H96" s="18"/>
      <c r="I96" s="18"/>
      <c r="J96" s="43"/>
      <c r="K96" s="18"/>
      <c r="L96" s="18"/>
      <c r="M96" s="18"/>
      <c r="P96" s="18"/>
      <c r="Q96" s="18"/>
      <c r="R96" s="43"/>
      <c r="S96" s="18"/>
      <c r="T96" s="18"/>
      <c r="U96" s="18"/>
      <c r="V96" s="43"/>
      <c r="W96" s="18"/>
      <c r="X96" s="18"/>
    </row>
    <row r="97" spans="1:24" x14ac:dyDescent="0.25">
      <c r="A97" s="9"/>
      <c r="B97" s="61">
        <v>44113.695894560187</v>
      </c>
      <c r="D97" s="18"/>
      <c r="E97" s="18"/>
      <c r="G97" s="18"/>
      <c r="H97" s="18"/>
      <c r="I97" s="18"/>
      <c r="J97" s="43"/>
      <c r="K97" s="18"/>
      <c r="L97" s="18"/>
      <c r="M97" s="18"/>
      <c r="P97" s="18"/>
      <c r="Q97" s="18"/>
      <c r="R97" s="43"/>
      <c r="S97" s="18"/>
      <c r="T97" s="18"/>
      <c r="U97" s="18"/>
      <c r="V97" s="43"/>
      <c r="W97" s="18"/>
      <c r="X97" s="18"/>
    </row>
    <row r="98" spans="1:24" x14ac:dyDescent="0.25">
      <c r="A98" s="9"/>
      <c r="B98" s="56" t="s">
        <v>313</v>
      </c>
      <c r="D98" s="18"/>
      <c r="E98" s="18"/>
      <c r="G98" s="18"/>
      <c r="H98" s="18"/>
      <c r="I98" s="18"/>
      <c r="J98" s="43"/>
      <c r="K98" s="18"/>
      <c r="L98" s="18"/>
      <c r="M98" s="18"/>
      <c r="P98" s="18"/>
      <c r="Q98" s="18"/>
      <c r="R98" s="43"/>
      <c r="S98" s="18"/>
      <c r="T98" s="18"/>
      <c r="U98" s="18"/>
      <c r="V98" s="43"/>
      <c r="W98" s="18"/>
      <c r="X98" s="18"/>
    </row>
    <row r="99" spans="1:24" x14ac:dyDescent="0.25">
      <c r="A99" s="9"/>
      <c r="B99" s="58"/>
      <c r="D99" s="18"/>
      <c r="E99" s="18"/>
      <c r="G99" s="18"/>
      <c r="H99" s="18"/>
      <c r="I99" s="18"/>
      <c r="J99" s="43"/>
      <c r="K99" s="18"/>
      <c r="L99" s="18"/>
      <c r="M99" s="18"/>
      <c r="P99" s="18"/>
      <c r="Q99" s="18"/>
      <c r="R99" s="43"/>
      <c r="S99" s="18"/>
      <c r="T99" s="18"/>
      <c r="U99" s="18"/>
      <c r="V99" s="43"/>
      <c r="W99" s="18"/>
      <c r="X99" s="18"/>
    </row>
    <row r="100" spans="1:24" x14ac:dyDescent="0.25">
      <c r="D100" s="18"/>
      <c r="E100" s="18"/>
      <c r="G100" s="18"/>
      <c r="H100" s="18"/>
      <c r="I100" s="18"/>
      <c r="J100" s="43"/>
      <c r="K100" s="18"/>
      <c r="L100" s="18"/>
      <c r="M100" s="18"/>
      <c r="P100" s="18"/>
      <c r="Q100" s="18"/>
      <c r="R100" s="43"/>
      <c r="S100" s="18"/>
      <c r="T100" s="18"/>
      <c r="U100" s="18"/>
      <c r="V100" s="43"/>
      <c r="W100" s="18"/>
      <c r="X100" s="18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","430", " - ", "Res Hall Management")</f>
        <v>Department 430 - Res Hall Management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25">
      <c r="A12" s="10"/>
      <c r="B12" s="25" t="s">
        <v>7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25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25">
      <c r="A14" s="10"/>
      <c r="B14" s="25" t="s">
        <v>8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25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25">
      <c r="A16" s="10"/>
      <c r="B16" s="26" t="s">
        <v>6</v>
      </c>
      <c r="C16" s="26"/>
      <c r="D16" s="22">
        <f>D12-D14</f>
        <v>0</v>
      </c>
      <c r="E16" s="13"/>
      <c r="F16" s="21">
        <f>IF(D$12=0,0,D16/D$12)</f>
        <v>0</v>
      </c>
      <c r="G16" s="13"/>
      <c r="H16" s="22">
        <f>H12-H14</f>
        <v>0</v>
      </c>
      <c r="I16" s="13"/>
      <c r="J16" s="21">
        <f>IF(H$12=0,0,H16/H$12)</f>
        <v>0</v>
      </c>
      <c r="K16" s="16"/>
      <c r="L16" s="22">
        <f>+D16-H16</f>
        <v>0</v>
      </c>
      <c r="M16" s="16"/>
      <c r="N16" s="21">
        <f>IF(H16=0,0,L16/H16)</f>
        <v>0</v>
      </c>
      <c r="O16" s="25"/>
      <c r="P16" s="22">
        <f>P12-P14</f>
        <v>0</v>
      </c>
      <c r="Q16" s="13"/>
      <c r="R16" s="21">
        <f>IF(P$12=0,0,P16/P$12)</f>
        <v>0</v>
      </c>
      <c r="S16" s="13"/>
      <c r="T16" s="22">
        <f>T12-T14</f>
        <v>0</v>
      </c>
      <c r="U16" s="13"/>
      <c r="V16" s="21">
        <f>IF(T$12=0,0,T16/T$12)</f>
        <v>0</v>
      </c>
      <c r="W16" s="16"/>
      <c r="X16" s="22">
        <f>+P16-T16</f>
        <v>0</v>
      </c>
      <c r="Y16" s="16"/>
      <c r="Z16" s="21">
        <f>IF(T16=0,0,X16/T16)</f>
        <v>0</v>
      </c>
    </row>
    <row r="17" spans="1:26" x14ac:dyDescent="0.25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25">
      <c r="A18" s="10"/>
      <c r="B18" s="25" t="s">
        <v>9</v>
      </c>
      <c r="C18" s="10"/>
      <c r="D18" s="20">
        <f>SUM(OSRRefD22x_0)</f>
        <v>10800.34</v>
      </c>
      <c r="E18" s="20"/>
      <c r="F18" s="35">
        <f t="shared" ref="F18:F27" si="0">IF(D$12=0,0,D18/D$12)</f>
        <v>0</v>
      </c>
      <c r="G18" s="20"/>
      <c r="H18" s="20">
        <f>SUM(OSRRefH22x_0)</f>
        <v>11117.11</v>
      </c>
      <c r="I18" s="20"/>
      <c r="J18" s="35">
        <f t="shared" ref="J18:J27" si="1">IF(H$12=0,0,H18/H$12)</f>
        <v>0</v>
      </c>
      <c r="K18" s="4"/>
      <c r="L18" s="20">
        <f t="shared" ref="L18:L27" si="2">+D18-H18</f>
        <v>-316.77000000000044</v>
      </c>
      <c r="M18" s="4"/>
      <c r="N18" s="35">
        <f t="shared" ref="N18:N27" si="3">IF(H18=0,0,L18/H18)</f>
        <v>-2.8493916134678925E-2</v>
      </c>
      <c r="O18" s="10"/>
      <c r="P18" s="20">
        <f>SUM(OSRRefP22x_0)</f>
        <v>32322.329999999998</v>
      </c>
      <c r="Q18" s="20"/>
      <c r="R18" s="35">
        <f t="shared" ref="R18:R27" si="4">IF(P$12=0,0,P18/P$12)</f>
        <v>0</v>
      </c>
      <c r="S18" s="20"/>
      <c r="T18" s="20">
        <f>SUM(OSRRefT22x_0)</f>
        <v>26034.37</v>
      </c>
      <c r="U18" s="20"/>
      <c r="V18" s="35">
        <f t="shared" ref="V18:V27" si="5">IF(T$12=0,0,T18/T$12)</f>
        <v>0</v>
      </c>
      <c r="W18" s="4"/>
      <c r="X18" s="20">
        <f t="shared" ref="X18:X27" si="6">+P18-T18</f>
        <v>6287.9599999999991</v>
      </c>
      <c r="Y18" s="4"/>
      <c r="Z18" s="35">
        <f t="shared" ref="Z18:Z27" si="7">IF(T18=0,0,X18/T18)</f>
        <v>0.24152533746735563</v>
      </c>
    </row>
    <row r="19" spans="1:26" s="28" customFormat="1" outlineLevel="1" collapsed="1" x14ac:dyDescent="0.25">
      <c r="A19" s="27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5374.62</v>
      </c>
      <c r="E19" s="1"/>
      <c r="F19" s="5">
        <f t="shared" si="0"/>
        <v>0</v>
      </c>
      <c r="G19" s="1"/>
      <c r="H19" s="1">
        <f>SUM(OSRRefH22_0x_0)</f>
        <v>5537.42</v>
      </c>
      <c r="I19" s="1"/>
      <c r="J19" s="5">
        <f t="shared" si="1"/>
        <v>0</v>
      </c>
      <c r="K19" s="1"/>
      <c r="L19" s="1">
        <f t="shared" si="2"/>
        <v>-162.80000000000018</v>
      </c>
      <c r="M19" s="1"/>
      <c r="N19" s="5">
        <f t="shared" si="3"/>
        <v>-2.9399973272751602E-2</v>
      </c>
      <c r="O19" s="14"/>
      <c r="P19" s="1">
        <f>SUM(OSRRefP22_0x_0)</f>
        <v>10707.87</v>
      </c>
      <c r="Q19" s="1"/>
      <c r="R19" s="5">
        <f t="shared" si="4"/>
        <v>0</v>
      </c>
      <c r="S19" s="1"/>
      <c r="T19" s="1">
        <f>SUM(OSRRefT22_0x_0)</f>
        <v>11599.640000000001</v>
      </c>
      <c r="U19" s="1"/>
      <c r="V19" s="5">
        <f t="shared" si="5"/>
        <v>0</v>
      </c>
      <c r="W19" s="1"/>
      <c r="X19" s="1">
        <f t="shared" si="6"/>
        <v>-891.77000000000044</v>
      </c>
      <c r="Y19" s="1"/>
      <c r="Z19" s="5">
        <f t="shared" si="7"/>
        <v>-7.6879110041346135E-2</v>
      </c>
    </row>
    <row r="20" spans="1:26" s="24" customFormat="1" hidden="1" outlineLevel="2" x14ac:dyDescent="0.25">
      <c r="A20" s="29"/>
      <c r="B20" s="11" t="str">
        <f>CONCATENATE("          ", "6111", " - ", "F.I.C.A.")</f>
        <v xml:space="preserve">          6111 - F.I.C.A.</v>
      </c>
      <c r="C20" s="11"/>
      <c r="D20" s="7">
        <v>685.42</v>
      </c>
      <c r="E20" s="2"/>
      <c r="F20" s="6">
        <f t="shared" si="0"/>
        <v>0</v>
      </c>
      <c r="G20" s="2"/>
      <c r="H20" s="7">
        <v>623.1</v>
      </c>
      <c r="I20" s="2"/>
      <c r="J20" s="6">
        <f t="shared" si="1"/>
        <v>0</v>
      </c>
      <c r="K20" s="2"/>
      <c r="L20" s="7">
        <f t="shared" si="2"/>
        <v>62.319999999999936</v>
      </c>
      <c r="M20" s="2"/>
      <c r="N20" s="6">
        <f t="shared" si="3"/>
        <v>0.10001604878831638</v>
      </c>
      <c r="O20" s="11"/>
      <c r="P20" s="7">
        <v>1370.84</v>
      </c>
      <c r="Q20" s="2"/>
      <c r="R20" s="6">
        <f t="shared" si="4"/>
        <v>0</v>
      </c>
      <c r="S20" s="2"/>
      <c r="T20" s="7">
        <v>1246.2</v>
      </c>
      <c r="U20" s="2"/>
      <c r="V20" s="6">
        <f t="shared" si="5"/>
        <v>0</v>
      </c>
      <c r="W20" s="2"/>
      <c r="X20" s="7">
        <f t="shared" si="6"/>
        <v>124.63999999999987</v>
      </c>
      <c r="Y20" s="2"/>
      <c r="Z20" s="6">
        <f t="shared" si="7"/>
        <v>0.10001604878831638</v>
      </c>
    </row>
    <row r="21" spans="1:26" s="24" customFormat="1" hidden="1" outlineLevel="2" x14ac:dyDescent="0.25">
      <c r="A21" s="29"/>
      <c r="B21" s="11" t="str">
        <f>CONCATENATE("          ", "6112", " - ", "COMPENSATION INSURANCE")</f>
        <v xml:space="preserve">          6112 - COMPENSATION INSURANCE</v>
      </c>
      <c r="C21" s="11"/>
      <c r="D21" s="7">
        <v>384.36</v>
      </c>
      <c r="E21" s="2"/>
      <c r="F21" s="6">
        <f t="shared" si="0"/>
        <v>0</v>
      </c>
      <c r="G21" s="2"/>
      <c r="H21" s="7">
        <v>316.02999999999997</v>
      </c>
      <c r="I21" s="2"/>
      <c r="J21" s="6">
        <f t="shared" si="1"/>
        <v>0</v>
      </c>
      <c r="K21" s="2"/>
      <c r="L21" s="7">
        <f t="shared" si="2"/>
        <v>68.330000000000041</v>
      </c>
      <c r="M21" s="2"/>
      <c r="N21" s="6">
        <f t="shared" si="3"/>
        <v>0.21621365060279102</v>
      </c>
      <c r="O21" s="11"/>
      <c r="P21" s="7">
        <v>768.72</v>
      </c>
      <c r="Q21" s="2"/>
      <c r="R21" s="6">
        <f t="shared" si="4"/>
        <v>0</v>
      </c>
      <c r="S21" s="2"/>
      <c r="T21" s="7">
        <v>632.05999999999995</v>
      </c>
      <c r="U21" s="2"/>
      <c r="V21" s="6">
        <f t="shared" si="5"/>
        <v>0</v>
      </c>
      <c r="W21" s="2"/>
      <c r="X21" s="7">
        <f t="shared" si="6"/>
        <v>136.66000000000008</v>
      </c>
      <c r="Y21" s="2"/>
      <c r="Z21" s="6">
        <f t="shared" si="7"/>
        <v>0.21621365060279102</v>
      </c>
    </row>
    <row r="22" spans="1:26" s="24" customFormat="1" hidden="1" outlineLevel="2" x14ac:dyDescent="0.25">
      <c r="A22" s="29"/>
      <c r="B22" s="11" t="str">
        <f>CONCATENATE("          ", "6113", " - ", "GROUP INSURANCE")</f>
        <v xml:space="preserve">          6113 - GROUP INSURANCE</v>
      </c>
      <c r="C22" s="11"/>
      <c r="D22" s="7">
        <v>2737.9</v>
      </c>
      <c r="E22" s="2"/>
      <c r="F22" s="6">
        <f t="shared" si="0"/>
        <v>0</v>
      </c>
      <c r="G22" s="2"/>
      <c r="H22" s="7">
        <v>2730.6</v>
      </c>
      <c r="I22" s="2"/>
      <c r="J22" s="6">
        <f t="shared" si="1"/>
        <v>0</v>
      </c>
      <c r="K22" s="2"/>
      <c r="L22" s="7">
        <f t="shared" si="2"/>
        <v>7.3000000000001819</v>
      </c>
      <c r="M22" s="2"/>
      <c r="N22" s="6">
        <f t="shared" si="3"/>
        <v>2.6734051124295694E-3</v>
      </c>
      <c r="O22" s="11"/>
      <c r="P22" s="7">
        <v>5475.8</v>
      </c>
      <c r="Q22" s="2"/>
      <c r="R22" s="6">
        <f t="shared" si="4"/>
        <v>0</v>
      </c>
      <c r="S22" s="2"/>
      <c r="T22" s="7">
        <v>5461.2</v>
      </c>
      <c r="U22" s="2"/>
      <c r="V22" s="6">
        <f t="shared" si="5"/>
        <v>0</v>
      </c>
      <c r="W22" s="2"/>
      <c r="X22" s="7">
        <f t="shared" si="6"/>
        <v>14.600000000000364</v>
      </c>
      <c r="Y22" s="2"/>
      <c r="Z22" s="6">
        <f t="shared" si="7"/>
        <v>2.6734051124295694E-3</v>
      </c>
    </row>
    <row r="23" spans="1:26" s="24" customFormat="1" hidden="1" outlineLevel="2" x14ac:dyDescent="0.25">
      <c r="A23" s="29"/>
      <c r="B23" s="11" t="str">
        <f>CONCATENATE("          ", "6114", " - ", "STATE UNEMPLOYMENT INSURANCE")</f>
        <v xml:space="preserve">          6114 - STATE UNEMPLOYMENT INSURANCE</v>
      </c>
      <c r="C23" s="11"/>
      <c r="D23" s="7">
        <v>23.29</v>
      </c>
      <c r="E23" s="2"/>
      <c r="F23" s="6">
        <f t="shared" si="0"/>
        <v>0</v>
      </c>
      <c r="G23" s="2"/>
      <c r="H23" s="7">
        <v>21.18</v>
      </c>
      <c r="I23" s="2"/>
      <c r="J23" s="6">
        <f t="shared" si="1"/>
        <v>0</v>
      </c>
      <c r="K23" s="2"/>
      <c r="L23" s="7">
        <f t="shared" si="2"/>
        <v>2.1099999999999994</v>
      </c>
      <c r="M23" s="2"/>
      <c r="N23" s="6">
        <f t="shared" si="3"/>
        <v>9.9622285174693084E-2</v>
      </c>
      <c r="O23" s="11"/>
      <c r="P23" s="7">
        <v>46.58</v>
      </c>
      <c r="Q23" s="2"/>
      <c r="R23" s="6">
        <f t="shared" si="4"/>
        <v>0</v>
      </c>
      <c r="S23" s="2"/>
      <c r="T23" s="7">
        <v>42.36</v>
      </c>
      <c r="U23" s="2"/>
      <c r="V23" s="6">
        <f t="shared" si="5"/>
        <v>0</v>
      </c>
      <c r="W23" s="2"/>
      <c r="X23" s="7">
        <f t="shared" si="6"/>
        <v>4.2199999999999989</v>
      </c>
      <c r="Y23" s="2"/>
      <c r="Z23" s="6">
        <f t="shared" si="7"/>
        <v>9.9622285174693084E-2</v>
      </c>
    </row>
    <row r="24" spans="1:26" s="24" customFormat="1" hidden="1" outlineLevel="2" x14ac:dyDescent="0.25">
      <c r="A24" s="29"/>
      <c r="B24" s="11" t="str">
        <f>CONCATENATE("          ", "6115", " - ", "P.E.R.S.")</f>
        <v xml:space="preserve">          6115 - P.E.R.S.</v>
      </c>
      <c r="C24" s="11"/>
      <c r="D24" s="7">
        <v>692.57</v>
      </c>
      <c r="E24" s="2"/>
      <c r="F24" s="6">
        <f t="shared" si="0"/>
        <v>0</v>
      </c>
      <c r="G24" s="2"/>
      <c r="H24" s="7">
        <v>568.92999999999995</v>
      </c>
      <c r="I24" s="2"/>
      <c r="J24" s="6">
        <f t="shared" si="1"/>
        <v>0</v>
      </c>
      <c r="K24" s="2"/>
      <c r="L24" s="7">
        <f t="shared" si="2"/>
        <v>123.6400000000001</v>
      </c>
      <c r="M24" s="2"/>
      <c r="N24" s="6">
        <f t="shared" si="3"/>
        <v>0.21732023271755771</v>
      </c>
      <c r="O24" s="11"/>
      <c r="P24" s="7">
        <v>1731.43</v>
      </c>
      <c r="Q24" s="2"/>
      <c r="R24" s="6">
        <f t="shared" si="4"/>
        <v>0</v>
      </c>
      <c r="S24" s="2"/>
      <c r="T24" s="7">
        <v>1137.8599999999999</v>
      </c>
      <c r="U24" s="2"/>
      <c r="V24" s="6">
        <f t="shared" si="5"/>
        <v>0</v>
      </c>
      <c r="W24" s="2"/>
      <c r="X24" s="7">
        <f t="shared" si="6"/>
        <v>593.57000000000016</v>
      </c>
      <c r="Y24" s="2"/>
      <c r="Z24" s="6">
        <f t="shared" si="7"/>
        <v>0.5216546851106465</v>
      </c>
    </row>
    <row r="25" spans="1:26" s="24" customFormat="1" hidden="1" outlineLevel="2" x14ac:dyDescent="0.25">
      <c r="A25" s="29"/>
      <c r="B25" s="11" t="str">
        <f>CONCATENATE("          ", "6118", " - ", "VACATION")</f>
        <v xml:space="preserve">          6118 - VACATION</v>
      </c>
      <c r="C25" s="11"/>
      <c r="D25" s="7">
        <v>413.82</v>
      </c>
      <c r="E25" s="2"/>
      <c r="F25" s="6">
        <f t="shared" si="0"/>
        <v>0</v>
      </c>
      <c r="G25" s="2"/>
      <c r="H25" s="7">
        <v>752.4</v>
      </c>
      <c r="I25" s="2"/>
      <c r="J25" s="6">
        <f t="shared" si="1"/>
        <v>0</v>
      </c>
      <c r="K25" s="2"/>
      <c r="L25" s="7">
        <f t="shared" si="2"/>
        <v>-338.58</v>
      </c>
      <c r="M25" s="2"/>
      <c r="N25" s="6">
        <f t="shared" si="3"/>
        <v>-0.45</v>
      </c>
      <c r="O25" s="11"/>
      <c r="P25" s="7">
        <v>447.98</v>
      </c>
      <c r="Q25" s="2"/>
      <c r="R25" s="6">
        <f t="shared" si="4"/>
        <v>0</v>
      </c>
      <c r="S25" s="2"/>
      <c r="T25" s="7">
        <v>1845.25</v>
      </c>
      <c r="U25" s="2"/>
      <c r="V25" s="6">
        <f t="shared" si="5"/>
        <v>0</v>
      </c>
      <c r="W25" s="2"/>
      <c r="X25" s="7">
        <f t="shared" si="6"/>
        <v>-1397.27</v>
      </c>
      <c r="Y25" s="2"/>
      <c r="Z25" s="6">
        <f t="shared" si="7"/>
        <v>-0.75722530822381795</v>
      </c>
    </row>
    <row r="26" spans="1:26" s="24" customFormat="1" hidden="1" outlineLevel="2" x14ac:dyDescent="0.25">
      <c r="A26" s="29"/>
      <c r="B26" s="11" t="str">
        <f>CONCATENATE("          ", "6119", " - ", "SICK LEAVE")</f>
        <v xml:space="preserve">          6119 - SICK LEAVE</v>
      </c>
      <c r="C26" s="11"/>
      <c r="D26" s="7">
        <v>413.26</v>
      </c>
      <c r="E26" s="2"/>
      <c r="F26" s="6">
        <f t="shared" si="0"/>
        <v>0</v>
      </c>
      <c r="G26" s="2"/>
      <c r="H26" s="7">
        <v>375.68</v>
      </c>
      <c r="I26" s="2"/>
      <c r="J26" s="6">
        <f t="shared" si="1"/>
        <v>0</v>
      </c>
      <c r="K26" s="2"/>
      <c r="L26" s="7">
        <f t="shared" si="2"/>
        <v>37.579999999999984</v>
      </c>
      <c r="M26" s="2"/>
      <c r="N26" s="6">
        <f t="shared" si="3"/>
        <v>0.10003194207836452</v>
      </c>
      <c r="O26" s="11"/>
      <c r="P26" s="7">
        <v>826.52</v>
      </c>
      <c r="Q26" s="2"/>
      <c r="R26" s="6">
        <f t="shared" si="4"/>
        <v>0</v>
      </c>
      <c r="S26" s="2"/>
      <c r="T26" s="7">
        <v>981.86</v>
      </c>
      <c r="U26" s="2"/>
      <c r="V26" s="6">
        <f t="shared" si="5"/>
        <v>0</v>
      </c>
      <c r="W26" s="2"/>
      <c r="X26" s="7">
        <f t="shared" si="6"/>
        <v>-155.34000000000003</v>
      </c>
      <c r="Y26" s="2"/>
      <c r="Z26" s="6">
        <f t="shared" si="7"/>
        <v>-0.15820992809565521</v>
      </c>
    </row>
    <row r="27" spans="1:26" s="24" customFormat="1" hidden="1" outlineLevel="2" x14ac:dyDescent="0.25">
      <c r="A27" s="29"/>
      <c r="B27" s="11" t="str">
        <f>CONCATENATE("          ", "6156", " - ", "EMPLOYEE MEALS")</f>
        <v xml:space="preserve">          6156 - EMPLOYEE MEALS</v>
      </c>
      <c r="C27" s="11"/>
      <c r="D27" s="7">
        <v>24</v>
      </c>
      <c r="E27" s="2"/>
      <c r="F27" s="6">
        <f t="shared" si="0"/>
        <v>0</v>
      </c>
      <c r="G27" s="2"/>
      <c r="H27" s="7">
        <v>149.5</v>
      </c>
      <c r="I27" s="2"/>
      <c r="J27" s="6">
        <f t="shared" si="1"/>
        <v>0</v>
      </c>
      <c r="K27" s="2"/>
      <c r="L27" s="7">
        <f t="shared" si="2"/>
        <v>-125.5</v>
      </c>
      <c r="M27" s="2"/>
      <c r="N27" s="6">
        <f t="shared" si="3"/>
        <v>-0.83946488294314381</v>
      </c>
      <c r="O27" s="11"/>
      <c r="P27" s="7">
        <v>40</v>
      </c>
      <c r="Q27" s="2"/>
      <c r="R27" s="6">
        <f t="shared" si="4"/>
        <v>0</v>
      </c>
      <c r="S27" s="2"/>
      <c r="T27" s="7">
        <v>252.85</v>
      </c>
      <c r="U27" s="2"/>
      <c r="V27" s="6">
        <f t="shared" si="5"/>
        <v>0</v>
      </c>
      <c r="W27" s="2"/>
      <c r="X27" s="7">
        <f t="shared" si="6"/>
        <v>-212.85</v>
      </c>
      <c r="Y27" s="2"/>
      <c r="Z27" s="6">
        <f t="shared" si="7"/>
        <v>-0.84180344077516311</v>
      </c>
    </row>
    <row r="28" spans="1:26" s="28" customFormat="1" outlineLevel="1" collapsed="1" x14ac:dyDescent="0.25">
      <c r="A28" s="27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5375.72</v>
      </c>
      <c r="E28" s="1"/>
      <c r="F28" s="5">
        <f t="shared" ref="F28:F34" si="8">IF(D$12=0,0,D28/D$12)</f>
        <v>0</v>
      </c>
      <c r="G28" s="1"/>
      <c r="H28" s="1">
        <f>SUM(OSRRefH22_1x_0)</f>
        <v>5294.28</v>
      </c>
      <c r="I28" s="1"/>
      <c r="J28" s="5">
        <f t="shared" ref="J28:J34" si="9">IF(H$12=0,0,H28/H$12)</f>
        <v>0</v>
      </c>
      <c r="K28" s="1"/>
      <c r="L28" s="1">
        <f t="shared" ref="L28:L34" si="10">+D28-H28</f>
        <v>81.440000000000509</v>
      </c>
      <c r="M28" s="1"/>
      <c r="N28" s="5">
        <f t="shared" ref="N28:N34" si="11">IF(H28=0,0,L28/H28)</f>
        <v>1.5382639376836985E-2</v>
      </c>
      <c r="O28" s="14"/>
      <c r="P28" s="1">
        <f>SUM(OSRRefP22_1x_0)</f>
        <v>16575.259999999998</v>
      </c>
      <c r="Q28" s="1"/>
      <c r="R28" s="5">
        <f t="shared" ref="R28:R34" si="12">IF(P$12=0,0,P28/P$12)</f>
        <v>0</v>
      </c>
      <c r="S28" s="1"/>
      <c r="T28" s="1">
        <f>SUM(OSRRefT22_1x_0)</f>
        <v>13031.81</v>
      </c>
      <c r="U28" s="1"/>
      <c r="V28" s="5">
        <f t="shared" ref="V28:V34" si="13">IF(T$12=0,0,T28/T$12)</f>
        <v>0</v>
      </c>
      <c r="W28" s="1"/>
      <c r="X28" s="1">
        <f t="shared" ref="X28:X34" si="14">+P28-T28</f>
        <v>3543.4499999999989</v>
      </c>
      <c r="Y28" s="1"/>
      <c r="Z28" s="5">
        <f t="shared" ref="Z28:Z34" si="15">IF(T28=0,0,X28/T28)</f>
        <v>0.27190773960025499</v>
      </c>
    </row>
    <row r="29" spans="1:26" s="24" customFormat="1" hidden="1" outlineLevel="2" x14ac:dyDescent="0.25">
      <c r="A29" s="29"/>
      <c r="B29" s="11" t="str">
        <f>CONCATENATE("          ", "6001", " - ", "ADMINISTRATIVE SALARIES")</f>
        <v xml:space="preserve">          6001 - ADMINISTRATIVE SALARIES</v>
      </c>
      <c r="C29" s="11"/>
      <c r="D29" s="7">
        <v>5375.72</v>
      </c>
      <c r="E29" s="2"/>
      <c r="F29" s="6">
        <f t="shared" si="8"/>
        <v>0</v>
      </c>
      <c r="G29" s="2"/>
      <c r="H29" s="7">
        <v>5294.28</v>
      </c>
      <c r="I29" s="2"/>
      <c r="J29" s="6">
        <f t="shared" si="9"/>
        <v>0</v>
      </c>
      <c r="K29" s="2"/>
      <c r="L29" s="7">
        <f t="shared" si="10"/>
        <v>81.440000000000509</v>
      </c>
      <c r="M29" s="2"/>
      <c r="N29" s="6">
        <f t="shared" si="11"/>
        <v>1.5382639376836985E-2</v>
      </c>
      <c r="O29" s="11"/>
      <c r="P29" s="7">
        <v>16575.259999999998</v>
      </c>
      <c r="Q29" s="2"/>
      <c r="R29" s="6">
        <f t="shared" si="12"/>
        <v>0</v>
      </c>
      <c r="S29" s="2"/>
      <c r="T29" s="7">
        <v>13031.81</v>
      </c>
      <c r="U29" s="2"/>
      <c r="V29" s="6">
        <f t="shared" si="13"/>
        <v>0</v>
      </c>
      <c r="W29" s="2"/>
      <c r="X29" s="7">
        <f t="shared" si="14"/>
        <v>3543.4499999999989</v>
      </c>
      <c r="Y29" s="2"/>
      <c r="Z29" s="6">
        <f t="shared" si="15"/>
        <v>0.27190773960025499</v>
      </c>
    </row>
    <row r="30" spans="1:26" s="28" customFormat="1" outlineLevel="1" collapsed="1" x14ac:dyDescent="0.25">
      <c r="A30" s="27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0</v>
      </c>
      <c r="Q30" s="1"/>
      <c r="R30" s="5">
        <f t="shared" si="12"/>
        <v>0</v>
      </c>
      <c r="S30" s="1"/>
      <c r="T30" s="1">
        <f>SUM(OSRRefT22_2x_0)</f>
        <v>127.55</v>
      </c>
      <c r="U30" s="1"/>
      <c r="V30" s="5">
        <f t="shared" si="13"/>
        <v>0</v>
      </c>
      <c r="W30" s="1"/>
      <c r="X30" s="1">
        <f t="shared" si="14"/>
        <v>-127.55</v>
      </c>
      <c r="Y30" s="1"/>
      <c r="Z30" s="5">
        <f t="shared" si="15"/>
        <v>-1</v>
      </c>
    </row>
    <row r="31" spans="1:26" s="24" customFormat="1" hidden="1" outlineLevel="2" x14ac:dyDescent="0.25">
      <c r="A31" s="29"/>
      <c r="B31" s="11" t="str">
        <f>CONCATENATE("          ", "6279", " - ", "GENERAL EXPENSE")</f>
        <v xml:space="preserve">          6279 - GENERAL EXPENSE</v>
      </c>
      <c r="C31" s="11"/>
      <c r="D31" s="7"/>
      <c r="E31" s="2"/>
      <c r="F31" s="6">
        <f t="shared" si="8"/>
        <v>0</v>
      </c>
      <c r="G31" s="2"/>
      <c r="H31" s="7"/>
      <c r="I31" s="2"/>
      <c r="J31" s="6">
        <f t="shared" si="9"/>
        <v>0</v>
      </c>
      <c r="K31" s="2"/>
      <c r="L31" s="7">
        <f t="shared" si="10"/>
        <v>0</v>
      </c>
      <c r="M31" s="2"/>
      <c r="N31" s="6">
        <f t="shared" si="11"/>
        <v>0</v>
      </c>
      <c r="O31" s="11"/>
      <c r="P31" s="7"/>
      <c r="Q31" s="2"/>
      <c r="R31" s="6">
        <f t="shared" si="12"/>
        <v>0</v>
      </c>
      <c r="S31" s="2"/>
      <c r="T31" s="7">
        <v>127.55</v>
      </c>
      <c r="U31" s="2"/>
      <c r="V31" s="6">
        <f t="shared" si="13"/>
        <v>0</v>
      </c>
      <c r="W31" s="2"/>
      <c r="X31" s="7">
        <f t="shared" si="14"/>
        <v>-127.55</v>
      </c>
      <c r="Y31" s="2"/>
      <c r="Z31" s="6">
        <f t="shared" si="15"/>
        <v>-1</v>
      </c>
    </row>
    <row r="32" spans="1:26" s="28" customFormat="1" outlineLevel="1" collapsed="1" x14ac:dyDescent="0.25">
      <c r="A32" s="27"/>
      <c r="B32" s="14" t="str">
        <f>CONCATENATE("     ","Supplies                                          ")</f>
        <v xml:space="preserve">     Supplies              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115.51</v>
      </c>
      <c r="I32" s="1"/>
      <c r="J32" s="5">
        <f t="shared" si="9"/>
        <v>0</v>
      </c>
      <c r="K32" s="1"/>
      <c r="L32" s="1">
        <f t="shared" si="10"/>
        <v>-115.51</v>
      </c>
      <c r="M32" s="1"/>
      <c r="N32" s="5">
        <f t="shared" si="11"/>
        <v>-1</v>
      </c>
      <c r="O32" s="14"/>
      <c r="P32" s="1">
        <f>SUM(OSRRefP22_3x_0)</f>
        <v>4939.2</v>
      </c>
      <c r="Q32" s="1"/>
      <c r="R32" s="5">
        <f t="shared" si="12"/>
        <v>0</v>
      </c>
      <c r="S32" s="1"/>
      <c r="T32" s="1">
        <f>SUM(OSRRefT22_3x_0)</f>
        <v>734.35</v>
      </c>
      <c r="U32" s="1"/>
      <c r="V32" s="5">
        <f t="shared" si="13"/>
        <v>0</v>
      </c>
      <c r="W32" s="1"/>
      <c r="X32" s="1">
        <f t="shared" si="14"/>
        <v>4204.8499999999995</v>
      </c>
      <c r="Y32" s="1"/>
      <c r="Z32" s="5">
        <f t="shared" si="15"/>
        <v>5.7259481173827185</v>
      </c>
    </row>
    <row r="33" spans="1:26" s="24" customFormat="1" hidden="1" outlineLevel="2" x14ac:dyDescent="0.25">
      <c r="A33" s="29"/>
      <c r="B33" s="11" t="str">
        <f>CONCATENATE("          ", "6235", " - ", "COVID-19 EXPENSES")</f>
        <v xml:space="preserve">          6235 - COVID-19 EXPENSES</v>
      </c>
      <c r="C33" s="11"/>
      <c r="D33" s="7"/>
      <c r="E33" s="2"/>
      <c r="F33" s="6">
        <f t="shared" si="8"/>
        <v>0</v>
      </c>
      <c r="G33" s="2"/>
      <c r="H33" s="7"/>
      <c r="I33" s="2"/>
      <c r="J33" s="6">
        <f t="shared" si="9"/>
        <v>0</v>
      </c>
      <c r="K33" s="2"/>
      <c r="L33" s="7">
        <f t="shared" si="10"/>
        <v>0</v>
      </c>
      <c r="M33" s="2"/>
      <c r="N33" s="6">
        <f t="shared" si="11"/>
        <v>0</v>
      </c>
      <c r="O33" s="11"/>
      <c r="P33" s="7">
        <v>4939.2</v>
      </c>
      <c r="Q33" s="2"/>
      <c r="R33" s="6">
        <f t="shared" si="12"/>
        <v>0</v>
      </c>
      <c r="S33" s="2"/>
      <c r="T33" s="7"/>
      <c r="U33" s="2"/>
      <c r="V33" s="6">
        <f t="shared" si="13"/>
        <v>0</v>
      </c>
      <c r="W33" s="2"/>
      <c r="X33" s="7">
        <f t="shared" si="14"/>
        <v>4939.2</v>
      </c>
      <c r="Y33" s="2"/>
      <c r="Z33" s="6">
        <f t="shared" si="15"/>
        <v>0</v>
      </c>
    </row>
    <row r="34" spans="1:26" s="24" customFormat="1" hidden="1" outlineLevel="2" x14ac:dyDescent="0.25">
      <c r="A34" s="29"/>
      <c r="B34" s="11" t="str">
        <f>CONCATENATE("          ", "6241", " - ", "OFFICE EXPENSE")</f>
        <v xml:space="preserve">          6241 - OFFICE EXPENSE</v>
      </c>
      <c r="C34" s="11"/>
      <c r="D34" s="7"/>
      <c r="E34" s="2"/>
      <c r="F34" s="6">
        <f t="shared" si="8"/>
        <v>0</v>
      </c>
      <c r="G34" s="2"/>
      <c r="H34" s="7">
        <v>115.51</v>
      </c>
      <c r="I34" s="2"/>
      <c r="J34" s="6">
        <f t="shared" si="9"/>
        <v>0</v>
      </c>
      <c r="K34" s="2"/>
      <c r="L34" s="7">
        <f t="shared" si="10"/>
        <v>-115.51</v>
      </c>
      <c r="M34" s="2"/>
      <c r="N34" s="6">
        <f t="shared" si="11"/>
        <v>-1</v>
      </c>
      <c r="O34" s="11"/>
      <c r="P34" s="7"/>
      <c r="Q34" s="2"/>
      <c r="R34" s="6">
        <f t="shared" si="12"/>
        <v>0</v>
      </c>
      <c r="S34" s="2"/>
      <c r="T34" s="7">
        <v>734.35</v>
      </c>
      <c r="U34" s="2"/>
      <c r="V34" s="6">
        <f t="shared" si="13"/>
        <v>0</v>
      </c>
      <c r="W34" s="2"/>
      <c r="X34" s="7">
        <f t="shared" si="14"/>
        <v>-734.35</v>
      </c>
      <c r="Y34" s="2"/>
      <c r="Z34" s="6">
        <f t="shared" si="15"/>
        <v>-1</v>
      </c>
    </row>
    <row r="35" spans="1:26" s="28" customFormat="1" outlineLevel="1" collapsed="1" x14ac:dyDescent="0.25">
      <c r="A35" s="27"/>
      <c r="B35" s="14" t="str">
        <f>CONCATENATE("     ","Telephone/Data Lines                              ")</f>
        <v xml:space="preserve">     Telephone/Data Lines                              </v>
      </c>
      <c r="C35" s="14"/>
      <c r="D35" s="1">
        <f>SUM(OSRRefD22_4x_0)</f>
        <v>50</v>
      </c>
      <c r="E35" s="1"/>
      <c r="F35" s="5">
        <f t="shared" ref="F35:F40" si="16">IF(D$12=0,0,D35/D$12)</f>
        <v>0</v>
      </c>
      <c r="G35" s="1"/>
      <c r="H35" s="1">
        <f>SUM(OSRRefH22_4x_0)</f>
        <v>50</v>
      </c>
      <c r="I35" s="1"/>
      <c r="J35" s="5">
        <f t="shared" ref="J35:J40" si="17">IF(H$12=0,0,H35/H$12)</f>
        <v>0</v>
      </c>
      <c r="K35" s="1"/>
      <c r="L35" s="1">
        <f t="shared" ref="L35:L40" si="18">+D35-H35</f>
        <v>0</v>
      </c>
      <c r="M35" s="1"/>
      <c r="N35" s="5">
        <f t="shared" ref="N35:N40" si="19">IF(H35=0,0,L35/H35)</f>
        <v>0</v>
      </c>
      <c r="O35" s="14"/>
      <c r="P35" s="1">
        <f>SUM(OSRRefP22_4x_0)</f>
        <v>100</v>
      </c>
      <c r="Q35" s="1"/>
      <c r="R35" s="5">
        <f t="shared" ref="R35:R40" si="20">IF(P$12=0,0,P35/P$12)</f>
        <v>0</v>
      </c>
      <c r="S35" s="1"/>
      <c r="T35" s="1">
        <f>SUM(OSRRefT22_4x_0)</f>
        <v>-900</v>
      </c>
      <c r="U35" s="1"/>
      <c r="V35" s="5">
        <f t="shared" ref="V35:V40" si="21">IF(T$12=0,0,T35/T$12)</f>
        <v>0</v>
      </c>
      <c r="W35" s="1"/>
      <c r="X35" s="1">
        <f t="shared" ref="X35:X40" si="22">+P35-T35</f>
        <v>1000</v>
      </c>
      <c r="Y35" s="1"/>
      <c r="Z35" s="5">
        <f t="shared" ref="Z35:Z40" si="23">IF(T35=0,0,X35/T35)</f>
        <v>-1.1111111111111112</v>
      </c>
    </row>
    <row r="36" spans="1:26" s="24" customFormat="1" hidden="1" outlineLevel="2" x14ac:dyDescent="0.25">
      <c r="A36" s="29"/>
      <c r="B36" s="11" t="str">
        <f>CONCATENATE("          ", "6309", " - ", "TELEPHONE")</f>
        <v xml:space="preserve">          6309 - TELEPHONE</v>
      </c>
      <c r="C36" s="11"/>
      <c r="D36" s="7">
        <v>50</v>
      </c>
      <c r="E36" s="2"/>
      <c r="F36" s="6">
        <f t="shared" si="16"/>
        <v>0</v>
      </c>
      <c r="G36" s="2"/>
      <c r="H36" s="7">
        <v>50</v>
      </c>
      <c r="I36" s="2"/>
      <c r="J36" s="6">
        <f t="shared" si="17"/>
        <v>0</v>
      </c>
      <c r="K36" s="2"/>
      <c r="L36" s="7">
        <f t="shared" si="18"/>
        <v>0</v>
      </c>
      <c r="M36" s="2"/>
      <c r="N36" s="6">
        <f t="shared" si="19"/>
        <v>0</v>
      </c>
      <c r="O36" s="11"/>
      <c r="P36" s="7">
        <v>100</v>
      </c>
      <c r="Q36" s="2"/>
      <c r="R36" s="6">
        <f t="shared" si="20"/>
        <v>0</v>
      </c>
      <c r="S36" s="2"/>
      <c r="T36" s="7">
        <v>-900</v>
      </c>
      <c r="U36" s="2"/>
      <c r="V36" s="6">
        <f t="shared" si="21"/>
        <v>0</v>
      </c>
      <c r="W36" s="2"/>
      <c r="X36" s="7">
        <f t="shared" si="22"/>
        <v>1000</v>
      </c>
      <c r="Y36" s="2"/>
      <c r="Z36" s="6">
        <f t="shared" si="23"/>
        <v>-1.1111111111111112</v>
      </c>
    </row>
    <row r="37" spans="1:26" s="28" customFormat="1" outlineLevel="1" collapsed="1" x14ac:dyDescent="0.25">
      <c r="A37" s="27"/>
      <c r="B37" s="14" t="str">
        <f>CONCATENATE("     ","Training                                          ")</f>
        <v xml:space="preserve">     Training                                          </v>
      </c>
      <c r="C37" s="14"/>
      <c r="D37" s="1">
        <f>SUM(OSRRefD22_5x_0)</f>
        <v>0</v>
      </c>
      <c r="E37" s="1"/>
      <c r="F37" s="5">
        <f t="shared" si="16"/>
        <v>0</v>
      </c>
      <c r="G37" s="1"/>
      <c r="H37" s="1">
        <f>SUM(OSRRefH22_5x_0)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4"/>
      <c r="P37" s="1">
        <f>SUM(OSRRefP22_5x_0)</f>
        <v>0</v>
      </c>
      <c r="Q37" s="1"/>
      <c r="R37" s="5">
        <f t="shared" si="20"/>
        <v>0</v>
      </c>
      <c r="S37" s="1"/>
      <c r="T37" s="1">
        <f>SUM(OSRRefT22_5x_0)</f>
        <v>1321.12</v>
      </c>
      <c r="U37" s="1"/>
      <c r="V37" s="5">
        <f t="shared" si="21"/>
        <v>0</v>
      </c>
      <c r="W37" s="1"/>
      <c r="X37" s="1">
        <f t="shared" si="22"/>
        <v>-1321.12</v>
      </c>
      <c r="Y37" s="1"/>
      <c r="Z37" s="5">
        <f t="shared" si="23"/>
        <v>-1</v>
      </c>
    </row>
    <row r="38" spans="1:26" s="24" customFormat="1" hidden="1" outlineLevel="2" x14ac:dyDescent="0.25">
      <c r="A38" s="29"/>
      <c r="B38" s="11" t="str">
        <f>CONCATENATE("          ", "6376", " - ", "TRAINING")</f>
        <v xml:space="preserve">          6376 - TRAINING</v>
      </c>
      <c r="C38" s="11"/>
      <c r="D38" s="7"/>
      <c r="E38" s="2"/>
      <c r="F38" s="6">
        <f t="shared" si="16"/>
        <v>0</v>
      </c>
      <c r="G38" s="2"/>
      <c r="H38" s="7"/>
      <c r="I38" s="2"/>
      <c r="J38" s="6">
        <f t="shared" si="17"/>
        <v>0</v>
      </c>
      <c r="K38" s="2"/>
      <c r="L38" s="7">
        <f t="shared" si="18"/>
        <v>0</v>
      </c>
      <c r="M38" s="2"/>
      <c r="N38" s="6">
        <f t="shared" si="19"/>
        <v>0</v>
      </c>
      <c r="O38" s="11"/>
      <c r="P38" s="7"/>
      <c r="Q38" s="2"/>
      <c r="R38" s="6">
        <f t="shared" si="20"/>
        <v>0</v>
      </c>
      <c r="S38" s="2"/>
      <c r="T38" s="7">
        <v>1321.12</v>
      </c>
      <c r="U38" s="2"/>
      <c r="V38" s="6">
        <f t="shared" si="21"/>
        <v>0</v>
      </c>
      <c r="W38" s="2"/>
      <c r="X38" s="7">
        <f t="shared" si="22"/>
        <v>-1321.12</v>
      </c>
      <c r="Y38" s="2"/>
      <c r="Z38" s="6">
        <f t="shared" si="23"/>
        <v>-1</v>
      </c>
    </row>
    <row r="39" spans="1:26" s="28" customFormat="1" outlineLevel="1" collapsed="1" x14ac:dyDescent="0.25">
      <c r="A39" s="27"/>
      <c r="B39" s="14" t="str">
        <f>CONCATENATE("     ","Travel                                            ")</f>
        <v xml:space="preserve">     Travel                                            </v>
      </c>
      <c r="C39" s="14"/>
      <c r="D39" s="1">
        <f>SUM(OSRRefD22_6x_0)</f>
        <v>0</v>
      </c>
      <c r="E39" s="1"/>
      <c r="F39" s="5">
        <f t="shared" si="16"/>
        <v>0</v>
      </c>
      <c r="G39" s="1"/>
      <c r="H39" s="1">
        <f>SUM(OSRRefH22_6x_0)</f>
        <v>119.9</v>
      </c>
      <c r="I39" s="1"/>
      <c r="J39" s="5">
        <f t="shared" si="17"/>
        <v>0</v>
      </c>
      <c r="K39" s="1"/>
      <c r="L39" s="1">
        <f t="shared" si="18"/>
        <v>-119.9</v>
      </c>
      <c r="M39" s="1"/>
      <c r="N39" s="5">
        <f t="shared" si="19"/>
        <v>-1</v>
      </c>
      <c r="O39" s="14"/>
      <c r="P39" s="1">
        <f>SUM(OSRRefP22_6x_0)</f>
        <v>0</v>
      </c>
      <c r="Q39" s="1"/>
      <c r="R39" s="5">
        <f t="shared" si="20"/>
        <v>0</v>
      </c>
      <c r="S39" s="1"/>
      <c r="T39" s="1">
        <f>SUM(OSRRefT22_6x_0)</f>
        <v>119.9</v>
      </c>
      <c r="U39" s="1"/>
      <c r="V39" s="5">
        <f t="shared" si="21"/>
        <v>0</v>
      </c>
      <c r="W39" s="1"/>
      <c r="X39" s="1">
        <f t="shared" si="22"/>
        <v>-119.9</v>
      </c>
      <c r="Y39" s="1"/>
      <c r="Z39" s="5">
        <f t="shared" si="23"/>
        <v>-1</v>
      </c>
    </row>
    <row r="40" spans="1:26" s="24" customFormat="1" hidden="1" outlineLevel="2" x14ac:dyDescent="0.25">
      <c r="A40" s="29"/>
      <c r="B40" s="11" t="str">
        <f>CONCATENATE("          ", "6292", " - ", "TRAVEL/CONFERENCE")</f>
        <v xml:space="preserve">          6292 - TRAVEL/CONFERENCE</v>
      </c>
      <c r="C40" s="11"/>
      <c r="D40" s="7"/>
      <c r="E40" s="2"/>
      <c r="F40" s="6">
        <f t="shared" si="16"/>
        <v>0</v>
      </c>
      <c r="G40" s="2"/>
      <c r="H40" s="7">
        <v>119.9</v>
      </c>
      <c r="I40" s="2"/>
      <c r="J40" s="6">
        <f t="shared" si="17"/>
        <v>0</v>
      </c>
      <c r="K40" s="2"/>
      <c r="L40" s="7">
        <f t="shared" si="18"/>
        <v>-119.9</v>
      </c>
      <c r="M40" s="2"/>
      <c r="N40" s="6">
        <f t="shared" si="19"/>
        <v>-1</v>
      </c>
      <c r="O40" s="11"/>
      <c r="P40" s="7"/>
      <c r="Q40" s="2"/>
      <c r="R40" s="6">
        <f t="shared" si="20"/>
        <v>0</v>
      </c>
      <c r="S40" s="2"/>
      <c r="T40" s="7">
        <v>119.9</v>
      </c>
      <c r="U40" s="2"/>
      <c r="V40" s="6">
        <f t="shared" si="21"/>
        <v>0</v>
      </c>
      <c r="W40" s="2"/>
      <c r="X40" s="7">
        <f t="shared" si="22"/>
        <v>-119.9</v>
      </c>
      <c r="Y40" s="2"/>
      <c r="Z40" s="6">
        <f t="shared" si="23"/>
        <v>-1</v>
      </c>
    </row>
    <row r="41" spans="1:26" s="52" customFormat="1" x14ac:dyDescent="0.25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0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10"/>
      <c r="B44" s="26" t="s">
        <v>3</v>
      </c>
      <c r="C44" s="26"/>
      <c r="D44" s="22">
        <f>+D16-D18+D42</f>
        <v>-10800.34</v>
      </c>
      <c r="E44" s="13"/>
      <c r="F44" s="21">
        <f>IF(D$12=0,0,D44/D$12)</f>
        <v>0</v>
      </c>
      <c r="G44" s="13"/>
      <c r="H44" s="22">
        <f>+H16-H18+H42</f>
        <v>-11117.11</v>
      </c>
      <c r="I44" s="13"/>
      <c r="J44" s="21">
        <f>IF(H$12=0,0,H44/H$12)</f>
        <v>0</v>
      </c>
      <c r="K44" s="16"/>
      <c r="L44" s="22">
        <f>+D44-H44</f>
        <v>316.77000000000044</v>
      </c>
      <c r="M44" s="16"/>
      <c r="N44" s="21">
        <f>IF(H44=0,0,L44/H44)</f>
        <v>-2.8493916134678925E-2</v>
      </c>
      <c r="O44" s="25"/>
      <c r="P44" s="22">
        <f>+P16-P18+P42</f>
        <v>-32322.329999999998</v>
      </c>
      <c r="Q44" s="13"/>
      <c r="R44" s="21">
        <f>IF(P$12=0,0,P44/P$12)</f>
        <v>0</v>
      </c>
      <c r="S44" s="13"/>
      <c r="T44" s="22">
        <f>+T16-T18+T42</f>
        <v>-26034.37</v>
      </c>
      <c r="U44" s="13"/>
      <c r="V44" s="21">
        <f>IF(T$12=0,0,T44/T$12)</f>
        <v>0</v>
      </c>
      <c r="W44" s="16"/>
      <c r="X44" s="22">
        <f>+P44-T44</f>
        <v>-6287.9599999999991</v>
      </c>
      <c r="Y44" s="16"/>
      <c r="Z44" s="21">
        <f>IF(T44=0,0,X44/T44)</f>
        <v>0.24152533746735563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51"/>
      <c r="B46" s="10" t="s">
        <v>13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6" t="s">
        <v>4</v>
      </c>
      <c r="C48" s="26"/>
      <c r="D48" s="36">
        <f>+D44-D46</f>
        <v>-10800.34</v>
      </c>
      <c r="E48" s="13"/>
      <c r="F48" s="34">
        <f>IF(D$12=0,0,D48/D$12)</f>
        <v>0</v>
      </c>
      <c r="G48" s="13"/>
      <c r="H48" s="36">
        <f>+H44-H46</f>
        <v>-11117.11</v>
      </c>
      <c r="I48" s="13"/>
      <c r="J48" s="34">
        <f>IF(H$12=0,0,H48/H$12)</f>
        <v>0</v>
      </c>
      <c r="K48" s="16"/>
      <c r="L48" s="36">
        <f>D48-H48</f>
        <v>316.77000000000044</v>
      </c>
      <c r="M48" s="16"/>
      <c r="N48" s="34">
        <f>IF(H48=0,0,L48/H48)</f>
        <v>-2.8493916134678925E-2</v>
      </c>
      <c r="O48" s="25"/>
      <c r="P48" s="36">
        <f>+P44-P46</f>
        <v>-32322.329999999998</v>
      </c>
      <c r="Q48" s="13"/>
      <c r="R48" s="34">
        <f>IF(P$12=0,0,P48/P$12)</f>
        <v>0</v>
      </c>
      <c r="S48" s="13"/>
      <c r="T48" s="36">
        <f>+T44-T46</f>
        <v>-26034.37</v>
      </c>
      <c r="U48" s="13"/>
      <c r="V48" s="34">
        <f>IF(T$12=0,0,T48/T$12)</f>
        <v>0</v>
      </c>
      <c r="W48" s="16"/>
      <c r="X48" s="36">
        <f>P48-T48</f>
        <v>-6287.9599999999991</v>
      </c>
      <c r="Y48" s="16"/>
      <c r="Z48" s="34">
        <f>IF(T48=0,0,X48/T48)</f>
        <v>0.24152533746735563</v>
      </c>
    </row>
    <row r="49" spans="1:26" ht="15.75" thickTop="1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25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6" t="s">
        <v>5</v>
      </c>
      <c r="C51" s="26"/>
      <c r="D51" s="30">
        <f>SUM(D48:D50)</f>
        <v>-10800.34</v>
      </c>
      <c r="E51" s="13"/>
      <c r="F51" s="31">
        <f>IF(D$12=0,0,D51/D$12)</f>
        <v>0</v>
      </c>
      <c r="G51" s="13"/>
      <c r="H51" s="30">
        <f>SUM(H48:H50)</f>
        <v>-11117.11</v>
      </c>
      <c r="I51" s="13"/>
      <c r="J51" s="31">
        <f>IF(H$12=0,0,H51/H$12)</f>
        <v>0</v>
      </c>
      <c r="K51" s="16"/>
      <c r="L51" s="30">
        <f>+D51-H51</f>
        <v>316.77000000000044</v>
      </c>
      <c r="M51" s="16"/>
      <c r="N51" s="31">
        <f>IF(H51=0,0,L51/H51)</f>
        <v>-2.8493916134678925E-2</v>
      </c>
      <c r="O51" s="25"/>
      <c r="P51" s="30">
        <f>SUM(P48:P50)</f>
        <v>-32322.329999999998</v>
      </c>
      <c r="Q51" s="13"/>
      <c r="R51" s="31">
        <f>IF(P$12=0,0,P51/P$12)</f>
        <v>0</v>
      </c>
      <c r="S51" s="13"/>
      <c r="T51" s="30">
        <f>SUM(T48:T50)</f>
        <v>-26034.37</v>
      </c>
      <c r="U51" s="13"/>
      <c r="V51" s="31">
        <f>IF(T$12=0,0,T51/T$12)</f>
        <v>0</v>
      </c>
      <c r="W51" s="16"/>
      <c r="X51" s="30">
        <f>+P51-T51</f>
        <v>-6287.9599999999991</v>
      </c>
      <c r="Y51" s="16"/>
      <c r="Z51" s="31">
        <f>IF(T51=0,0,X51/T51)</f>
        <v>0.24152533746735563</v>
      </c>
    </row>
    <row r="52" spans="1:26" ht="15.75" thickTop="1" x14ac:dyDescent="0.25">
      <c r="A52" s="9"/>
      <c r="C52" s="9"/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61">
        <v>44113.696780011574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56" t="s">
        <v>313</v>
      </c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8"/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","433", " - ", "Hillside Dining Hall")</f>
        <v>Department 433 - Hillside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3157</v>
      </c>
      <c r="E12" s="4"/>
      <c r="F12" s="12"/>
      <c r="G12" s="4"/>
      <c r="H12" s="4">
        <f>SUM(OSRRefH13x_0)</f>
        <v>241985.54</v>
      </c>
      <c r="I12" s="4"/>
      <c r="J12" s="12"/>
      <c r="K12" s="4"/>
      <c r="L12" s="4">
        <f t="shared" ref="L12:L15" si="0">+D12-H12</f>
        <v>-238828.54</v>
      </c>
      <c r="M12" s="4"/>
      <c r="N12" s="12">
        <f t="shared" ref="N12:N15" si="1">IF(H12=0,0,L12/H12)</f>
        <v>-0.98695376591510386</v>
      </c>
      <c r="O12" s="10"/>
      <c r="P12" s="4">
        <f>SUM(OSRRefP13x_0)</f>
        <v>22484.920000000002</v>
      </c>
      <c r="Q12" s="4"/>
      <c r="R12" s="12"/>
      <c r="S12" s="4"/>
      <c r="T12" s="4">
        <f>SUM(OSRRefT13x_0)</f>
        <v>488485.16</v>
      </c>
      <c r="U12" s="4"/>
      <c r="V12" s="12"/>
      <c r="W12" s="4"/>
      <c r="X12" s="4">
        <f t="shared" ref="X12:X15" si="2">+P12-T12</f>
        <v>-466000.24</v>
      </c>
      <c r="Y12" s="4"/>
      <c r="Z12" s="12">
        <f t="shared" ref="Z12:Z15" si="3">IF(T12=0,0,X12/T12)</f>
        <v>-0.9539701062771283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--17.76</f>
        <v>17.760000000000002</v>
      </c>
      <c r="E13" s="2"/>
      <c r="F13" s="19"/>
      <c r="G13" s="2"/>
      <c r="H13" s="2">
        <f>--75.32</f>
        <v>75.319999999999993</v>
      </c>
      <c r="I13" s="2"/>
      <c r="J13" s="19"/>
      <c r="K13" s="2"/>
      <c r="L13" s="2">
        <f t="shared" si="0"/>
        <v>-57.559999999999988</v>
      </c>
      <c r="M13" s="2"/>
      <c r="N13" s="19">
        <f t="shared" si="1"/>
        <v>-0.76420605416887932</v>
      </c>
      <c r="O13" s="11"/>
      <c r="P13" s="2">
        <f>--217.65</f>
        <v>217.65</v>
      </c>
      <c r="Q13" s="2"/>
      <c r="R13" s="19"/>
      <c r="S13" s="2"/>
      <c r="T13" s="2">
        <f>--733.97</f>
        <v>733.97</v>
      </c>
      <c r="U13" s="2"/>
      <c r="V13" s="19"/>
      <c r="W13" s="2"/>
      <c r="X13" s="2">
        <f t="shared" si="2"/>
        <v>-516.32000000000005</v>
      </c>
      <c r="Y13" s="2"/>
      <c r="Z13" s="19">
        <f t="shared" si="3"/>
        <v>-0.70346199435944257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--1800</f>
        <v>1800</v>
      </c>
      <c r="E14" s="2"/>
      <c r="F14" s="19"/>
      <c r="G14" s="2"/>
      <c r="H14" s="2">
        <f>--144700.94</f>
        <v>144700.94</v>
      </c>
      <c r="I14" s="2"/>
      <c r="J14" s="19"/>
      <c r="K14" s="2"/>
      <c r="L14" s="2">
        <f t="shared" si="0"/>
        <v>-142900.94</v>
      </c>
      <c r="M14" s="2"/>
      <c r="N14" s="19">
        <f t="shared" si="1"/>
        <v>-0.9875605507469406</v>
      </c>
      <c r="O14" s="11"/>
      <c r="P14" s="2">
        <f>--3100</f>
        <v>3100</v>
      </c>
      <c r="Q14" s="2"/>
      <c r="R14" s="19"/>
      <c r="S14" s="2"/>
      <c r="T14" s="2">
        <f>--387305.89</f>
        <v>387305.89</v>
      </c>
      <c r="U14" s="2"/>
      <c r="V14" s="19"/>
      <c r="W14" s="2"/>
      <c r="X14" s="2">
        <f t="shared" si="2"/>
        <v>-384205.89</v>
      </c>
      <c r="Y14" s="2"/>
      <c r="Z14" s="19">
        <f t="shared" si="3"/>
        <v>-0.99199599055929666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--1339.24</f>
        <v>1339.24</v>
      </c>
      <c r="E15" s="2"/>
      <c r="F15" s="19"/>
      <c r="G15" s="2"/>
      <c r="H15" s="2">
        <f>--97209.28</f>
        <v>97209.279999999999</v>
      </c>
      <c r="I15" s="2"/>
      <c r="J15" s="19"/>
      <c r="K15" s="2"/>
      <c r="L15" s="2">
        <f t="shared" si="0"/>
        <v>-95870.04</v>
      </c>
      <c r="M15" s="2"/>
      <c r="N15" s="19">
        <f t="shared" si="1"/>
        <v>-0.98622312602253603</v>
      </c>
      <c r="O15" s="11"/>
      <c r="P15" s="2">
        <f>--19167.27</f>
        <v>19167.27</v>
      </c>
      <c r="Q15" s="2"/>
      <c r="R15" s="19"/>
      <c r="S15" s="2"/>
      <c r="T15" s="2">
        <f>--100445.3</f>
        <v>100445.3</v>
      </c>
      <c r="U15" s="2"/>
      <c r="V15" s="19"/>
      <c r="W15" s="2"/>
      <c r="X15" s="2">
        <f t="shared" si="2"/>
        <v>-81278.03</v>
      </c>
      <c r="Y15" s="2"/>
      <c r="Z15" s="19">
        <f t="shared" si="3"/>
        <v>-0.80917703466463831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13427.3</v>
      </c>
      <c r="E17" s="4"/>
      <c r="F17" s="12">
        <f t="shared" ref="F17:F19" si="4">IF(D$12=0,0,D17/D$12)</f>
        <v>4.2531834019638897</v>
      </c>
      <c r="G17" s="4"/>
      <c r="H17" s="4">
        <f>SUM(OSRRefH16x_0)</f>
        <v>55035.45</v>
      </c>
      <c r="I17" s="4"/>
      <c r="J17" s="12">
        <f t="shared" ref="J17:J19" si="5">IF(H$12=0,0,H17/H$12)</f>
        <v>0.22743280445600178</v>
      </c>
      <c r="K17" s="4"/>
      <c r="L17" s="4">
        <f t="shared" ref="L17:L19" si="6">+D17-H17</f>
        <v>-41608.149999999994</v>
      </c>
      <c r="M17" s="4"/>
      <c r="N17" s="12">
        <f t="shared" ref="N17:N19" si="7">IF(H17=0,0,L17/H17)</f>
        <v>-0.75602452601005343</v>
      </c>
      <c r="O17" s="10"/>
      <c r="P17" s="4">
        <f>SUM(OSRRefP16x_0)</f>
        <v>25116.92</v>
      </c>
      <c r="Q17" s="4"/>
      <c r="R17" s="12">
        <f t="shared" ref="R17:R19" si="8">IF(P$12=0,0,P17/P$12)</f>
        <v>1.1170562314653554</v>
      </c>
      <c r="S17" s="4"/>
      <c r="T17" s="4">
        <f>SUM(OSRRefT16x_0)</f>
        <v>128303.53</v>
      </c>
      <c r="U17" s="4"/>
      <c r="V17" s="12">
        <f t="shared" ref="V17:V19" si="9">IF(T$12=0,0,T17/T$12)</f>
        <v>0.26265594230129735</v>
      </c>
      <c r="W17" s="4"/>
      <c r="X17" s="4">
        <f t="shared" ref="X17:X19" si="10">+P17-T17</f>
        <v>-103186.61</v>
      </c>
      <c r="Y17" s="4"/>
      <c r="Z17" s="12">
        <f t="shared" ref="Z17:Z19" si="11">IF(T17=0,0,X17/T17)</f>
        <v>-0.80423827777770418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5924.3</v>
      </c>
      <c r="E18" s="2"/>
      <c r="F18" s="19">
        <f t="shared" si="4"/>
        <v>1.8765600253405132</v>
      </c>
      <c r="G18" s="2"/>
      <c r="H18" s="2">
        <v>63975.45</v>
      </c>
      <c r="I18" s="2"/>
      <c r="J18" s="19">
        <f t="shared" si="5"/>
        <v>0.26437716071795031</v>
      </c>
      <c r="K18" s="2"/>
      <c r="L18" s="2">
        <f t="shared" si="6"/>
        <v>-58051.149999999994</v>
      </c>
      <c r="M18" s="2"/>
      <c r="N18" s="19">
        <f t="shared" si="7"/>
        <v>-0.9073972906794715</v>
      </c>
      <c r="O18" s="11"/>
      <c r="P18" s="2">
        <v>14204.92</v>
      </c>
      <c r="Q18" s="2"/>
      <c r="R18" s="19">
        <f t="shared" si="8"/>
        <v>0.63175319280655651</v>
      </c>
      <c r="S18" s="2"/>
      <c r="T18" s="2">
        <v>137411.53</v>
      </c>
      <c r="U18" s="2"/>
      <c r="V18" s="19">
        <f t="shared" si="9"/>
        <v>0.28130133984008848</v>
      </c>
      <c r="W18" s="2"/>
      <c r="X18" s="2">
        <f t="shared" si="10"/>
        <v>-123206.61</v>
      </c>
      <c r="Y18" s="2"/>
      <c r="Z18" s="19">
        <f t="shared" si="11"/>
        <v>-0.8966249775400944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7503</v>
      </c>
      <c r="E19" s="2"/>
      <c r="F19" s="19">
        <f t="shared" si="4"/>
        <v>2.3766233766233764</v>
      </c>
      <c r="G19" s="2"/>
      <c r="H19" s="2">
        <v>-8940</v>
      </c>
      <c r="I19" s="2"/>
      <c r="J19" s="19">
        <f t="shared" si="5"/>
        <v>-3.6944356261948544E-2</v>
      </c>
      <c r="K19" s="2"/>
      <c r="L19" s="2">
        <f t="shared" si="6"/>
        <v>16443</v>
      </c>
      <c r="M19" s="2"/>
      <c r="N19" s="19">
        <f t="shared" si="7"/>
        <v>-1.839261744966443</v>
      </c>
      <c r="O19" s="11"/>
      <c r="P19" s="2">
        <v>10912</v>
      </c>
      <c r="Q19" s="2"/>
      <c r="R19" s="19">
        <f t="shared" si="8"/>
        <v>0.48530303865879881</v>
      </c>
      <c r="S19" s="2"/>
      <c r="T19" s="2">
        <v>-9108</v>
      </c>
      <c r="U19" s="2"/>
      <c r="V19" s="19">
        <f t="shared" si="9"/>
        <v>-1.8645397538791148E-2</v>
      </c>
      <c r="W19" s="2"/>
      <c r="X19" s="2">
        <f t="shared" si="10"/>
        <v>20020</v>
      </c>
      <c r="Y19" s="2"/>
      <c r="Z19" s="19">
        <f t="shared" si="11"/>
        <v>-2.1980676328502415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2">
        <f>D12-D17</f>
        <v>-10270.299999999999</v>
      </c>
      <c r="E21" s="13"/>
      <c r="F21" s="21">
        <f>IF(D$12=0,0,D21/D$12)</f>
        <v>-3.2531834019638897</v>
      </c>
      <c r="G21" s="13"/>
      <c r="H21" s="22">
        <f>H12-H17</f>
        <v>186950.09000000003</v>
      </c>
      <c r="I21" s="13"/>
      <c r="J21" s="21">
        <f>IF(H$12=0,0,H21/H$12)</f>
        <v>0.77256719554399833</v>
      </c>
      <c r="K21" s="16"/>
      <c r="L21" s="22">
        <f>+D21-H21</f>
        <v>-197220.39</v>
      </c>
      <c r="M21" s="16"/>
      <c r="N21" s="21">
        <f>IF(H21=0,0,L21/H21)</f>
        <v>-1.0549360527186693</v>
      </c>
      <c r="O21" s="25"/>
      <c r="P21" s="22">
        <f>P12-P17</f>
        <v>-2631.9999999999964</v>
      </c>
      <c r="Q21" s="13"/>
      <c r="R21" s="21">
        <f>IF(P$12=0,0,P21/P$12)</f>
        <v>-0.11705623146535528</v>
      </c>
      <c r="S21" s="13"/>
      <c r="T21" s="22">
        <f>T12-T17</f>
        <v>360181.63</v>
      </c>
      <c r="U21" s="13"/>
      <c r="V21" s="21">
        <f>IF(T$12=0,0,T21/T$12)</f>
        <v>0.7373440576987027</v>
      </c>
      <c r="W21" s="16"/>
      <c r="X21" s="22">
        <f>+P21-T21</f>
        <v>-362813.63</v>
      </c>
      <c r="Y21" s="16"/>
      <c r="Z21" s="21">
        <f>IF(T21=0,0,X21/T21)</f>
        <v>-1.0073074243125615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0">
        <f>SUM(OSRRefD22x_0)</f>
        <v>54062.239999999998</v>
      </c>
      <c r="E23" s="20"/>
      <c r="F23" s="35">
        <f t="shared" ref="F23:F33" si="12">IF(D$12=0,0,D23/D$12)</f>
        <v>17.12456129236617</v>
      </c>
      <c r="G23" s="20"/>
      <c r="H23" s="20">
        <f>SUM(OSRRefH22x_0)</f>
        <v>121608.81000000003</v>
      </c>
      <c r="I23" s="20"/>
      <c r="J23" s="35">
        <f t="shared" ref="J23:J33" si="13">IF(H$12=0,0,H23/H$12)</f>
        <v>0.50254577194984473</v>
      </c>
      <c r="K23" s="4"/>
      <c r="L23" s="20">
        <f t="shared" ref="L23:L33" si="14">+D23-H23</f>
        <v>-67546.570000000036</v>
      </c>
      <c r="M23" s="4"/>
      <c r="N23" s="35">
        <f t="shared" ref="N23:N33" si="15">IF(H23=0,0,L23/H23)</f>
        <v>-0.55544141908797584</v>
      </c>
      <c r="O23" s="10"/>
      <c r="P23" s="20">
        <f>SUM(OSRRefP22x_0)</f>
        <v>113521.76999999997</v>
      </c>
      <c r="Q23" s="20"/>
      <c r="R23" s="35">
        <f t="shared" ref="R23:R33" si="16">IF(P$12=0,0,P23/P$12)</f>
        <v>5.0487958151507755</v>
      </c>
      <c r="S23" s="20"/>
      <c r="T23" s="20">
        <f>SUM(OSRRefT22x_0)</f>
        <v>269168.46999999991</v>
      </c>
      <c r="U23" s="20"/>
      <c r="V23" s="35">
        <f t="shared" ref="V23:V33" si="17">IF(T$12=0,0,T23/T$12)</f>
        <v>0.55102691348904009</v>
      </c>
      <c r="W23" s="4"/>
      <c r="X23" s="20">
        <f t="shared" ref="X23:X33" si="18">+P23-T23</f>
        <v>-155646.69999999995</v>
      </c>
      <c r="Y23" s="4"/>
      <c r="Z23" s="35">
        <f t="shared" ref="Z23:Z33" si="19">IF(T23=0,0,X23/T23)</f>
        <v>-0.57825011971127227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20617.259999999998</v>
      </c>
      <c r="E24" s="1"/>
      <c r="F24" s="5">
        <f t="shared" si="12"/>
        <v>6.5306493506493499</v>
      </c>
      <c r="G24" s="1"/>
      <c r="H24" s="1">
        <f>SUM(OSRRefH22_0x_0)</f>
        <v>24636.129999999997</v>
      </c>
      <c r="I24" s="1"/>
      <c r="J24" s="5">
        <f t="shared" si="13"/>
        <v>0.10180827333732419</v>
      </c>
      <c r="K24" s="1"/>
      <c r="L24" s="1">
        <f t="shared" si="14"/>
        <v>-4018.869999999999</v>
      </c>
      <c r="M24" s="1"/>
      <c r="N24" s="5">
        <f t="shared" si="15"/>
        <v>-0.16312911159341989</v>
      </c>
      <c r="O24" s="14"/>
      <c r="P24" s="1">
        <f>SUM(OSRRefP22_0x_0)</f>
        <v>39236.279999999992</v>
      </c>
      <c r="Q24" s="1"/>
      <c r="R24" s="5">
        <f t="shared" si="16"/>
        <v>1.745004207264246</v>
      </c>
      <c r="S24" s="1"/>
      <c r="T24" s="1">
        <f>SUM(OSRRefT22_0x_0)</f>
        <v>58132.189999999988</v>
      </c>
      <c r="U24" s="1"/>
      <c r="V24" s="5">
        <f t="shared" si="17"/>
        <v>0.11900502770647114</v>
      </c>
      <c r="W24" s="1"/>
      <c r="X24" s="1">
        <f t="shared" si="18"/>
        <v>-18895.909999999996</v>
      </c>
      <c r="Y24" s="1"/>
      <c r="Z24" s="5">
        <f t="shared" si="19"/>
        <v>-0.32505071630709254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>
        <v>1932.91</v>
      </c>
      <c r="E25" s="2"/>
      <c r="F25" s="6">
        <f t="shared" si="12"/>
        <v>0.6122616407982262</v>
      </c>
      <c r="G25" s="2"/>
      <c r="H25" s="7">
        <v>4471.38</v>
      </c>
      <c r="I25" s="2"/>
      <c r="J25" s="6">
        <f t="shared" si="13"/>
        <v>1.84778809510684E-2</v>
      </c>
      <c r="K25" s="2"/>
      <c r="L25" s="7">
        <f t="shared" si="14"/>
        <v>-2538.4700000000003</v>
      </c>
      <c r="M25" s="2"/>
      <c r="N25" s="6">
        <f t="shared" si="15"/>
        <v>-0.56771511256032814</v>
      </c>
      <c r="O25" s="11"/>
      <c r="P25" s="7">
        <v>3827.36</v>
      </c>
      <c r="Q25" s="2"/>
      <c r="R25" s="6">
        <f t="shared" si="16"/>
        <v>0.17021897342752387</v>
      </c>
      <c r="S25" s="2"/>
      <c r="T25" s="7">
        <v>9407.56</v>
      </c>
      <c r="U25" s="2"/>
      <c r="V25" s="6">
        <f t="shared" si="17"/>
        <v>1.9258640323894384E-2</v>
      </c>
      <c r="W25" s="2"/>
      <c r="X25" s="7">
        <f t="shared" si="18"/>
        <v>-5580.1999999999989</v>
      </c>
      <c r="Y25" s="2"/>
      <c r="Z25" s="6">
        <f t="shared" si="19"/>
        <v>-0.5931612447861081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>
        <v>1080.0999999999999</v>
      </c>
      <c r="E26" s="2"/>
      <c r="F26" s="6">
        <f t="shared" si="12"/>
        <v>0.34212860310421284</v>
      </c>
      <c r="G26" s="2"/>
      <c r="H26" s="7">
        <v>2250.16</v>
      </c>
      <c r="I26" s="2"/>
      <c r="J26" s="6">
        <f t="shared" si="13"/>
        <v>9.2987374369559433E-3</v>
      </c>
      <c r="K26" s="2"/>
      <c r="L26" s="7">
        <f t="shared" si="14"/>
        <v>-1170.06</v>
      </c>
      <c r="M26" s="2"/>
      <c r="N26" s="6">
        <f t="shared" si="15"/>
        <v>-0.51998968962207137</v>
      </c>
      <c r="O26" s="11"/>
      <c r="P26" s="7">
        <v>2142.4</v>
      </c>
      <c r="Q26" s="2"/>
      <c r="R26" s="6">
        <f t="shared" si="16"/>
        <v>9.5281637648699652E-2</v>
      </c>
      <c r="S26" s="2"/>
      <c r="T26" s="7">
        <v>4764.6400000000003</v>
      </c>
      <c r="U26" s="2"/>
      <c r="V26" s="6">
        <f t="shared" si="17"/>
        <v>9.7539094125193085E-3</v>
      </c>
      <c r="W26" s="2"/>
      <c r="X26" s="7">
        <f t="shared" si="18"/>
        <v>-2622.2400000000002</v>
      </c>
      <c r="Y26" s="2"/>
      <c r="Z26" s="6">
        <f t="shared" si="19"/>
        <v>-0.55035427650357638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>
        <v>12526.51</v>
      </c>
      <c r="E27" s="2"/>
      <c r="F27" s="6">
        <f t="shared" si="12"/>
        <v>3.9678523915109283</v>
      </c>
      <c r="G27" s="2"/>
      <c r="H27" s="7">
        <v>12070.16</v>
      </c>
      <c r="I27" s="2"/>
      <c r="J27" s="6">
        <f t="shared" si="13"/>
        <v>4.9879674628492264E-2</v>
      </c>
      <c r="K27" s="2"/>
      <c r="L27" s="7">
        <f t="shared" si="14"/>
        <v>456.35000000000036</v>
      </c>
      <c r="M27" s="2"/>
      <c r="N27" s="6">
        <f t="shared" si="15"/>
        <v>3.7808115219682289E-2</v>
      </c>
      <c r="O27" s="11"/>
      <c r="P27" s="7">
        <v>22353.09</v>
      </c>
      <c r="Q27" s="2"/>
      <c r="R27" s="6">
        <f t="shared" si="16"/>
        <v>0.99413695934875457</v>
      </c>
      <c r="S27" s="2"/>
      <c r="T27" s="7">
        <v>26010.92</v>
      </c>
      <c r="U27" s="2"/>
      <c r="V27" s="6">
        <f t="shared" si="17"/>
        <v>5.3248127333080084E-2</v>
      </c>
      <c r="W27" s="2"/>
      <c r="X27" s="7">
        <f t="shared" si="18"/>
        <v>-3657.8299999999981</v>
      </c>
      <c r="Y27" s="2"/>
      <c r="Z27" s="6">
        <f t="shared" si="19"/>
        <v>-0.14062670601424318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>
        <v>65.459999999999994</v>
      </c>
      <c r="E28" s="2"/>
      <c r="F28" s="6">
        <f t="shared" si="12"/>
        <v>2.0734874881216343E-2</v>
      </c>
      <c r="G28" s="2"/>
      <c r="H28" s="7">
        <v>150.78</v>
      </c>
      <c r="I28" s="2"/>
      <c r="J28" s="6">
        <f t="shared" si="13"/>
        <v>6.2309508245823278E-4</v>
      </c>
      <c r="K28" s="2"/>
      <c r="L28" s="7">
        <f t="shared" si="14"/>
        <v>-85.320000000000007</v>
      </c>
      <c r="M28" s="2"/>
      <c r="N28" s="6">
        <f t="shared" si="15"/>
        <v>-0.56585754078790296</v>
      </c>
      <c r="O28" s="11"/>
      <c r="P28" s="7">
        <v>129.84</v>
      </c>
      <c r="Q28" s="2"/>
      <c r="R28" s="6">
        <f t="shared" si="16"/>
        <v>5.7745368896131273E-3</v>
      </c>
      <c r="S28" s="2"/>
      <c r="T28" s="7">
        <v>319.27</v>
      </c>
      <c r="U28" s="2"/>
      <c r="V28" s="6">
        <f t="shared" si="17"/>
        <v>6.5359201495496808E-4</v>
      </c>
      <c r="W28" s="2"/>
      <c r="X28" s="7">
        <f t="shared" si="18"/>
        <v>-189.42999999999998</v>
      </c>
      <c r="Y28" s="2"/>
      <c r="Z28" s="6">
        <f t="shared" si="19"/>
        <v>-0.59332226642027119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>
        <v>950.04</v>
      </c>
      <c r="E29" s="2"/>
      <c r="F29" s="6">
        <f t="shared" si="12"/>
        <v>0.3009312638580931</v>
      </c>
      <c r="G29" s="2"/>
      <c r="H29" s="7">
        <v>1217.31</v>
      </c>
      <c r="I29" s="2"/>
      <c r="J29" s="6">
        <f t="shared" si="13"/>
        <v>5.0305071947687446E-3</v>
      </c>
      <c r="K29" s="2"/>
      <c r="L29" s="7">
        <f t="shared" si="14"/>
        <v>-267.27</v>
      </c>
      <c r="M29" s="2"/>
      <c r="N29" s="6">
        <f t="shared" si="15"/>
        <v>-0.21955787761539788</v>
      </c>
      <c r="O29" s="11"/>
      <c r="P29" s="7">
        <v>2375.09</v>
      </c>
      <c r="Q29" s="2"/>
      <c r="R29" s="6">
        <f t="shared" si="16"/>
        <v>0.10563035136438111</v>
      </c>
      <c r="S29" s="2"/>
      <c r="T29" s="7">
        <v>2434.62</v>
      </c>
      <c r="U29" s="2"/>
      <c r="V29" s="6">
        <f t="shared" si="17"/>
        <v>4.9840203948058525E-3</v>
      </c>
      <c r="W29" s="2"/>
      <c r="X29" s="7">
        <f t="shared" si="18"/>
        <v>-59.529999999999745</v>
      </c>
      <c r="Y29" s="2"/>
      <c r="Z29" s="6">
        <f t="shared" si="19"/>
        <v>-2.4451454436421185E-2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7">
        <v>336.5</v>
      </c>
      <c r="E30" s="2"/>
      <c r="F30" s="6">
        <f t="shared" si="12"/>
        <v>0.10658853341780171</v>
      </c>
      <c r="G30" s="2"/>
      <c r="H30" s="7">
        <v>277.64</v>
      </c>
      <c r="I30" s="2"/>
      <c r="J30" s="6">
        <f t="shared" si="13"/>
        <v>1.1473412832849433E-3</v>
      </c>
      <c r="K30" s="2"/>
      <c r="L30" s="7">
        <f t="shared" si="14"/>
        <v>58.860000000000014</v>
      </c>
      <c r="M30" s="2"/>
      <c r="N30" s="6">
        <f t="shared" si="15"/>
        <v>0.21200115257167562</v>
      </c>
      <c r="O30" s="11"/>
      <c r="P30" s="7">
        <v>861.42</v>
      </c>
      <c r="Q30" s="2"/>
      <c r="R30" s="6">
        <f t="shared" si="16"/>
        <v>3.831101022374106E-2</v>
      </c>
      <c r="S30" s="2"/>
      <c r="T30" s="7">
        <v>724.47</v>
      </c>
      <c r="U30" s="2"/>
      <c r="V30" s="6">
        <f t="shared" si="17"/>
        <v>1.4830952080509469E-3</v>
      </c>
      <c r="W30" s="2"/>
      <c r="X30" s="7">
        <f t="shared" si="18"/>
        <v>136.94999999999993</v>
      </c>
      <c r="Y30" s="2"/>
      <c r="Z30" s="6">
        <f t="shared" si="19"/>
        <v>0.18903474263944667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>
        <v>1852.16</v>
      </c>
      <c r="E31" s="2"/>
      <c r="F31" s="6">
        <f t="shared" si="12"/>
        <v>0.5866835603420969</v>
      </c>
      <c r="G31" s="2"/>
      <c r="H31" s="7">
        <v>2063.85</v>
      </c>
      <c r="I31" s="2"/>
      <c r="J31" s="6">
        <f t="shared" si="13"/>
        <v>8.5288153994656033E-3</v>
      </c>
      <c r="K31" s="2"/>
      <c r="L31" s="7">
        <f t="shared" si="14"/>
        <v>-211.68999999999983</v>
      </c>
      <c r="M31" s="2"/>
      <c r="N31" s="6">
        <f t="shared" si="15"/>
        <v>-0.10257043874312563</v>
      </c>
      <c r="O31" s="11"/>
      <c r="P31" s="7">
        <v>3704.32</v>
      </c>
      <c r="Q31" s="2"/>
      <c r="R31" s="6">
        <f t="shared" si="16"/>
        <v>0.16474686145203096</v>
      </c>
      <c r="S31" s="2"/>
      <c r="T31" s="7">
        <v>5647.67</v>
      </c>
      <c r="U31" s="2"/>
      <c r="V31" s="6">
        <f t="shared" si="17"/>
        <v>1.1561599947069017E-2</v>
      </c>
      <c r="W31" s="2"/>
      <c r="X31" s="7">
        <f t="shared" si="18"/>
        <v>-1943.35</v>
      </c>
      <c r="Y31" s="2"/>
      <c r="Z31" s="6">
        <f t="shared" si="19"/>
        <v>-0.34409765443094231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>
        <v>1214.78</v>
      </c>
      <c r="E32" s="2"/>
      <c r="F32" s="6">
        <f t="shared" si="12"/>
        <v>0.38478935698447891</v>
      </c>
      <c r="G32" s="2"/>
      <c r="H32" s="7">
        <v>1378.78</v>
      </c>
      <c r="I32" s="2"/>
      <c r="J32" s="6">
        <f t="shared" si="13"/>
        <v>5.6977784705648108E-3</v>
      </c>
      <c r="K32" s="2"/>
      <c r="L32" s="7">
        <f t="shared" si="14"/>
        <v>-164</v>
      </c>
      <c r="M32" s="2"/>
      <c r="N32" s="6">
        <f t="shared" si="15"/>
        <v>-0.11894573463496715</v>
      </c>
      <c r="O32" s="11"/>
      <c r="P32" s="7">
        <v>2429.56</v>
      </c>
      <c r="Q32" s="2"/>
      <c r="R32" s="6">
        <f t="shared" si="16"/>
        <v>0.10805286387498821</v>
      </c>
      <c r="S32" s="2"/>
      <c r="T32" s="7">
        <v>7502.48</v>
      </c>
      <c r="U32" s="2"/>
      <c r="V32" s="6">
        <f t="shared" si="17"/>
        <v>1.5358665143481534E-2</v>
      </c>
      <c r="W32" s="2"/>
      <c r="X32" s="7">
        <f t="shared" si="18"/>
        <v>-5072.92</v>
      </c>
      <c r="Y32" s="2"/>
      <c r="Z32" s="6">
        <f t="shared" si="19"/>
        <v>-0.67616574785937456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7">
        <v>658.8</v>
      </c>
      <c r="E33" s="2"/>
      <c r="F33" s="6">
        <f t="shared" si="12"/>
        <v>0.20867912575229647</v>
      </c>
      <c r="G33" s="2"/>
      <c r="H33" s="7">
        <v>756.07</v>
      </c>
      <c r="I33" s="2"/>
      <c r="J33" s="6">
        <f t="shared" si="13"/>
        <v>3.1244428902652615E-3</v>
      </c>
      <c r="K33" s="2"/>
      <c r="L33" s="7">
        <f t="shared" si="14"/>
        <v>-97.270000000000095</v>
      </c>
      <c r="M33" s="2"/>
      <c r="N33" s="6">
        <f t="shared" si="15"/>
        <v>-0.12865210893171278</v>
      </c>
      <c r="O33" s="11"/>
      <c r="P33" s="7">
        <v>1413.2</v>
      </c>
      <c r="Q33" s="2"/>
      <c r="R33" s="6">
        <f t="shared" si="16"/>
        <v>6.2851013034513792E-2</v>
      </c>
      <c r="S33" s="2"/>
      <c r="T33" s="7">
        <v>1320.56</v>
      </c>
      <c r="U33" s="2"/>
      <c r="V33" s="6">
        <f t="shared" si="17"/>
        <v>2.703377928615068E-3</v>
      </c>
      <c r="W33" s="2"/>
      <c r="X33" s="7">
        <f t="shared" si="18"/>
        <v>92.6400000000001</v>
      </c>
      <c r="Y33" s="2"/>
      <c r="Z33" s="6">
        <f t="shared" si="19"/>
        <v>7.0152056703216892E-2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20940.560000000001</v>
      </c>
      <c r="E34" s="1"/>
      <c r="F34" s="5">
        <f t="shared" ref="F34:F40" si="20">IF(D$12=0,0,D34/D$12)</f>
        <v>6.6330566993981632</v>
      </c>
      <c r="G34" s="1"/>
      <c r="H34" s="1">
        <f>SUM(OSRRefH22_1x_0)</f>
        <v>65384.34</v>
      </c>
      <c r="I34" s="1"/>
      <c r="J34" s="5">
        <f t="shared" ref="J34:J40" si="21">IF(H$12=0,0,H34/H$12)</f>
        <v>0.27019936811100365</v>
      </c>
      <c r="K34" s="1"/>
      <c r="L34" s="1">
        <f t="shared" ref="L34:L40" si="22">+D34-H34</f>
        <v>-44443.78</v>
      </c>
      <c r="M34" s="1"/>
      <c r="N34" s="5">
        <f t="shared" ref="N34:N40" si="23">IF(H34=0,0,L34/H34)</f>
        <v>-0.67973126286814245</v>
      </c>
      <c r="O34" s="14"/>
      <c r="P34" s="1">
        <f>SUM(OSRRefP22_1x_0)</f>
        <v>44854.67</v>
      </c>
      <c r="Q34" s="1"/>
      <c r="R34" s="5">
        <f t="shared" ref="R34:R40" si="24">IF(P$12=0,0,P34/P$12)</f>
        <v>1.994877900388349</v>
      </c>
      <c r="S34" s="1"/>
      <c r="T34" s="1">
        <f>SUM(OSRRefT22_1x_0)</f>
        <v>142272.81</v>
      </c>
      <c r="U34" s="1"/>
      <c r="V34" s="5">
        <f t="shared" ref="V34:V40" si="25">IF(T$12=0,0,T34/T$12)</f>
        <v>0.29125308535473216</v>
      </c>
      <c r="W34" s="1"/>
      <c r="X34" s="1">
        <f t="shared" ref="X34:X40" si="26">+P34-T34</f>
        <v>-97418.14</v>
      </c>
      <c r="Y34" s="1"/>
      <c r="Z34" s="5">
        <f t="shared" ref="Z34:Z40" si="27">IF(T34=0,0,X34/T34)</f>
        <v>-0.68472774242668011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>
        <v>7766.02</v>
      </c>
      <c r="E35" s="2"/>
      <c r="F35" s="6">
        <f t="shared" si="20"/>
        <v>2.4599366487171368</v>
      </c>
      <c r="G35" s="2"/>
      <c r="H35" s="7">
        <v>14032.77</v>
      </c>
      <c r="I35" s="2"/>
      <c r="J35" s="6">
        <f t="shared" si="21"/>
        <v>5.7990117921922109E-2</v>
      </c>
      <c r="K35" s="2"/>
      <c r="L35" s="7">
        <f t="shared" si="22"/>
        <v>-6266.75</v>
      </c>
      <c r="M35" s="2"/>
      <c r="N35" s="6">
        <f t="shared" si="23"/>
        <v>-0.44657968455265779</v>
      </c>
      <c r="O35" s="11"/>
      <c r="P35" s="7">
        <v>18844.240000000002</v>
      </c>
      <c r="Q35" s="2"/>
      <c r="R35" s="6">
        <f t="shared" si="24"/>
        <v>0.83808347995011767</v>
      </c>
      <c r="S35" s="2"/>
      <c r="T35" s="7">
        <v>29900.05</v>
      </c>
      <c r="U35" s="2"/>
      <c r="V35" s="6">
        <f t="shared" si="25"/>
        <v>6.1209740742175257E-2</v>
      </c>
      <c r="W35" s="2"/>
      <c r="X35" s="7">
        <f t="shared" si="26"/>
        <v>-11055.809999999998</v>
      </c>
      <c r="Y35" s="2"/>
      <c r="Z35" s="6">
        <f t="shared" si="27"/>
        <v>-0.36975891344663298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>
        <v>12044.54</v>
      </c>
      <c r="E36" s="2"/>
      <c r="F36" s="6">
        <f t="shared" si="20"/>
        <v>3.8151853025023761</v>
      </c>
      <c r="G36" s="2"/>
      <c r="H36" s="7">
        <v>10702.98</v>
      </c>
      <c r="I36" s="2"/>
      <c r="J36" s="6">
        <f t="shared" si="21"/>
        <v>4.4229832906544746E-2</v>
      </c>
      <c r="K36" s="2"/>
      <c r="L36" s="7">
        <f t="shared" si="22"/>
        <v>1341.5600000000013</v>
      </c>
      <c r="M36" s="2"/>
      <c r="N36" s="6">
        <f t="shared" si="23"/>
        <v>0.1253445302149496</v>
      </c>
      <c r="O36" s="11"/>
      <c r="P36" s="7">
        <v>22746.43</v>
      </c>
      <c r="Q36" s="2"/>
      <c r="R36" s="6">
        <f t="shared" si="24"/>
        <v>1.0116304616605263</v>
      </c>
      <c r="S36" s="2"/>
      <c r="T36" s="7">
        <v>24170.2</v>
      </c>
      <c r="U36" s="2"/>
      <c r="V36" s="6">
        <f t="shared" si="25"/>
        <v>4.9479906411077058E-2</v>
      </c>
      <c r="W36" s="2"/>
      <c r="X36" s="7">
        <f t="shared" si="26"/>
        <v>-1423.7700000000004</v>
      </c>
      <c r="Y36" s="2"/>
      <c r="Z36" s="6">
        <f t="shared" si="27"/>
        <v>-5.8906008225004358E-2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/>
      <c r="E37" s="2"/>
      <c r="F37" s="6">
        <f t="shared" si="20"/>
        <v>0</v>
      </c>
      <c r="G37" s="2"/>
      <c r="H37" s="7">
        <v>11622.4</v>
      </c>
      <c r="I37" s="2"/>
      <c r="J37" s="6">
        <f t="shared" si="21"/>
        <v>4.8029316131864737E-2</v>
      </c>
      <c r="K37" s="2"/>
      <c r="L37" s="7">
        <f t="shared" si="22"/>
        <v>-11622.4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25273.73</v>
      </c>
      <c r="U37" s="2"/>
      <c r="V37" s="6">
        <f t="shared" si="25"/>
        <v>5.1738992439401846E-2</v>
      </c>
      <c r="W37" s="2"/>
      <c r="X37" s="7">
        <f t="shared" si="26"/>
        <v>-25273.73</v>
      </c>
      <c r="Y37" s="2"/>
      <c r="Z37" s="6">
        <f t="shared" si="27"/>
        <v>-1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2305.5</v>
      </c>
      <c r="I38" s="2"/>
      <c r="J38" s="6">
        <f t="shared" si="21"/>
        <v>9.5274287876870659E-3</v>
      </c>
      <c r="K38" s="2"/>
      <c r="L38" s="7">
        <f t="shared" si="22"/>
        <v>-2305.5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5567.07</v>
      </c>
      <c r="U38" s="2"/>
      <c r="V38" s="6">
        <f t="shared" si="25"/>
        <v>1.1396600052292274E-2</v>
      </c>
      <c r="W38" s="2"/>
      <c r="X38" s="7">
        <f t="shared" si="26"/>
        <v>-5567.07</v>
      </c>
      <c r="Y38" s="2"/>
      <c r="Z38" s="6">
        <f t="shared" si="27"/>
        <v>-1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>
        <v>1130</v>
      </c>
      <c r="E39" s="2"/>
      <c r="F39" s="6">
        <f t="shared" si="20"/>
        <v>0.35793474817865062</v>
      </c>
      <c r="G39" s="2"/>
      <c r="H39" s="7">
        <v>25328.69</v>
      </c>
      <c r="I39" s="2"/>
      <c r="J39" s="6">
        <f t="shared" si="21"/>
        <v>0.10467026252890978</v>
      </c>
      <c r="K39" s="2"/>
      <c r="L39" s="7">
        <f t="shared" si="22"/>
        <v>-24198.69</v>
      </c>
      <c r="M39" s="2"/>
      <c r="N39" s="6">
        <f t="shared" si="23"/>
        <v>-0.95538655966810759</v>
      </c>
      <c r="O39" s="11"/>
      <c r="P39" s="7">
        <v>3264</v>
      </c>
      <c r="Q39" s="2"/>
      <c r="R39" s="6">
        <f t="shared" si="24"/>
        <v>0.14516395877770522</v>
      </c>
      <c r="S39" s="2"/>
      <c r="T39" s="7">
        <v>53878.76</v>
      </c>
      <c r="U39" s="2"/>
      <c r="V39" s="6">
        <f t="shared" si="25"/>
        <v>0.11029763933872629</v>
      </c>
      <c r="W39" s="2"/>
      <c r="X39" s="7">
        <f t="shared" si="26"/>
        <v>-50614.76</v>
      </c>
      <c r="Y39" s="2"/>
      <c r="Z39" s="6">
        <f t="shared" si="27"/>
        <v>-0.93941954120696169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/>
      <c r="E40" s="2"/>
      <c r="F40" s="6">
        <f t="shared" si="20"/>
        <v>0</v>
      </c>
      <c r="G40" s="2"/>
      <c r="H40" s="7">
        <v>1392</v>
      </c>
      <c r="I40" s="2"/>
      <c r="J40" s="6">
        <f t="shared" si="21"/>
        <v>5.7524098340752091E-3</v>
      </c>
      <c r="K40" s="2"/>
      <c r="L40" s="7">
        <f t="shared" si="22"/>
        <v>-1392</v>
      </c>
      <c r="M40" s="2"/>
      <c r="N40" s="6">
        <f t="shared" si="23"/>
        <v>-1</v>
      </c>
      <c r="O40" s="11"/>
      <c r="P40" s="7"/>
      <c r="Q40" s="2"/>
      <c r="R40" s="6">
        <f t="shared" si="24"/>
        <v>0</v>
      </c>
      <c r="S40" s="2"/>
      <c r="T40" s="7">
        <v>3483</v>
      </c>
      <c r="U40" s="2"/>
      <c r="V40" s="6">
        <f t="shared" si="25"/>
        <v>7.130206371059461E-3</v>
      </c>
      <c r="W40" s="2"/>
      <c r="X40" s="7">
        <f t="shared" si="26"/>
        <v>-3483</v>
      </c>
      <c r="Y40" s="2"/>
      <c r="Z40" s="6">
        <f t="shared" si="27"/>
        <v>-1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0</v>
      </c>
      <c r="E41" s="1"/>
      <c r="F41" s="5">
        <f t="shared" ref="F41:F62" si="28">IF(D$12=0,0,D41/D$12)</f>
        <v>0</v>
      </c>
      <c r="G41" s="1"/>
      <c r="H41" s="1">
        <f>SUM(OSRRefH22_2x_0)</f>
        <v>1572.55</v>
      </c>
      <c r="I41" s="1"/>
      <c r="J41" s="5">
        <f t="shared" ref="J41:J62" si="29">IF(H$12=0,0,H41/H$12)</f>
        <v>6.4985287963900649E-3</v>
      </c>
      <c r="K41" s="1"/>
      <c r="L41" s="1">
        <f t="shared" ref="L41:L62" si="30">+D41-H41</f>
        <v>-1572.55</v>
      </c>
      <c r="M41" s="1"/>
      <c r="N41" s="5">
        <f t="shared" ref="N41:N62" si="31">IF(H41=0,0,L41/H41)</f>
        <v>-1</v>
      </c>
      <c r="O41" s="14"/>
      <c r="P41" s="1">
        <f>SUM(OSRRefP22_2x_0)</f>
        <v>204.75</v>
      </c>
      <c r="Q41" s="1"/>
      <c r="R41" s="5">
        <f t="shared" ref="R41:R62" si="32">IF(P$12=0,0,P41/P$12)</f>
        <v>9.1061031126639536E-3</v>
      </c>
      <c r="S41" s="1"/>
      <c r="T41" s="1">
        <f>SUM(OSRRefT22_2x_0)</f>
        <v>1995.24</v>
      </c>
      <c r="U41" s="1"/>
      <c r="V41" s="5">
        <f t="shared" ref="V41:V62" si="33">IF(T$12=0,0,T41/T$12)</f>
        <v>4.0845457823119949E-3</v>
      </c>
      <c r="W41" s="1"/>
      <c r="X41" s="1">
        <f t="shared" ref="X41:X62" si="34">+P41-T41</f>
        <v>-1790.49</v>
      </c>
      <c r="Y41" s="1"/>
      <c r="Z41" s="5">
        <f t="shared" ref="Z41:Z62" si="35">IF(T41=0,0,X41/T41)</f>
        <v>-0.89738076622361218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/>
      <c r="E42" s="2"/>
      <c r="F42" s="6">
        <f t="shared" si="28"/>
        <v>0</v>
      </c>
      <c r="G42" s="2"/>
      <c r="H42" s="7">
        <v>1572.55</v>
      </c>
      <c r="I42" s="2"/>
      <c r="J42" s="6">
        <f t="shared" si="29"/>
        <v>6.4985287963900649E-3</v>
      </c>
      <c r="K42" s="2"/>
      <c r="L42" s="7">
        <f t="shared" si="30"/>
        <v>-1572.55</v>
      </c>
      <c r="M42" s="2"/>
      <c r="N42" s="6">
        <f t="shared" si="31"/>
        <v>-1</v>
      </c>
      <c r="O42" s="11"/>
      <c r="P42" s="7">
        <v>204.75</v>
      </c>
      <c r="Q42" s="2"/>
      <c r="R42" s="6">
        <f t="shared" si="32"/>
        <v>9.1061031126639536E-3</v>
      </c>
      <c r="S42" s="2"/>
      <c r="T42" s="7">
        <v>1995.24</v>
      </c>
      <c r="U42" s="2"/>
      <c r="V42" s="6">
        <f t="shared" si="33"/>
        <v>4.0845457823119949E-3</v>
      </c>
      <c r="W42" s="2"/>
      <c r="X42" s="7">
        <f t="shared" si="34"/>
        <v>-1790.49</v>
      </c>
      <c r="Y42" s="2"/>
      <c r="Z42" s="6">
        <f t="shared" si="35"/>
        <v>-0.89738076622361218</v>
      </c>
    </row>
    <row r="43" spans="1:26" s="28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0</v>
      </c>
      <c r="E43" s="1"/>
      <c r="F43" s="5">
        <f t="shared" si="28"/>
        <v>0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0</v>
      </c>
      <c r="M43" s="1"/>
      <c r="N43" s="5">
        <f t="shared" si="31"/>
        <v>0</v>
      </c>
      <c r="O43" s="14"/>
      <c r="P43" s="1">
        <f>SUM(OSRRefP22_3x_0)</f>
        <v>0</v>
      </c>
      <c r="Q43" s="1"/>
      <c r="R43" s="5">
        <f t="shared" si="32"/>
        <v>0</v>
      </c>
      <c r="S43" s="1"/>
      <c r="T43" s="1">
        <f>SUM(OSRRefT22_3x_0)</f>
        <v>-0.1</v>
      </c>
      <c r="U43" s="1"/>
      <c r="V43" s="5">
        <f t="shared" si="33"/>
        <v>-2.0471450964856334E-7</v>
      </c>
      <c r="W43" s="1"/>
      <c r="X43" s="1">
        <f t="shared" si="34"/>
        <v>0.1</v>
      </c>
      <c r="Y43" s="1"/>
      <c r="Z43" s="5">
        <f t="shared" si="35"/>
        <v>-1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7"/>
      <c r="E44" s="2"/>
      <c r="F44" s="6">
        <f t="shared" si="28"/>
        <v>0</v>
      </c>
      <c r="G44" s="2"/>
      <c r="H44" s="7"/>
      <c r="I44" s="2"/>
      <c r="J44" s="6">
        <f t="shared" si="29"/>
        <v>0</v>
      </c>
      <c r="K44" s="2"/>
      <c r="L44" s="7">
        <f t="shared" si="30"/>
        <v>0</v>
      </c>
      <c r="M44" s="2"/>
      <c r="N44" s="6">
        <f t="shared" si="31"/>
        <v>0</v>
      </c>
      <c r="O44" s="11"/>
      <c r="P44" s="7"/>
      <c r="Q44" s="2"/>
      <c r="R44" s="6">
        <f t="shared" si="32"/>
        <v>0</v>
      </c>
      <c r="S44" s="2"/>
      <c r="T44" s="7">
        <v>-0.1</v>
      </c>
      <c r="U44" s="2"/>
      <c r="V44" s="6">
        <f t="shared" si="33"/>
        <v>-2.0471450964856334E-7</v>
      </c>
      <c r="W44" s="2"/>
      <c r="X44" s="7">
        <f t="shared" si="34"/>
        <v>0.1</v>
      </c>
      <c r="Y44" s="2"/>
      <c r="Z44" s="6">
        <f t="shared" si="35"/>
        <v>-1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99.3</v>
      </c>
      <c r="I45" s="1"/>
      <c r="J45" s="5">
        <f t="shared" si="29"/>
        <v>4.1035509807734789E-4</v>
      </c>
      <c r="K45" s="1"/>
      <c r="L45" s="1">
        <f t="shared" si="30"/>
        <v>-99.3</v>
      </c>
      <c r="M45" s="1"/>
      <c r="N45" s="5">
        <f t="shared" si="31"/>
        <v>-1</v>
      </c>
      <c r="O45" s="14"/>
      <c r="P45" s="1">
        <f>SUM(OSRRefP22_4x_0)</f>
        <v>0</v>
      </c>
      <c r="Q45" s="1"/>
      <c r="R45" s="5">
        <f t="shared" si="32"/>
        <v>0</v>
      </c>
      <c r="S45" s="1"/>
      <c r="T45" s="1">
        <f>SUM(OSRRefT22_4x_0)</f>
        <v>177.93</v>
      </c>
      <c r="U45" s="1"/>
      <c r="V45" s="5">
        <f t="shared" si="33"/>
        <v>3.6424852701768878E-4</v>
      </c>
      <c r="W45" s="1"/>
      <c r="X45" s="1">
        <f t="shared" si="34"/>
        <v>-177.93</v>
      </c>
      <c r="Y45" s="1"/>
      <c r="Z45" s="5">
        <f t="shared" si="35"/>
        <v>-1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99.3</v>
      </c>
      <c r="I46" s="2"/>
      <c r="J46" s="6">
        <f t="shared" si="29"/>
        <v>4.1035509807734789E-4</v>
      </c>
      <c r="K46" s="2"/>
      <c r="L46" s="7">
        <f t="shared" si="30"/>
        <v>-99.3</v>
      </c>
      <c r="M46" s="2"/>
      <c r="N46" s="6">
        <f t="shared" si="31"/>
        <v>-1</v>
      </c>
      <c r="O46" s="11"/>
      <c r="P46" s="7"/>
      <c r="Q46" s="2"/>
      <c r="R46" s="6">
        <f t="shared" si="32"/>
        <v>0</v>
      </c>
      <c r="S46" s="2"/>
      <c r="T46" s="7">
        <v>177.93</v>
      </c>
      <c r="U46" s="2"/>
      <c r="V46" s="6">
        <f t="shared" si="33"/>
        <v>3.6424852701768878E-4</v>
      </c>
      <c r="W46" s="2"/>
      <c r="X46" s="7">
        <f t="shared" si="34"/>
        <v>-177.93</v>
      </c>
      <c r="Y46" s="2"/>
      <c r="Z46" s="6">
        <f t="shared" si="35"/>
        <v>-1</v>
      </c>
    </row>
    <row r="47" spans="1:26" s="28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281.26</v>
      </c>
      <c r="E47" s="1"/>
      <c r="F47" s="5">
        <f t="shared" si="28"/>
        <v>8.9090909090909082E-2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281.26</v>
      </c>
      <c r="M47" s="1"/>
      <c r="N47" s="5">
        <f t="shared" si="31"/>
        <v>0</v>
      </c>
      <c r="O47" s="14"/>
      <c r="P47" s="1">
        <f>SUM(OSRRefP22_5x_0)</f>
        <v>281.26</v>
      </c>
      <c r="Q47" s="1"/>
      <c r="R47" s="5">
        <f t="shared" si="32"/>
        <v>1.2508828139037184E-2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281.26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281.26</v>
      </c>
      <c r="E48" s="2"/>
      <c r="F48" s="6">
        <f t="shared" si="28"/>
        <v>8.9090909090909082E-2</v>
      </c>
      <c r="G48" s="2"/>
      <c r="H48" s="7"/>
      <c r="I48" s="2"/>
      <c r="J48" s="6">
        <f t="shared" si="29"/>
        <v>0</v>
      </c>
      <c r="K48" s="2"/>
      <c r="L48" s="7">
        <f t="shared" si="30"/>
        <v>281.26</v>
      </c>
      <c r="M48" s="2"/>
      <c r="N48" s="6">
        <f t="shared" si="31"/>
        <v>0</v>
      </c>
      <c r="O48" s="11"/>
      <c r="P48" s="7">
        <v>281.26</v>
      </c>
      <c r="Q48" s="2"/>
      <c r="R48" s="6">
        <f t="shared" si="32"/>
        <v>1.2508828139037184E-2</v>
      </c>
      <c r="S48" s="2"/>
      <c r="T48" s="7"/>
      <c r="U48" s="2"/>
      <c r="V48" s="6">
        <f t="shared" si="33"/>
        <v>0</v>
      </c>
      <c r="W48" s="2"/>
      <c r="X48" s="7">
        <f t="shared" si="34"/>
        <v>281.26</v>
      </c>
      <c r="Y48" s="2"/>
      <c r="Z48" s="6">
        <f t="shared" si="35"/>
        <v>0</v>
      </c>
    </row>
    <row r="49" spans="1:26" s="28" customFormat="1" outlineLevel="1" collapsed="1" x14ac:dyDescent="0.25">
      <c r="A49" s="27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0</v>
      </c>
      <c r="E49" s="1"/>
      <c r="F49" s="5">
        <f t="shared" si="28"/>
        <v>0</v>
      </c>
      <c r="G49" s="1"/>
      <c r="H49" s="1">
        <f>SUM(OSRRefH22_6x_0)</f>
        <v>3896.02</v>
      </c>
      <c r="I49" s="1"/>
      <c r="J49" s="5">
        <f t="shared" si="29"/>
        <v>1.6100218219650644E-2</v>
      </c>
      <c r="K49" s="1"/>
      <c r="L49" s="1">
        <f t="shared" si="30"/>
        <v>-3896.02</v>
      </c>
      <c r="M49" s="1"/>
      <c r="N49" s="5">
        <f t="shared" si="31"/>
        <v>-1</v>
      </c>
      <c r="O49" s="14"/>
      <c r="P49" s="1">
        <f>SUM(OSRRefP22_6x_0)</f>
        <v>0</v>
      </c>
      <c r="Q49" s="1"/>
      <c r="R49" s="5">
        <f t="shared" si="32"/>
        <v>0</v>
      </c>
      <c r="S49" s="1"/>
      <c r="T49" s="1">
        <f>SUM(OSRRefT22_6x_0)</f>
        <v>3896.02</v>
      </c>
      <c r="U49" s="1"/>
      <c r="V49" s="5">
        <f t="shared" si="33"/>
        <v>7.9757182388099576E-3</v>
      </c>
      <c r="W49" s="1"/>
      <c r="X49" s="1">
        <f t="shared" si="34"/>
        <v>-3896.02</v>
      </c>
      <c r="Y49" s="1"/>
      <c r="Z49" s="5">
        <f t="shared" si="35"/>
        <v>-1</v>
      </c>
    </row>
    <row r="50" spans="1:26" s="24" customFormat="1" hidden="1" outlineLevel="2" x14ac:dyDescent="0.25">
      <c r="A50" s="29"/>
      <c r="B50" s="11" t="str">
        <f>CONCATENATE("          ", "6399", " - ", "DONATION-ON CAMPUS")</f>
        <v xml:space="preserve">          6399 - DONATION-ON CAMPUS</v>
      </c>
      <c r="C50" s="11"/>
      <c r="D50" s="7"/>
      <c r="E50" s="2"/>
      <c r="F50" s="6">
        <f t="shared" si="28"/>
        <v>0</v>
      </c>
      <c r="G50" s="2"/>
      <c r="H50" s="7">
        <v>3896.02</v>
      </c>
      <c r="I50" s="2"/>
      <c r="J50" s="6">
        <f t="shared" si="29"/>
        <v>1.6100218219650644E-2</v>
      </c>
      <c r="K50" s="2"/>
      <c r="L50" s="7">
        <f t="shared" si="30"/>
        <v>-3896.02</v>
      </c>
      <c r="M50" s="2"/>
      <c r="N50" s="6">
        <f t="shared" si="31"/>
        <v>-1</v>
      </c>
      <c r="O50" s="11"/>
      <c r="P50" s="7"/>
      <c r="Q50" s="2"/>
      <c r="R50" s="6">
        <f t="shared" si="32"/>
        <v>0</v>
      </c>
      <c r="S50" s="2"/>
      <c r="T50" s="7">
        <v>3896.02</v>
      </c>
      <c r="U50" s="2"/>
      <c r="V50" s="6">
        <f t="shared" si="33"/>
        <v>7.9757182388099576E-3</v>
      </c>
      <c r="W50" s="2"/>
      <c r="X50" s="7">
        <f t="shared" si="34"/>
        <v>-3896.02</v>
      </c>
      <c r="Y50" s="2"/>
      <c r="Z50" s="6">
        <f t="shared" si="35"/>
        <v>-1</v>
      </c>
    </row>
    <row r="51" spans="1:26" s="28" customFormat="1" outlineLevel="1" collapsed="1" x14ac:dyDescent="0.25">
      <c r="A51" s="27"/>
      <c r="B51" s="14" t="str">
        <f>CONCATENATE("     ","Equipment Rental                                  ")</f>
        <v xml:space="preserve">     Equipment Rental                                  </v>
      </c>
      <c r="C51" s="14"/>
      <c r="D51" s="1">
        <f>SUM(OSRRefD22_7x_0)</f>
        <v>312.27</v>
      </c>
      <c r="E51" s="1"/>
      <c r="F51" s="5">
        <f t="shared" si="28"/>
        <v>9.8913525498891347E-2</v>
      </c>
      <c r="G51" s="1"/>
      <c r="H51" s="1">
        <f>SUM(OSRRefH22_7x_0)</f>
        <v>816.38</v>
      </c>
      <c r="I51" s="1"/>
      <c r="J51" s="5">
        <f t="shared" si="29"/>
        <v>3.3736726582918961E-3</v>
      </c>
      <c r="K51" s="1"/>
      <c r="L51" s="1">
        <f t="shared" si="30"/>
        <v>-504.11</v>
      </c>
      <c r="M51" s="1"/>
      <c r="N51" s="5">
        <f t="shared" si="31"/>
        <v>-0.61749430412307993</v>
      </c>
      <c r="O51" s="14"/>
      <c r="P51" s="1">
        <f>SUM(OSRRefP22_7x_0)</f>
        <v>486.22</v>
      </c>
      <c r="Q51" s="1"/>
      <c r="R51" s="5">
        <f t="shared" si="32"/>
        <v>2.1624270844637205E-2</v>
      </c>
      <c r="S51" s="1"/>
      <c r="T51" s="1">
        <f>SUM(OSRRefT22_7x_0)</f>
        <v>900.16</v>
      </c>
      <c r="U51" s="1"/>
      <c r="V51" s="5">
        <f t="shared" si="33"/>
        <v>1.8427581300525077E-3</v>
      </c>
      <c r="W51" s="1"/>
      <c r="X51" s="1">
        <f t="shared" si="34"/>
        <v>-413.93999999999994</v>
      </c>
      <c r="Y51" s="1"/>
      <c r="Z51" s="5">
        <f t="shared" si="35"/>
        <v>-0.45985158194098824</v>
      </c>
    </row>
    <row r="52" spans="1:26" s="24" customFormat="1" hidden="1" outlineLevel="2" x14ac:dyDescent="0.25">
      <c r="A52" s="29"/>
      <c r="B52" s="11" t="str">
        <f>CONCATENATE("          ", "6351", " - ", "EQUIPMENT RENTAL")</f>
        <v xml:space="preserve">          6351 - EQUIPMENT RENTAL</v>
      </c>
      <c r="C52" s="11"/>
      <c r="D52" s="7">
        <v>312.27</v>
      </c>
      <c r="E52" s="2"/>
      <c r="F52" s="6">
        <f t="shared" si="28"/>
        <v>9.8913525498891347E-2</v>
      </c>
      <c r="G52" s="2"/>
      <c r="H52" s="7">
        <v>816.38</v>
      </c>
      <c r="I52" s="2"/>
      <c r="J52" s="6">
        <f t="shared" si="29"/>
        <v>3.3736726582918961E-3</v>
      </c>
      <c r="K52" s="2"/>
      <c r="L52" s="7">
        <f t="shared" si="30"/>
        <v>-504.11</v>
      </c>
      <c r="M52" s="2"/>
      <c r="N52" s="6">
        <f t="shared" si="31"/>
        <v>-0.61749430412307993</v>
      </c>
      <c r="O52" s="11"/>
      <c r="P52" s="7">
        <v>486.22</v>
      </c>
      <c r="Q52" s="2"/>
      <c r="R52" s="6">
        <f t="shared" si="32"/>
        <v>2.1624270844637205E-2</v>
      </c>
      <c r="S52" s="2"/>
      <c r="T52" s="7">
        <v>900.16</v>
      </c>
      <c r="U52" s="2"/>
      <c r="V52" s="6">
        <f t="shared" si="33"/>
        <v>1.8427581300525077E-3</v>
      </c>
      <c r="W52" s="2"/>
      <c r="X52" s="7">
        <f t="shared" si="34"/>
        <v>-413.93999999999994</v>
      </c>
      <c r="Y52" s="2"/>
      <c r="Z52" s="6">
        <f t="shared" si="35"/>
        <v>-0.45985158194098824</v>
      </c>
    </row>
    <row r="53" spans="1:26" s="28" customFormat="1" outlineLevel="1" collapsed="1" x14ac:dyDescent="0.25">
      <c r="A53" s="27"/>
      <c r="B53" s="14" t="str">
        <f>CONCATENATE("     ","General                                           ")</f>
        <v xml:space="preserve">     General                                           </v>
      </c>
      <c r="C53" s="14"/>
      <c r="D53" s="1">
        <f>SUM(OSRRefD22_8x_0)</f>
        <v>80.650000000000006</v>
      </c>
      <c r="E53" s="1"/>
      <c r="F53" s="5">
        <f t="shared" si="28"/>
        <v>2.5546404814697499E-2</v>
      </c>
      <c r="G53" s="1"/>
      <c r="H53" s="1">
        <f>SUM(OSRRefH22_8x_0)</f>
        <v>110</v>
      </c>
      <c r="I53" s="1"/>
      <c r="J53" s="5">
        <f t="shared" si="29"/>
        <v>4.5457261619847201E-4</v>
      </c>
      <c r="K53" s="1"/>
      <c r="L53" s="1">
        <f t="shared" si="30"/>
        <v>-29.349999999999994</v>
      </c>
      <c r="M53" s="1"/>
      <c r="N53" s="5">
        <f t="shared" si="31"/>
        <v>-0.26681818181818179</v>
      </c>
      <c r="O53" s="14"/>
      <c r="P53" s="1">
        <f>SUM(OSRRefP22_8x_0)</f>
        <v>3500.2</v>
      </c>
      <c r="Q53" s="1"/>
      <c r="R53" s="5">
        <f t="shared" si="32"/>
        <v>0.15566877711817517</v>
      </c>
      <c r="S53" s="1"/>
      <c r="T53" s="1">
        <f>SUM(OSRRefT22_8x_0)</f>
        <v>1499.55</v>
      </c>
      <c r="U53" s="1"/>
      <c r="V53" s="5">
        <f t="shared" si="33"/>
        <v>3.0697964294350314E-3</v>
      </c>
      <c r="W53" s="1"/>
      <c r="X53" s="1">
        <f t="shared" si="34"/>
        <v>2000.6499999999999</v>
      </c>
      <c r="Y53" s="1"/>
      <c r="Z53" s="5">
        <f t="shared" si="35"/>
        <v>1.3341669167416892</v>
      </c>
    </row>
    <row r="54" spans="1:26" s="24" customFormat="1" hidden="1" outlineLevel="2" x14ac:dyDescent="0.25">
      <c r="A54" s="29"/>
      <c r="B54" s="11" t="str">
        <f>CONCATENATE("          ", "6279", " - ", "GENERAL EXPENSE")</f>
        <v xml:space="preserve">          6279 - GENERAL EXPENSE</v>
      </c>
      <c r="C54" s="11"/>
      <c r="D54" s="7">
        <v>80.650000000000006</v>
      </c>
      <c r="E54" s="2"/>
      <c r="F54" s="6">
        <f t="shared" si="28"/>
        <v>2.5546404814697499E-2</v>
      </c>
      <c r="G54" s="2"/>
      <c r="H54" s="7">
        <v>110</v>
      </c>
      <c r="I54" s="2"/>
      <c r="J54" s="6">
        <f t="shared" si="29"/>
        <v>4.5457261619847201E-4</v>
      </c>
      <c r="K54" s="2"/>
      <c r="L54" s="7">
        <f t="shared" si="30"/>
        <v>-29.349999999999994</v>
      </c>
      <c r="M54" s="2"/>
      <c r="N54" s="6">
        <f t="shared" si="31"/>
        <v>-0.26681818181818179</v>
      </c>
      <c r="O54" s="11"/>
      <c r="P54" s="7">
        <v>3500.2</v>
      </c>
      <c r="Q54" s="2"/>
      <c r="R54" s="6">
        <f t="shared" si="32"/>
        <v>0.15566877711817517</v>
      </c>
      <c r="S54" s="2"/>
      <c r="T54" s="7">
        <v>1499.55</v>
      </c>
      <c r="U54" s="2"/>
      <c r="V54" s="6">
        <f t="shared" si="33"/>
        <v>3.0697964294350314E-3</v>
      </c>
      <c r="W54" s="2"/>
      <c r="X54" s="7">
        <f t="shared" si="34"/>
        <v>2000.6499999999999</v>
      </c>
      <c r="Y54" s="2"/>
      <c r="Z54" s="6">
        <f t="shared" si="35"/>
        <v>1.3341669167416892</v>
      </c>
    </row>
    <row r="55" spans="1:26" s="28" customFormat="1" outlineLevel="1" collapsed="1" x14ac:dyDescent="0.25">
      <c r="A55" s="27"/>
      <c r="B55" s="14" t="str">
        <f>CONCATENATE("     ","R/H Commissions                                   ")</f>
        <v xml:space="preserve">     R/H Commissions                                   </v>
      </c>
      <c r="C55" s="14"/>
      <c r="D55" s="1">
        <f>SUM(OSRRefD22_9x_0)</f>
        <v>144</v>
      </c>
      <c r="E55" s="1"/>
      <c r="F55" s="5">
        <f t="shared" si="28"/>
        <v>4.5612923661704149E-2</v>
      </c>
      <c r="G55" s="1"/>
      <c r="H55" s="1">
        <f>SUM(OSRRefH22_9x_0)</f>
        <v>11346.44</v>
      </c>
      <c r="I55" s="1"/>
      <c r="J55" s="5">
        <f t="shared" si="29"/>
        <v>4.6888917412172645E-2</v>
      </c>
      <c r="K55" s="1"/>
      <c r="L55" s="1">
        <f t="shared" si="30"/>
        <v>-11202.44</v>
      </c>
      <c r="M55" s="1"/>
      <c r="N55" s="5">
        <f t="shared" si="31"/>
        <v>-0.9873087946527721</v>
      </c>
      <c r="O55" s="14"/>
      <c r="P55" s="1">
        <f>SUM(OSRRefP22_9x_0)</f>
        <v>1295.68</v>
      </c>
      <c r="Q55" s="1"/>
      <c r="R55" s="5">
        <f t="shared" si="32"/>
        <v>5.7624398930483184E-2</v>
      </c>
      <c r="S55" s="1"/>
      <c r="T55" s="1">
        <f>SUM(OSRRefT22_9x_0)</f>
        <v>30754.84</v>
      </c>
      <c r="U55" s="1"/>
      <c r="V55" s="5">
        <f t="shared" si="33"/>
        <v>6.2959619899200223E-2</v>
      </c>
      <c r="W55" s="1"/>
      <c r="X55" s="1">
        <f t="shared" si="34"/>
        <v>-29459.16</v>
      </c>
      <c r="Y55" s="1"/>
      <c r="Z55" s="5">
        <f t="shared" si="35"/>
        <v>-0.95787069612457743</v>
      </c>
    </row>
    <row r="56" spans="1:26" s="24" customFormat="1" hidden="1" outlineLevel="2" x14ac:dyDescent="0.25">
      <c r="A56" s="29"/>
      <c r="B56" s="11" t="str">
        <f>CONCATENATE("          ", "6387", " - ", "COMMISSION DUE HOUSING")</f>
        <v xml:space="preserve">          6387 - COMMISSION DUE HOUSING</v>
      </c>
      <c r="C56" s="11"/>
      <c r="D56" s="7">
        <v>144</v>
      </c>
      <c r="E56" s="2"/>
      <c r="F56" s="6">
        <f t="shared" si="28"/>
        <v>4.5612923661704149E-2</v>
      </c>
      <c r="G56" s="2"/>
      <c r="H56" s="7">
        <v>11346.44</v>
      </c>
      <c r="I56" s="2"/>
      <c r="J56" s="6">
        <f t="shared" si="29"/>
        <v>4.6888917412172645E-2</v>
      </c>
      <c r="K56" s="2"/>
      <c r="L56" s="7">
        <f t="shared" si="30"/>
        <v>-11202.44</v>
      </c>
      <c r="M56" s="2"/>
      <c r="N56" s="6">
        <f t="shared" si="31"/>
        <v>-0.9873087946527721</v>
      </c>
      <c r="O56" s="11"/>
      <c r="P56" s="7">
        <v>1295.68</v>
      </c>
      <c r="Q56" s="2"/>
      <c r="R56" s="6">
        <f t="shared" si="32"/>
        <v>5.7624398930483184E-2</v>
      </c>
      <c r="S56" s="2"/>
      <c r="T56" s="7">
        <v>30754.84</v>
      </c>
      <c r="U56" s="2"/>
      <c r="V56" s="6">
        <f t="shared" si="33"/>
        <v>6.2959619899200223E-2</v>
      </c>
      <c r="W56" s="2"/>
      <c r="X56" s="7">
        <f t="shared" si="34"/>
        <v>-29459.16</v>
      </c>
      <c r="Y56" s="2"/>
      <c r="Z56" s="6">
        <f t="shared" si="35"/>
        <v>-0.95787069612457743</v>
      </c>
    </row>
    <row r="57" spans="1:26" s="28" customFormat="1" outlineLevel="1" collapsed="1" x14ac:dyDescent="0.25">
      <c r="A57" s="27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SUM(OSRRefD22_10x_0)</f>
        <v>1085.0999999999999</v>
      </c>
      <c r="E57" s="1"/>
      <c r="F57" s="5">
        <f t="shared" si="28"/>
        <v>0.34371238517579977</v>
      </c>
      <c r="G57" s="1"/>
      <c r="H57" s="1">
        <f>SUM(OSRRefH22_10x_0)</f>
        <v>0</v>
      </c>
      <c r="I57" s="1"/>
      <c r="J57" s="5">
        <f t="shared" si="29"/>
        <v>0</v>
      </c>
      <c r="K57" s="1"/>
      <c r="L57" s="1">
        <f t="shared" si="30"/>
        <v>1085.0999999999999</v>
      </c>
      <c r="M57" s="1"/>
      <c r="N57" s="5">
        <f t="shared" si="31"/>
        <v>0</v>
      </c>
      <c r="O57" s="14"/>
      <c r="P57" s="1">
        <f>SUM(OSRRefP22_10x_0)</f>
        <v>1085.0999999999999</v>
      </c>
      <c r="Q57" s="1"/>
      <c r="R57" s="5">
        <f t="shared" si="32"/>
        <v>4.8259010928213213E-2</v>
      </c>
      <c r="S57" s="1"/>
      <c r="T57" s="1">
        <f>SUM(OSRRefT22_10x_0)</f>
        <v>0</v>
      </c>
      <c r="U57" s="1"/>
      <c r="V57" s="5">
        <f t="shared" si="33"/>
        <v>0</v>
      </c>
      <c r="W57" s="1"/>
      <c r="X57" s="1">
        <f t="shared" si="34"/>
        <v>1085.0999999999999</v>
      </c>
      <c r="Y57" s="1"/>
      <c r="Z57" s="5">
        <f t="shared" si="35"/>
        <v>0</v>
      </c>
    </row>
    <row r="58" spans="1:26" s="24" customFormat="1" hidden="1" outlineLevel="2" x14ac:dyDescent="0.25">
      <c r="A58" s="29"/>
      <c r="B58" s="11" t="str">
        <f>CONCATENATE("          ", "6373", " - ", "MAINTENANCE CONTRACTS")</f>
        <v xml:space="preserve">          6373 - MAINTENANCE CONTRACTS</v>
      </c>
      <c r="C58" s="11"/>
      <c r="D58" s="7">
        <v>1085.0999999999999</v>
      </c>
      <c r="E58" s="2"/>
      <c r="F58" s="6">
        <f t="shared" si="28"/>
        <v>0.34371238517579977</v>
      </c>
      <c r="G58" s="2"/>
      <c r="H58" s="7"/>
      <c r="I58" s="2"/>
      <c r="J58" s="6">
        <f t="shared" si="29"/>
        <v>0</v>
      </c>
      <c r="K58" s="2"/>
      <c r="L58" s="7">
        <f t="shared" si="30"/>
        <v>1085.0999999999999</v>
      </c>
      <c r="M58" s="2"/>
      <c r="N58" s="6">
        <f t="shared" si="31"/>
        <v>0</v>
      </c>
      <c r="O58" s="11"/>
      <c r="P58" s="7">
        <v>1085.0999999999999</v>
      </c>
      <c r="Q58" s="2"/>
      <c r="R58" s="6">
        <f t="shared" si="32"/>
        <v>4.8259010928213213E-2</v>
      </c>
      <c r="S58" s="2"/>
      <c r="T58" s="7"/>
      <c r="U58" s="2"/>
      <c r="V58" s="6">
        <f t="shared" si="33"/>
        <v>0</v>
      </c>
      <c r="W58" s="2"/>
      <c r="X58" s="7">
        <f t="shared" si="34"/>
        <v>1085.0999999999999</v>
      </c>
      <c r="Y58" s="2"/>
      <c r="Z58" s="6">
        <f t="shared" si="35"/>
        <v>0</v>
      </c>
    </row>
    <row r="59" spans="1:26" s="28" customFormat="1" outlineLevel="1" collapsed="1" x14ac:dyDescent="0.25">
      <c r="A59" s="27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SUM(OSRRefD22_11x_0)</f>
        <v>6033.7199999999993</v>
      </c>
      <c r="E59" s="1"/>
      <c r="F59" s="5">
        <f t="shared" si="28"/>
        <v>1.9112195121951217</v>
      </c>
      <c r="G59" s="1"/>
      <c r="H59" s="1">
        <f>SUM(OSRRefH22_11x_0)</f>
        <v>6250.5899999999992</v>
      </c>
      <c r="I59" s="1"/>
      <c r="J59" s="5">
        <f t="shared" si="29"/>
        <v>2.5830427718945517E-2</v>
      </c>
      <c r="K59" s="1"/>
      <c r="L59" s="1">
        <f t="shared" si="30"/>
        <v>-216.86999999999989</v>
      </c>
      <c r="M59" s="1"/>
      <c r="N59" s="5">
        <f t="shared" si="31"/>
        <v>-3.4695924704707864E-2</v>
      </c>
      <c r="O59" s="14"/>
      <c r="P59" s="1">
        <f>SUM(OSRRefP22_11x_0)</f>
        <v>15941.869999999999</v>
      </c>
      <c r="Q59" s="1"/>
      <c r="R59" s="5">
        <f t="shared" si="32"/>
        <v>0.70900274495083804</v>
      </c>
      <c r="S59" s="1"/>
      <c r="T59" s="1">
        <f>SUM(OSRRefT22_11x_0)</f>
        <v>12746.3</v>
      </c>
      <c r="U59" s="1"/>
      <c r="V59" s="5">
        <f t="shared" si="33"/>
        <v>2.6093525543334828E-2</v>
      </c>
      <c r="W59" s="1"/>
      <c r="X59" s="1">
        <f t="shared" si="34"/>
        <v>3195.5699999999997</v>
      </c>
      <c r="Y59" s="1"/>
      <c r="Z59" s="5">
        <f t="shared" si="35"/>
        <v>0.25070569498599593</v>
      </c>
    </row>
    <row r="60" spans="1:26" s="24" customFormat="1" hidden="1" outlineLevel="2" x14ac:dyDescent="0.25">
      <c r="A60" s="29"/>
      <c r="B60" s="11" t="str">
        <f>CONCATENATE("          ", "6282", " - ", "JANITORIAL/EXTERMINATOR EXPENS")</f>
        <v xml:space="preserve">          6282 - JANITORIAL/EXTERMINATOR EXPENS</v>
      </c>
      <c r="C60" s="11"/>
      <c r="D60" s="7">
        <v>417.32</v>
      </c>
      <c r="E60" s="2"/>
      <c r="F60" s="6">
        <f t="shared" si="28"/>
        <v>0.13218878682293317</v>
      </c>
      <c r="G60" s="2"/>
      <c r="H60" s="7">
        <v>417.32</v>
      </c>
      <c r="I60" s="2"/>
      <c r="J60" s="6">
        <f t="shared" si="29"/>
        <v>1.7245658562904213E-3</v>
      </c>
      <c r="K60" s="2"/>
      <c r="L60" s="7">
        <f t="shared" si="30"/>
        <v>0</v>
      </c>
      <c r="M60" s="2"/>
      <c r="N60" s="6">
        <f t="shared" si="31"/>
        <v>0</v>
      </c>
      <c r="O60" s="11"/>
      <c r="P60" s="7">
        <v>548.02</v>
      </c>
      <c r="Q60" s="2"/>
      <c r="R60" s="6">
        <f t="shared" si="32"/>
        <v>2.4372779622965076E-2</v>
      </c>
      <c r="S60" s="2"/>
      <c r="T60" s="7">
        <v>834.64</v>
      </c>
      <c r="U60" s="2"/>
      <c r="V60" s="6">
        <f t="shared" si="33"/>
        <v>1.7086291833307691E-3</v>
      </c>
      <c r="W60" s="2"/>
      <c r="X60" s="7">
        <f t="shared" si="34"/>
        <v>-286.62</v>
      </c>
      <c r="Y60" s="2"/>
      <c r="Z60" s="6">
        <f t="shared" si="35"/>
        <v>-0.34340554011310265</v>
      </c>
    </row>
    <row r="61" spans="1:26" s="24" customFormat="1" hidden="1" outlineLevel="2" x14ac:dyDescent="0.25">
      <c r="A61" s="29"/>
      <c r="B61" s="11" t="str">
        <f>CONCATENATE("          ", "6285", " - ", "JANITORIAL SERVICES")</f>
        <v xml:space="preserve">          6285 - JANITORIAL SERVICES</v>
      </c>
      <c r="C61" s="11"/>
      <c r="D61" s="7">
        <v>4157.05</v>
      </c>
      <c r="E61" s="2"/>
      <c r="F61" s="6">
        <f t="shared" si="28"/>
        <v>1.3167722521381058</v>
      </c>
      <c r="G61" s="2"/>
      <c r="H61" s="7">
        <v>4105.03</v>
      </c>
      <c r="I61" s="2"/>
      <c r="J61" s="6">
        <f t="shared" si="29"/>
        <v>1.696394751521103E-2</v>
      </c>
      <c r="K61" s="2"/>
      <c r="L61" s="7">
        <f t="shared" si="30"/>
        <v>52.020000000000437</v>
      </c>
      <c r="M61" s="2"/>
      <c r="N61" s="6">
        <f t="shared" si="31"/>
        <v>1.2672258180817299E-2</v>
      </c>
      <c r="O61" s="11"/>
      <c r="P61" s="7">
        <v>12471.15</v>
      </c>
      <c r="Q61" s="2"/>
      <c r="R61" s="6">
        <f t="shared" si="32"/>
        <v>0.5546450687838782</v>
      </c>
      <c r="S61" s="2"/>
      <c r="T61" s="7">
        <v>7987.1</v>
      </c>
      <c r="U61" s="2"/>
      <c r="V61" s="6">
        <f t="shared" si="33"/>
        <v>1.6350752600140402E-2</v>
      </c>
      <c r="W61" s="2"/>
      <c r="X61" s="7">
        <f t="shared" si="34"/>
        <v>4484.0499999999993</v>
      </c>
      <c r="Y61" s="2"/>
      <c r="Z61" s="6">
        <f t="shared" si="35"/>
        <v>0.56141152608581324</v>
      </c>
    </row>
    <row r="62" spans="1:26" s="24" customFormat="1" hidden="1" outlineLevel="2" x14ac:dyDescent="0.25">
      <c r="A62" s="29"/>
      <c r="B62" s="11" t="str">
        <f>CONCATENATE("          ", "6286", " - ", "LAUNDRY EXPENSE")</f>
        <v xml:space="preserve">          6286 - LAUNDRY EXPENSE</v>
      </c>
      <c r="C62" s="11"/>
      <c r="D62" s="7">
        <v>1459.35</v>
      </c>
      <c r="E62" s="2"/>
      <c r="F62" s="6">
        <f t="shared" si="28"/>
        <v>0.46225847323408298</v>
      </c>
      <c r="G62" s="2"/>
      <c r="H62" s="7">
        <v>1728.24</v>
      </c>
      <c r="I62" s="2"/>
      <c r="J62" s="6">
        <f t="shared" si="29"/>
        <v>7.1419143474440658E-3</v>
      </c>
      <c r="K62" s="2"/>
      <c r="L62" s="7">
        <f t="shared" si="30"/>
        <v>-268.8900000000001</v>
      </c>
      <c r="M62" s="2"/>
      <c r="N62" s="6">
        <f t="shared" si="31"/>
        <v>-0.15558602971809476</v>
      </c>
      <c r="O62" s="11"/>
      <c r="P62" s="7">
        <v>2922.7</v>
      </c>
      <c r="Q62" s="2"/>
      <c r="R62" s="6">
        <f t="shared" si="32"/>
        <v>0.12998489654399481</v>
      </c>
      <c r="S62" s="2"/>
      <c r="T62" s="7">
        <v>3924.56</v>
      </c>
      <c r="U62" s="2"/>
      <c r="V62" s="6">
        <f t="shared" si="33"/>
        <v>8.0341437598636569E-3</v>
      </c>
      <c r="W62" s="2"/>
      <c r="X62" s="7">
        <f t="shared" si="34"/>
        <v>-1001.8600000000001</v>
      </c>
      <c r="Y62" s="2"/>
      <c r="Z62" s="6">
        <f t="shared" si="35"/>
        <v>-0.25527957274191249</v>
      </c>
    </row>
    <row r="63" spans="1:26" s="28" customFormat="1" outlineLevel="1" collapsed="1" x14ac:dyDescent="0.25">
      <c r="A63" s="27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SUM(OSRRefD22_12x_0)</f>
        <v>4428.42</v>
      </c>
      <c r="E63" s="1"/>
      <c r="F63" s="5">
        <f t="shared" ref="F63:F70" si="36">IF(D$12=0,0,D63/D$12)</f>
        <v>1.402730440291416</v>
      </c>
      <c r="G63" s="1"/>
      <c r="H63" s="1">
        <f>SUM(OSRRefH22_12x_0)</f>
        <v>7177.39</v>
      </c>
      <c r="I63" s="1"/>
      <c r="J63" s="5">
        <f t="shared" ref="J63:J70" si="37">IF(H$12=0,0,H63/H$12)</f>
        <v>2.9660408634334102E-2</v>
      </c>
      <c r="K63" s="1"/>
      <c r="L63" s="1">
        <f t="shared" ref="L63:L70" si="38">+D63-H63</f>
        <v>-2748.9700000000003</v>
      </c>
      <c r="M63" s="1"/>
      <c r="N63" s="5">
        <f t="shared" ref="N63:N70" si="39">IF(H63=0,0,L63/H63)</f>
        <v>-0.38300412824160318</v>
      </c>
      <c r="O63" s="14"/>
      <c r="P63" s="1">
        <f>SUM(OSRRefP22_12x_0)</f>
        <v>6357.74</v>
      </c>
      <c r="Q63" s="1"/>
      <c r="R63" s="5">
        <f t="shared" ref="R63:R70" si="40">IF(P$12=0,0,P63/P$12)</f>
        <v>0.28275573139686505</v>
      </c>
      <c r="S63" s="1"/>
      <c r="T63" s="1">
        <f>SUM(OSRRefT22_12x_0)</f>
        <v>14620</v>
      </c>
      <c r="U63" s="1"/>
      <c r="V63" s="5">
        <f t="shared" ref="V63:V70" si="41">IF(T$12=0,0,T63/T$12)</f>
        <v>2.9929261310619959E-2</v>
      </c>
      <c r="W63" s="1"/>
      <c r="X63" s="1">
        <f t="shared" ref="X63:X70" si="42">+P63-T63</f>
        <v>-8262.26</v>
      </c>
      <c r="Y63" s="1"/>
      <c r="Z63" s="5">
        <f t="shared" ref="Z63:Z70" si="43">IF(T63=0,0,X63/T63)</f>
        <v>-0.56513406292749657</v>
      </c>
    </row>
    <row r="64" spans="1:26" s="24" customFormat="1" hidden="1" outlineLevel="2" x14ac:dyDescent="0.25">
      <c r="A64" s="29"/>
      <c r="B64" s="11" t="str">
        <f>CONCATENATE("          ", "6235", " - ", "COVID-19 EXPENSES")</f>
        <v xml:space="preserve">          6235 - COVID-19 EXPENSES</v>
      </c>
      <c r="C64" s="11"/>
      <c r="D64" s="7">
        <v>1082.46</v>
      </c>
      <c r="E64" s="2"/>
      <c r="F64" s="6">
        <f t="shared" si="36"/>
        <v>0.34287614824200191</v>
      </c>
      <c r="G64" s="2"/>
      <c r="H64" s="7"/>
      <c r="I64" s="2"/>
      <c r="J64" s="6">
        <f t="shared" si="37"/>
        <v>0</v>
      </c>
      <c r="K64" s="2"/>
      <c r="L64" s="7">
        <f t="shared" si="38"/>
        <v>1082.46</v>
      </c>
      <c r="M64" s="2"/>
      <c r="N64" s="6">
        <f t="shared" si="39"/>
        <v>0</v>
      </c>
      <c r="O64" s="11"/>
      <c r="P64" s="7">
        <v>1109.3800000000001</v>
      </c>
      <c r="Q64" s="2"/>
      <c r="R64" s="6">
        <f t="shared" si="40"/>
        <v>4.9338845768630707E-2</v>
      </c>
      <c r="S64" s="2"/>
      <c r="T64" s="7"/>
      <c r="U64" s="2"/>
      <c r="V64" s="6">
        <f t="shared" si="41"/>
        <v>0</v>
      </c>
      <c r="W64" s="2"/>
      <c r="X64" s="7">
        <f t="shared" si="42"/>
        <v>1109.3800000000001</v>
      </c>
      <c r="Y64" s="2"/>
      <c r="Z64" s="6">
        <f t="shared" si="43"/>
        <v>0</v>
      </c>
    </row>
    <row r="65" spans="1:26" s="24" customFormat="1" hidden="1" outlineLevel="2" x14ac:dyDescent="0.25">
      <c r="A65" s="29"/>
      <c r="B65" s="11" t="str">
        <f>CONCATENATE("          ", "6237", " - ", "JANITORIAL SUPPLIES")</f>
        <v xml:space="preserve">          6237 - JANITORIAL SUPPLIES</v>
      </c>
      <c r="C65" s="11"/>
      <c r="D65" s="7"/>
      <c r="E65" s="2"/>
      <c r="F65" s="6">
        <f t="shared" si="36"/>
        <v>0</v>
      </c>
      <c r="G65" s="2"/>
      <c r="H65" s="7">
        <v>2537.71</v>
      </c>
      <c r="I65" s="2"/>
      <c r="J65" s="6">
        <f t="shared" si="37"/>
        <v>1.048703158048204E-2</v>
      </c>
      <c r="K65" s="2"/>
      <c r="L65" s="7">
        <f t="shared" si="38"/>
        <v>-2537.71</v>
      </c>
      <c r="M65" s="2"/>
      <c r="N65" s="6">
        <f t="shared" si="39"/>
        <v>-1</v>
      </c>
      <c r="O65" s="11"/>
      <c r="P65" s="7">
        <v>1188.04</v>
      </c>
      <c r="Q65" s="2"/>
      <c r="R65" s="6">
        <f t="shared" si="40"/>
        <v>5.2837190436968412E-2</v>
      </c>
      <c r="S65" s="2"/>
      <c r="T65" s="7">
        <v>5837.68</v>
      </c>
      <c r="U65" s="2"/>
      <c r="V65" s="6">
        <f t="shared" si="41"/>
        <v>1.1950577986852253E-2</v>
      </c>
      <c r="W65" s="2"/>
      <c r="X65" s="7">
        <f t="shared" si="42"/>
        <v>-4649.6400000000003</v>
      </c>
      <c r="Y65" s="2"/>
      <c r="Z65" s="6">
        <f t="shared" si="43"/>
        <v>-0.79648764577708953</v>
      </c>
    </row>
    <row r="66" spans="1:26" s="24" customFormat="1" hidden="1" outlineLevel="2" x14ac:dyDescent="0.25">
      <c r="A66" s="29"/>
      <c r="B66" s="11" t="str">
        <f>CONCATENATE("          ", "6239", " - ", "KITCHEN SUPPLIES")</f>
        <v xml:space="preserve">          6239 - KITCHEN SUPPLIES</v>
      </c>
      <c r="C66" s="11"/>
      <c r="D66" s="7">
        <v>981.07</v>
      </c>
      <c r="E66" s="2"/>
      <c r="F66" s="6">
        <f t="shared" si="36"/>
        <v>0.31076021539436177</v>
      </c>
      <c r="G66" s="2"/>
      <c r="H66" s="7">
        <v>1901.16</v>
      </c>
      <c r="I66" s="2"/>
      <c r="J66" s="6">
        <f t="shared" si="37"/>
        <v>7.8565025001080639E-3</v>
      </c>
      <c r="K66" s="2"/>
      <c r="L66" s="7">
        <f t="shared" si="38"/>
        <v>-920.09</v>
      </c>
      <c r="M66" s="2"/>
      <c r="N66" s="6">
        <f t="shared" si="39"/>
        <v>-0.48396242294178293</v>
      </c>
      <c r="O66" s="11"/>
      <c r="P66" s="7">
        <v>1031.07</v>
      </c>
      <c r="Q66" s="2"/>
      <c r="R66" s="6">
        <f t="shared" si="40"/>
        <v>4.5856067088519768E-2</v>
      </c>
      <c r="S66" s="2"/>
      <c r="T66" s="7">
        <v>2179.89</v>
      </c>
      <c r="U66" s="2"/>
      <c r="V66" s="6">
        <f t="shared" si="41"/>
        <v>4.4625511243780672E-3</v>
      </c>
      <c r="W66" s="2"/>
      <c r="X66" s="7">
        <f t="shared" si="42"/>
        <v>-1148.82</v>
      </c>
      <c r="Y66" s="2"/>
      <c r="Z66" s="6">
        <f t="shared" si="43"/>
        <v>-0.52700824353522424</v>
      </c>
    </row>
    <row r="67" spans="1:26" s="24" customFormat="1" hidden="1" outlineLevel="2" x14ac:dyDescent="0.25">
      <c r="A67" s="29"/>
      <c r="B67" s="11" t="str">
        <f>CONCATENATE("          ", "6241", " - ", "OFFICE EXPENSE")</f>
        <v xml:space="preserve">          6241 - OFFICE EXPENSE</v>
      </c>
      <c r="C67" s="11"/>
      <c r="D67" s="7">
        <v>3.22</v>
      </c>
      <c r="E67" s="2"/>
      <c r="F67" s="6">
        <f t="shared" si="36"/>
        <v>1.0199556541019956E-3</v>
      </c>
      <c r="G67" s="2"/>
      <c r="H67" s="7">
        <v>618.47</v>
      </c>
      <c r="I67" s="2"/>
      <c r="J67" s="6">
        <f t="shared" si="37"/>
        <v>2.5558138721842637E-3</v>
      </c>
      <c r="K67" s="2"/>
      <c r="L67" s="7">
        <f t="shared" si="38"/>
        <v>-615.25</v>
      </c>
      <c r="M67" s="2"/>
      <c r="N67" s="6">
        <f t="shared" si="39"/>
        <v>-0.99479360357010038</v>
      </c>
      <c r="O67" s="11"/>
      <c r="P67" s="7">
        <v>19.7</v>
      </c>
      <c r="Q67" s="2"/>
      <c r="R67" s="6">
        <f t="shared" si="40"/>
        <v>8.7614276590710564E-4</v>
      </c>
      <c r="S67" s="2"/>
      <c r="T67" s="7">
        <v>1093.4000000000001</v>
      </c>
      <c r="U67" s="2"/>
      <c r="V67" s="6">
        <f t="shared" si="41"/>
        <v>2.2383484484973918E-3</v>
      </c>
      <c r="W67" s="2"/>
      <c r="X67" s="7">
        <f t="shared" si="42"/>
        <v>-1073.7</v>
      </c>
      <c r="Y67" s="2"/>
      <c r="Z67" s="6">
        <f t="shared" si="43"/>
        <v>-0.98198280592646781</v>
      </c>
    </row>
    <row r="68" spans="1:26" s="24" customFormat="1" hidden="1" outlineLevel="2" x14ac:dyDescent="0.25">
      <c r="A68" s="29"/>
      <c r="B68" s="11" t="str">
        <f>CONCATENATE("          ", "6243", " - ", "PAPER SUPPLIES")</f>
        <v xml:space="preserve">          6243 - PAPER SUPPLIES</v>
      </c>
      <c r="C68" s="11"/>
      <c r="D68" s="7">
        <v>2361.67</v>
      </c>
      <c r="E68" s="2"/>
      <c r="F68" s="6">
        <f t="shared" si="36"/>
        <v>0.74807412100095028</v>
      </c>
      <c r="G68" s="2"/>
      <c r="H68" s="7">
        <v>1679.05</v>
      </c>
      <c r="I68" s="2"/>
      <c r="J68" s="6">
        <f t="shared" si="37"/>
        <v>6.9386377384367676E-3</v>
      </c>
      <c r="K68" s="2"/>
      <c r="L68" s="7">
        <f t="shared" si="38"/>
        <v>682.62000000000012</v>
      </c>
      <c r="M68" s="2"/>
      <c r="N68" s="6">
        <f t="shared" si="39"/>
        <v>0.40655132366516789</v>
      </c>
      <c r="O68" s="11"/>
      <c r="P68" s="7">
        <v>3009.55</v>
      </c>
      <c r="Q68" s="2"/>
      <c r="R68" s="6">
        <f t="shared" si="40"/>
        <v>0.1338474853368391</v>
      </c>
      <c r="S68" s="2"/>
      <c r="T68" s="7">
        <v>3845.61</v>
      </c>
      <c r="U68" s="2"/>
      <c r="V68" s="6">
        <f t="shared" si="41"/>
        <v>7.8725216544961174E-3</v>
      </c>
      <c r="W68" s="2"/>
      <c r="X68" s="7">
        <f t="shared" si="42"/>
        <v>-836.06</v>
      </c>
      <c r="Y68" s="2"/>
      <c r="Z68" s="6">
        <f t="shared" si="43"/>
        <v>-0.21740634125665367</v>
      </c>
    </row>
    <row r="69" spans="1:26" s="24" customFormat="1" hidden="1" outlineLevel="2" x14ac:dyDescent="0.25">
      <c r="A69" s="29"/>
      <c r="B69" s="11" t="str">
        <f>CONCATENATE("          ", "6245", " - ", "PRINTING")</f>
        <v xml:space="preserve">          6245 - PRINTING</v>
      </c>
      <c r="C69" s="11"/>
      <c r="D69" s="7"/>
      <c r="E69" s="2"/>
      <c r="F69" s="6">
        <f t="shared" si="36"/>
        <v>0</v>
      </c>
      <c r="G69" s="2"/>
      <c r="H69" s="7">
        <v>441</v>
      </c>
      <c r="I69" s="2"/>
      <c r="J69" s="6">
        <f t="shared" si="37"/>
        <v>1.8224229431229651E-3</v>
      </c>
      <c r="K69" s="2"/>
      <c r="L69" s="7">
        <f t="shared" si="38"/>
        <v>-441</v>
      </c>
      <c r="M69" s="2"/>
      <c r="N69" s="6">
        <f t="shared" si="39"/>
        <v>-1</v>
      </c>
      <c r="O69" s="11"/>
      <c r="P69" s="7"/>
      <c r="Q69" s="2"/>
      <c r="R69" s="6">
        <f t="shared" si="40"/>
        <v>0</v>
      </c>
      <c r="S69" s="2"/>
      <c r="T69" s="7">
        <v>441</v>
      </c>
      <c r="U69" s="2"/>
      <c r="V69" s="6">
        <f t="shared" si="41"/>
        <v>9.0279098755016436E-4</v>
      </c>
      <c r="W69" s="2"/>
      <c r="X69" s="7">
        <f t="shared" si="42"/>
        <v>-441</v>
      </c>
      <c r="Y69" s="2"/>
      <c r="Z69" s="6">
        <f t="shared" si="43"/>
        <v>-1</v>
      </c>
    </row>
    <row r="70" spans="1:26" s="24" customFormat="1" hidden="1" outlineLevel="2" x14ac:dyDescent="0.25">
      <c r="A70" s="29"/>
      <c r="B70" s="11" t="str">
        <f>CONCATENATE("          ", "6248", " - ", "UNIFORMS")</f>
        <v xml:space="preserve">          6248 - UNIFORMS</v>
      </c>
      <c r="C70" s="11"/>
      <c r="D70" s="7"/>
      <c r="E70" s="2"/>
      <c r="F70" s="6">
        <f t="shared" si="36"/>
        <v>0</v>
      </c>
      <c r="G70" s="2"/>
      <c r="H70" s="7"/>
      <c r="I70" s="2"/>
      <c r="J70" s="6">
        <f t="shared" si="37"/>
        <v>0</v>
      </c>
      <c r="K70" s="2"/>
      <c r="L70" s="7">
        <f t="shared" si="38"/>
        <v>0</v>
      </c>
      <c r="M70" s="2"/>
      <c r="N70" s="6">
        <f t="shared" si="39"/>
        <v>0</v>
      </c>
      <c r="O70" s="11"/>
      <c r="P70" s="7"/>
      <c r="Q70" s="2"/>
      <c r="R70" s="6">
        <f t="shared" si="40"/>
        <v>0</v>
      </c>
      <c r="S70" s="2"/>
      <c r="T70" s="7">
        <v>1222.42</v>
      </c>
      <c r="U70" s="2"/>
      <c r="V70" s="6">
        <f t="shared" si="41"/>
        <v>2.5024711088459683E-3</v>
      </c>
      <c r="W70" s="2"/>
      <c r="X70" s="7">
        <f t="shared" si="42"/>
        <v>-1222.42</v>
      </c>
      <c r="Y70" s="2"/>
      <c r="Z70" s="6">
        <f t="shared" si="43"/>
        <v>-1</v>
      </c>
    </row>
    <row r="71" spans="1:26" s="28" customFormat="1" outlineLevel="1" collapsed="1" x14ac:dyDescent="0.25">
      <c r="A71" s="27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SUM(OSRRefD22_13x_0)</f>
        <v>139</v>
      </c>
      <c r="E71" s="1"/>
      <c r="F71" s="5">
        <f t="shared" ref="F71:F76" si="44">IF(D$12=0,0,D71/D$12)</f>
        <v>4.4029141590117199E-2</v>
      </c>
      <c r="G71" s="1"/>
      <c r="H71" s="1">
        <f>SUM(OSRRefH22_13x_0)</f>
        <v>190.5</v>
      </c>
      <c r="I71" s="1"/>
      <c r="J71" s="5">
        <f t="shared" ref="J71:J76" si="45">IF(H$12=0,0,H71/H$12)</f>
        <v>7.8723712168917196E-4</v>
      </c>
      <c r="K71" s="1"/>
      <c r="L71" s="1">
        <f t="shared" ref="L71:L76" si="46">+D71-H71</f>
        <v>-51.5</v>
      </c>
      <c r="M71" s="1"/>
      <c r="N71" s="5">
        <f t="shared" ref="N71:N76" si="47">IF(H71=0,0,L71/H71)</f>
        <v>-0.27034120734908135</v>
      </c>
      <c r="O71" s="14"/>
      <c r="P71" s="1">
        <f>SUM(OSRRefP22_13x_0)</f>
        <v>278</v>
      </c>
      <c r="Q71" s="1"/>
      <c r="R71" s="5">
        <f t="shared" ref="R71:R76" si="48">IF(P$12=0,0,P71/P$12)</f>
        <v>1.2363842077267786E-2</v>
      </c>
      <c r="S71" s="1"/>
      <c r="T71" s="1">
        <f>SUM(OSRRefT22_13x_0)</f>
        <v>270.3</v>
      </c>
      <c r="U71" s="1"/>
      <c r="V71" s="5">
        <f t="shared" ref="V71:V76" si="49">IF(T$12=0,0,T71/T$12)</f>
        <v>5.5334331958006671E-4</v>
      </c>
      <c r="W71" s="1"/>
      <c r="X71" s="1">
        <f t="shared" ref="X71:X76" si="50">+P71-T71</f>
        <v>7.6999999999999886</v>
      </c>
      <c r="Y71" s="1"/>
      <c r="Z71" s="5">
        <f t="shared" ref="Z71:Z76" si="51">IF(T71=0,0,X71/T71)</f>
        <v>2.8486866444691041E-2</v>
      </c>
    </row>
    <row r="72" spans="1:26" s="24" customFormat="1" hidden="1" outlineLevel="2" x14ac:dyDescent="0.25">
      <c r="A72" s="29"/>
      <c r="B72" s="11" t="str">
        <f>CONCATENATE("          ", "6309", " - ", "TELEPHONE")</f>
        <v xml:space="preserve">          6309 - TELEPHONE</v>
      </c>
      <c r="C72" s="11"/>
      <c r="D72" s="7">
        <v>139</v>
      </c>
      <c r="E72" s="2"/>
      <c r="F72" s="6">
        <f t="shared" si="44"/>
        <v>4.4029141590117199E-2</v>
      </c>
      <c r="G72" s="2"/>
      <c r="H72" s="7">
        <v>190.5</v>
      </c>
      <c r="I72" s="2"/>
      <c r="J72" s="6">
        <f t="shared" si="45"/>
        <v>7.8723712168917196E-4</v>
      </c>
      <c r="K72" s="2"/>
      <c r="L72" s="7">
        <f t="shared" si="46"/>
        <v>-51.5</v>
      </c>
      <c r="M72" s="2"/>
      <c r="N72" s="6">
        <f t="shared" si="47"/>
        <v>-0.27034120734908135</v>
      </c>
      <c r="O72" s="11"/>
      <c r="P72" s="7">
        <v>278</v>
      </c>
      <c r="Q72" s="2"/>
      <c r="R72" s="6">
        <f t="shared" si="48"/>
        <v>1.2363842077267786E-2</v>
      </c>
      <c r="S72" s="2"/>
      <c r="T72" s="7">
        <v>270.3</v>
      </c>
      <c r="U72" s="2"/>
      <c r="V72" s="6">
        <f t="shared" si="49"/>
        <v>5.5334331958006671E-4</v>
      </c>
      <c r="W72" s="2"/>
      <c r="X72" s="7">
        <f t="shared" si="50"/>
        <v>7.6999999999999886</v>
      </c>
      <c r="Y72" s="2"/>
      <c r="Z72" s="6">
        <f t="shared" si="51"/>
        <v>2.8486866444691041E-2</v>
      </c>
    </row>
    <row r="73" spans="1:26" s="28" customFormat="1" outlineLevel="1" collapsed="1" x14ac:dyDescent="0.25">
      <c r="A73" s="27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SUM(OSRRefD22_14x_0)</f>
        <v>0</v>
      </c>
      <c r="E73" s="1"/>
      <c r="F73" s="5">
        <f t="shared" si="44"/>
        <v>0</v>
      </c>
      <c r="G73" s="1"/>
      <c r="H73" s="1">
        <f>SUM(OSRRefH22_14x_0)</f>
        <v>129.16999999999999</v>
      </c>
      <c r="I73" s="1"/>
      <c r="J73" s="5">
        <f t="shared" si="45"/>
        <v>5.3379222576687845E-4</v>
      </c>
      <c r="K73" s="1"/>
      <c r="L73" s="1">
        <f t="shared" si="46"/>
        <v>-129.16999999999999</v>
      </c>
      <c r="M73" s="1"/>
      <c r="N73" s="5">
        <f t="shared" si="47"/>
        <v>-1</v>
      </c>
      <c r="O73" s="14"/>
      <c r="P73" s="1">
        <f>SUM(OSRRefP22_14x_0)</f>
        <v>0</v>
      </c>
      <c r="Q73" s="1"/>
      <c r="R73" s="5">
        <f t="shared" si="48"/>
        <v>0</v>
      </c>
      <c r="S73" s="1"/>
      <c r="T73" s="1">
        <f>SUM(OSRRefT22_14x_0)</f>
        <v>473.37</v>
      </c>
      <c r="U73" s="1"/>
      <c r="V73" s="5">
        <f t="shared" si="49"/>
        <v>9.6905707432340426E-4</v>
      </c>
      <c r="W73" s="1"/>
      <c r="X73" s="1">
        <f t="shared" si="50"/>
        <v>-473.37</v>
      </c>
      <c r="Y73" s="1"/>
      <c r="Z73" s="5">
        <f t="shared" si="51"/>
        <v>-1</v>
      </c>
    </row>
    <row r="74" spans="1:26" s="24" customFormat="1" hidden="1" outlineLevel="2" x14ac:dyDescent="0.25">
      <c r="A74" s="29"/>
      <c r="B74" s="11" t="str">
        <f>CONCATENATE("          ", "6376", " - ", "TRAINING")</f>
        <v xml:space="preserve">          6376 - TRAINING</v>
      </c>
      <c r="C74" s="11"/>
      <c r="D74" s="7"/>
      <c r="E74" s="2"/>
      <c r="F74" s="6">
        <f t="shared" si="44"/>
        <v>0</v>
      </c>
      <c r="G74" s="2"/>
      <c r="H74" s="7">
        <v>129.16999999999999</v>
      </c>
      <c r="I74" s="2"/>
      <c r="J74" s="6">
        <f t="shared" si="45"/>
        <v>5.3379222576687845E-4</v>
      </c>
      <c r="K74" s="2"/>
      <c r="L74" s="7">
        <f t="shared" si="46"/>
        <v>-129.16999999999999</v>
      </c>
      <c r="M74" s="2"/>
      <c r="N74" s="6">
        <f t="shared" si="47"/>
        <v>-1</v>
      </c>
      <c r="O74" s="11"/>
      <c r="P74" s="7"/>
      <c r="Q74" s="2"/>
      <c r="R74" s="6">
        <f t="shared" si="48"/>
        <v>0</v>
      </c>
      <c r="S74" s="2"/>
      <c r="T74" s="7">
        <v>473.37</v>
      </c>
      <c r="U74" s="2"/>
      <c r="V74" s="6">
        <f t="shared" si="49"/>
        <v>9.6905707432340426E-4</v>
      </c>
      <c r="W74" s="2"/>
      <c r="X74" s="7">
        <f t="shared" si="50"/>
        <v>-473.37</v>
      </c>
      <c r="Y74" s="2"/>
      <c r="Z74" s="6">
        <f t="shared" si="51"/>
        <v>-1</v>
      </c>
    </row>
    <row r="75" spans="1:26" s="28" customFormat="1" outlineLevel="1" collapsed="1" x14ac:dyDescent="0.25">
      <c r="A75" s="27"/>
      <c r="B75" s="14" t="str">
        <f>CONCATENATE("     ","Travel                                            ")</f>
        <v xml:space="preserve">     Travel                                            </v>
      </c>
      <c r="C75" s="14"/>
      <c r="D75" s="1">
        <f>SUM(OSRRefD22_15x_0)</f>
        <v>0</v>
      </c>
      <c r="E75" s="1"/>
      <c r="F75" s="5">
        <f t="shared" si="44"/>
        <v>0</v>
      </c>
      <c r="G75" s="1"/>
      <c r="H75" s="1">
        <f>SUM(OSRRefH22_15x_0)</f>
        <v>0</v>
      </c>
      <c r="I75" s="1"/>
      <c r="J75" s="5">
        <f t="shared" si="45"/>
        <v>0</v>
      </c>
      <c r="K75" s="1"/>
      <c r="L75" s="1">
        <f t="shared" si="46"/>
        <v>0</v>
      </c>
      <c r="M75" s="1"/>
      <c r="N75" s="5">
        <f t="shared" si="47"/>
        <v>0</v>
      </c>
      <c r="O75" s="14"/>
      <c r="P75" s="1">
        <f>SUM(OSRRefP22_15x_0)</f>
        <v>0</v>
      </c>
      <c r="Q75" s="1"/>
      <c r="R75" s="5">
        <f t="shared" si="48"/>
        <v>0</v>
      </c>
      <c r="S75" s="1"/>
      <c r="T75" s="1">
        <f>SUM(OSRRefT22_15x_0)</f>
        <v>1429.86</v>
      </c>
      <c r="U75" s="1"/>
      <c r="V75" s="5">
        <f t="shared" si="49"/>
        <v>2.9271308876609474E-3</v>
      </c>
      <c r="W75" s="1"/>
      <c r="X75" s="1">
        <f t="shared" si="50"/>
        <v>-1429.86</v>
      </c>
      <c r="Y75" s="1"/>
      <c r="Z75" s="5">
        <f t="shared" si="51"/>
        <v>-1</v>
      </c>
    </row>
    <row r="76" spans="1:26" s="24" customFormat="1" hidden="1" outlineLevel="2" x14ac:dyDescent="0.25">
      <c r="A76" s="29"/>
      <c r="B76" s="11" t="str">
        <f>CONCATENATE("          ", "6292", " - ", "TRAVEL/CONFERENCE")</f>
        <v xml:space="preserve">          6292 - TRAVEL/CONFERENCE</v>
      </c>
      <c r="C76" s="11"/>
      <c r="D76" s="7"/>
      <c r="E76" s="2"/>
      <c r="F76" s="6">
        <f t="shared" si="44"/>
        <v>0</v>
      </c>
      <c r="G76" s="2"/>
      <c r="H76" s="7"/>
      <c r="I76" s="2"/>
      <c r="J76" s="6">
        <f t="shared" si="45"/>
        <v>0</v>
      </c>
      <c r="K76" s="2"/>
      <c r="L76" s="7">
        <f t="shared" si="46"/>
        <v>0</v>
      </c>
      <c r="M76" s="2"/>
      <c r="N76" s="6">
        <f t="shared" si="47"/>
        <v>0</v>
      </c>
      <c r="O76" s="11"/>
      <c r="P76" s="7"/>
      <c r="Q76" s="2"/>
      <c r="R76" s="6">
        <f t="shared" si="48"/>
        <v>0</v>
      </c>
      <c r="S76" s="2"/>
      <c r="T76" s="7">
        <v>1429.86</v>
      </c>
      <c r="U76" s="2"/>
      <c r="V76" s="6">
        <f t="shared" si="49"/>
        <v>2.9271308876609474E-3</v>
      </c>
      <c r="W76" s="2"/>
      <c r="X76" s="7">
        <f t="shared" si="50"/>
        <v>-1429.86</v>
      </c>
      <c r="Y76" s="2"/>
      <c r="Z76" s="6">
        <f t="shared" si="51"/>
        <v>-1</v>
      </c>
    </row>
    <row r="77" spans="1:26" s="52" customFormat="1" x14ac:dyDescent="0.25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25">
      <c r="A78" s="10"/>
      <c r="B78" s="25" t="s">
        <v>0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25">
      <c r="A80" s="10"/>
      <c r="B80" s="26" t="s">
        <v>3</v>
      </c>
      <c r="C80" s="26"/>
      <c r="D80" s="22">
        <f>+D21-D23+D78</f>
        <v>-64332.539999999994</v>
      </c>
      <c r="E80" s="13"/>
      <c r="F80" s="21">
        <f>IF(D$12=0,0,D80/D$12)</f>
        <v>-20.377744694330058</v>
      </c>
      <c r="G80" s="13"/>
      <c r="H80" s="22">
        <f>+H21-H23+H78</f>
        <v>65341.279999999999</v>
      </c>
      <c r="I80" s="13"/>
      <c r="J80" s="21">
        <f>IF(H$12=0,0,H80/H$12)</f>
        <v>0.2700214235941536</v>
      </c>
      <c r="K80" s="16"/>
      <c r="L80" s="22">
        <f>+D80-H80</f>
        <v>-129673.81999999999</v>
      </c>
      <c r="M80" s="16"/>
      <c r="N80" s="21">
        <f>IF(H80=0,0,L80/H80)</f>
        <v>-1.9845619798081702</v>
      </c>
      <c r="O80" s="25"/>
      <c r="P80" s="22">
        <f>+P21-P23+P78</f>
        <v>-116153.76999999997</v>
      </c>
      <c r="Q80" s="13"/>
      <c r="R80" s="21">
        <f>IF(P$12=0,0,P80/P$12)</f>
        <v>-5.1658520466161306</v>
      </c>
      <c r="S80" s="13"/>
      <c r="T80" s="22">
        <f>+T21-T23+T78</f>
        <v>91013.160000000091</v>
      </c>
      <c r="U80" s="13"/>
      <c r="V80" s="21">
        <f>IF(T$12=0,0,T80/T$12)</f>
        <v>0.18631714420966258</v>
      </c>
      <c r="W80" s="16"/>
      <c r="X80" s="22">
        <f>+P80-T80</f>
        <v>-207166.93000000005</v>
      </c>
      <c r="Y80" s="16"/>
      <c r="Z80" s="21">
        <f>IF(T80=0,0,X80/T80)</f>
        <v>-2.2762304923815395</v>
      </c>
    </row>
    <row r="81" spans="1:26" x14ac:dyDescent="0.25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25">
      <c r="A82" s="51"/>
      <c r="B82" s="10" t="s">
        <v>13</v>
      </c>
      <c r="C82" s="10"/>
      <c r="D82" s="4">
        <v>-5499.42</v>
      </c>
      <c r="E82" s="4"/>
      <c r="F82" s="12">
        <f>IF(D$12=0,0,D82/D$12)</f>
        <v>-1.7419765600253405</v>
      </c>
      <c r="G82" s="4"/>
      <c r="H82" s="4">
        <v>9650.66</v>
      </c>
      <c r="I82" s="4"/>
      <c r="J82" s="12">
        <f>IF(H$12=0,0,H82/H$12)</f>
        <v>3.9881143311290418E-2</v>
      </c>
      <c r="K82" s="4"/>
      <c r="L82" s="4">
        <f>+D82-H82</f>
        <v>-15150.08</v>
      </c>
      <c r="M82" s="4"/>
      <c r="N82" s="12">
        <f>IF(H82=0,0,L82/H82)</f>
        <v>-1.5698491087656181</v>
      </c>
      <c r="O82" s="10"/>
      <c r="P82" s="4">
        <v>3796.28</v>
      </c>
      <c r="Q82" s="4"/>
      <c r="R82" s="12">
        <f>IF(P$12=0,0,P82/P$12)</f>
        <v>0.16883671367298617</v>
      </c>
      <c r="S82" s="4"/>
      <c r="T82" s="4">
        <v>60905.19</v>
      </c>
      <c r="U82" s="4"/>
      <c r="V82" s="12">
        <f>IF(T$12=0,0,T82/T$12)</f>
        <v>0.12468176105902584</v>
      </c>
      <c r="W82" s="4"/>
      <c r="X82" s="4">
        <f>+P82-T82</f>
        <v>-57108.91</v>
      </c>
      <c r="Y82" s="4"/>
      <c r="Z82" s="12">
        <f>IF(T82=0,0,X82/T82)</f>
        <v>-0.9376690229519028</v>
      </c>
    </row>
    <row r="83" spans="1:26" x14ac:dyDescent="0.25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.75" thickBot="1" x14ac:dyDescent="0.3">
      <c r="A84" s="10"/>
      <c r="B84" s="26" t="s">
        <v>4</v>
      </c>
      <c r="C84" s="26"/>
      <c r="D84" s="36">
        <f>+D80-D82</f>
        <v>-58833.119999999995</v>
      </c>
      <c r="E84" s="13"/>
      <c r="F84" s="34">
        <f>IF(D$12=0,0,D84/D$12)</f>
        <v>-18.635768134304719</v>
      </c>
      <c r="G84" s="13"/>
      <c r="H84" s="36">
        <f>+H80-H82</f>
        <v>55690.619999999995</v>
      </c>
      <c r="I84" s="13"/>
      <c r="J84" s="34">
        <f>IF(H$12=0,0,H84/H$12)</f>
        <v>0.23014028028286315</v>
      </c>
      <c r="K84" s="16"/>
      <c r="L84" s="36">
        <f>D84-H84</f>
        <v>-114523.73999999999</v>
      </c>
      <c r="M84" s="16"/>
      <c r="N84" s="34">
        <f>IF(H84=0,0,L84/H84)</f>
        <v>-2.0564278149533979</v>
      </c>
      <c r="O84" s="25"/>
      <c r="P84" s="36">
        <f>+P80-P82</f>
        <v>-119950.04999999997</v>
      </c>
      <c r="Q84" s="13"/>
      <c r="R84" s="34">
        <f>IF(P$12=0,0,P84/P$12)</f>
        <v>-5.3346887602891169</v>
      </c>
      <c r="S84" s="13"/>
      <c r="T84" s="36">
        <f>+T80-T82</f>
        <v>30107.970000000088</v>
      </c>
      <c r="U84" s="13"/>
      <c r="V84" s="34">
        <f>IF(T$12=0,0,T84/T$12)</f>
        <v>6.1635383150636734E-2</v>
      </c>
      <c r="W84" s="16"/>
      <c r="X84" s="36">
        <f>P84-T84</f>
        <v>-150058.02000000008</v>
      </c>
      <c r="Y84" s="16"/>
      <c r="Z84" s="34">
        <f>IF(T84=0,0,X84/T84)</f>
        <v>-4.9839965962500834</v>
      </c>
    </row>
    <row r="85" spans="1:26" ht="15.75" thickTop="1" x14ac:dyDescent="0.25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25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5</v>
      </c>
      <c r="C87" s="26"/>
      <c r="D87" s="30">
        <f>SUM(D84:D86)</f>
        <v>-58833.119999999995</v>
      </c>
      <c r="E87" s="13"/>
      <c r="F87" s="31">
        <f>IF(D$12=0,0,D87/D$12)</f>
        <v>-18.635768134304719</v>
      </c>
      <c r="G87" s="13"/>
      <c r="H87" s="30">
        <f>SUM(H84:H86)</f>
        <v>55690.619999999995</v>
      </c>
      <c r="I87" s="13"/>
      <c r="J87" s="31">
        <f>IF(H$12=0,0,H87/H$12)</f>
        <v>0.23014028028286315</v>
      </c>
      <c r="K87" s="16"/>
      <c r="L87" s="30">
        <f>+D87-H87</f>
        <v>-114523.73999999999</v>
      </c>
      <c r="M87" s="16"/>
      <c r="N87" s="31">
        <f>IF(H87=0,0,L87/H87)</f>
        <v>-2.0564278149533979</v>
      </c>
      <c r="O87" s="25"/>
      <c r="P87" s="30">
        <f>SUM(P84:P86)</f>
        <v>-119950.04999999997</v>
      </c>
      <c r="Q87" s="13"/>
      <c r="R87" s="31">
        <f>IF(P$12=0,0,P87/P$12)</f>
        <v>-5.3346887602891169</v>
      </c>
      <c r="S87" s="13"/>
      <c r="T87" s="30">
        <f>SUM(T84:T86)</f>
        <v>30107.970000000088</v>
      </c>
      <c r="U87" s="13"/>
      <c r="V87" s="31">
        <f>IF(T$12=0,0,T87/T$12)</f>
        <v>6.1635383150636734E-2</v>
      </c>
      <c r="W87" s="16"/>
      <c r="X87" s="30">
        <f>+P87-T87</f>
        <v>-150058.02000000008</v>
      </c>
      <c r="Y87" s="16"/>
      <c r="Z87" s="31">
        <f>IF(T87=0,0,X87/T87)</f>
        <v>-4.9839965962500834</v>
      </c>
    </row>
    <row r="88" spans="1:26" ht="15.75" thickTop="1" x14ac:dyDescent="0.25">
      <c r="A88" s="9"/>
      <c r="C88" s="9"/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  <row r="89" spans="1:26" x14ac:dyDescent="0.25">
      <c r="A89" s="9"/>
      <c r="B89" s="61">
        <v>44113.696796678239</v>
      </c>
      <c r="D89" s="18"/>
      <c r="E89" s="18"/>
      <c r="G89" s="18"/>
      <c r="H89" s="18"/>
      <c r="I89" s="18"/>
      <c r="J89" s="43"/>
      <c r="K89" s="18"/>
      <c r="L89" s="18"/>
      <c r="M89" s="18"/>
      <c r="P89" s="18"/>
      <c r="Q89" s="18"/>
      <c r="R89" s="43"/>
      <c r="S89" s="18"/>
      <c r="T89" s="18"/>
      <c r="U89" s="18"/>
      <c r="V89" s="43"/>
      <c r="W89" s="18"/>
      <c r="X89" s="18"/>
    </row>
    <row r="90" spans="1:26" x14ac:dyDescent="0.25">
      <c r="A90" s="9"/>
      <c r="B90" s="56" t="s">
        <v>313</v>
      </c>
      <c r="D90" s="18"/>
      <c r="E90" s="18"/>
      <c r="G90" s="18"/>
      <c r="H90" s="18"/>
      <c r="I90" s="18"/>
      <c r="J90" s="43"/>
      <c r="K90" s="18"/>
      <c r="L90" s="18"/>
      <c r="M90" s="18"/>
      <c r="P90" s="18"/>
      <c r="Q90" s="18"/>
      <c r="R90" s="43"/>
      <c r="S90" s="18"/>
      <c r="T90" s="18"/>
      <c r="U90" s="18"/>
      <c r="V90" s="43"/>
      <c r="W90" s="18"/>
      <c r="X90" s="18"/>
    </row>
    <row r="91" spans="1:26" x14ac:dyDescent="0.25">
      <c r="A91" s="9"/>
      <c r="B91" s="58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","435", " - ", "Ground Floor Coffee House")</f>
        <v>Department 435 - Ground Floor Coffee House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316.64</v>
      </c>
      <c r="I12" s="4"/>
      <c r="J12" s="12"/>
      <c r="K12" s="4"/>
      <c r="L12" s="4">
        <f t="shared" ref="L12:L14" si="0">+D12-H12</f>
        <v>-316.64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316.64</v>
      </c>
      <c r="U12" s="4"/>
      <c r="V12" s="12"/>
      <c r="W12" s="4"/>
      <c r="X12" s="4">
        <f t="shared" ref="X12:X14" si="2">+P12-T12</f>
        <v>-316.64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"4055", " - ", "TAXABLE SALES-FOOD")</f>
        <v xml:space="preserve">          4055 - TAXABLE SALES-FOOD</v>
      </c>
      <c r="C13" s="11"/>
      <c r="D13" s="2">
        <f t="shared" ref="D13:D14" si="4">0</f>
        <v>0</v>
      </c>
      <c r="E13" s="2"/>
      <c r="F13" s="19"/>
      <c r="G13" s="2"/>
      <c r="H13" s="2">
        <f>--45.65</f>
        <v>45.65</v>
      </c>
      <c r="I13" s="2"/>
      <c r="J13" s="19"/>
      <c r="K13" s="2"/>
      <c r="L13" s="2">
        <f t="shared" si="0"/>
        <v>-45.65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--45.65</f>
        <v>45.65</v>
      </c>
      <c r="U13" s="2"/>
      <c r="V13" s="19"/>
      <c r="W13" s="2"/>
      <c r="X13" s="2">
        <f t="shared" si="2"/>
        <v>-45.65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"4155", " - ", "NON-TAXABLE SALES-FOOD")</f>
        <v xml:space="preserve">          4155 - NON-TAXABLE SALES-FOOD</v>
      </c>
      <c r="C14" s="11"/>
      <c r="D14" s="2">
        <f t="shared" si="4"/>
        <v>0</v>
      </c>
      <c r="E14" s="2"/>
      <c r="F14" s="19"/>
      <c r="G14" s="2"/>
      <c r="H14" s="2">
        <f>--270.99</f>
        <v>270.99</v>
      </c>
      <c r="I14" s="2"/>
      <c r="J14" s="19"/>
      <c r="K14" s="2"/>
      <c r="L14" s="2">
        <f t="shared" si="0"/>
        <v>-270.99</v>
      </c>
      <c r="M14" s="2"/>
      <c r="N14" s="19">
        <f t="shared" si="1"/>
        <v>-1</v>
      </c>
      <c r="O14" s="11"/>
      <c r="P14" s="2">
        <f t="shared" si="5"/>
        <v>0</v>
      </c>
      <c r="Q14" s="2"/>
      <c r="R14" s="19"/>
      <c r="S14" s="2"/>
      <c r="T14" s="2">
        <f>--270.99</f>
        <v>270.99</v>
      </c>
      <c r="U14" s="2"/>
      <c r="V14" s="19"/>
      <c r="W14" s="2"/>
      <c r="X14" s="2">
        <f t="shared" si="2"/>
        <v>-270.99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349.06000000000017</v>
      </c>
      <c r="I16" s="4"/>
      <c r="J16" s="12">
        <f t="shared" ref="J16:J18" si="7">IF(H$12=0,0,H16/H$12)</f>
        <v>1.1023875694795358</v>
      </c>
      <c r="K16" s="4"/>
      <c r="L16" s="4">
        <f t="shared" ref="L16:L18" si="8">+D16-H16</f>
        <v>-349.06000000000017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349.06000000000017</v>
      </c>
      <c r="U16" s="4"/>
      <c r="V16" s="12">
        <f t="shared" ref="V16:V18" si="11">IF(T$12=0,0,T16/T$12)</f>
        <v>1.1023875694795358</v>
      </c>
      <c r="W16" s="4"/>
      <c r="X16" s="4">
        <f t="shared" ref="X16:X18" si="12">+P16-T16</f>
        <v>-349.06000000000017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2308.2600000000002</v>
      </c>
      <c r="I17" s="2"/>
      <c r="J17" s="19">
        <f t="shared" si="7"/>
        <v>7.2898559878726639</v>
      </c>
      <c r="K17" s="2"/>
      <c r="L17" s="2">
        <f t="shared" si="8"/>
        <v>-2308.2600000000002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2308.2600000000002</v>
      </c>
      <c r="U17" s="2"/>
      <c r="V17" s="19">
        <f t="shared" si="11"/>
        <v>7.2898559878726639</v>
      </c>
      <c r="W17" s="2"/>
      <c r="X17" s="2">
        <f t="shared" si="12"/>
        <v>-2308.2600000000002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-1959.2</v>
      </c>
      <c r="I18" s="2"/>
      <c r="J18" s="19">
        <f t="shared" si="7"/>
        <v>-6.1874684183931281</v>
      </c>
      <c r="K18" s="2"/>
      <c r="L18" s="2">
        <f t="shared" si="8"/>
        <v>1959.2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-1959.2</v>
      </c>
      <c r="U18" s="2"/>
      <c r="V18" s="19">
        <f t="shared" si="11"/>
        <v>-6.1874684183931281</v>
      </c>
      <c r="W18" s="2"/>
      <c r="X18" s="2">
        <f t="shared" si="12"/>
        <v>1959.2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-32.420000000000186</v>
      </c>
      <c r="I20" s="13"/>
      <c r="J20" s="21">
        <f>IF(H$12=0,0,H20/H$12)</f>
        <v>-0.10238756947953571</v>
      </c>
      <c r="K20" s="16"/>
      <c r="L20" s="22">
        <f>+D20-H20</f>
        <v>32.420000000000186</v>
      </c>
      <c r="M20" s="16"/>
      <c r="N20" s="21">
        <f>IF(H20=0,0,L20/H20)</f>
        <v>-1</v>
      </c>
      <c r="O20" s="25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-32.420000000000186</v>
      </c>
      <c r="U20" s="13"/>
      <c r="V20" s="21">
        <f>IF(T$12=0,0,T20/T$12)</f>
        <v>-0.10238756947953571</v>
      </c>
      <c r="W20" s="16"/>
      <c r="X20" s="22">
        <f>+P20-T20</f>
        <v>32.420000000000186</v>
      </c>
      <c r="Y20" s="16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75.5</v>
      </c>
      <c r="E22" s="20"/>
      <c r="F22" s="35">
        <f t="shared" ref="F22:F26" si="14">IF(D$12=0,0,D22/D$12)</f>
        <v>0</v>
      </c>
      <c r="G22" s="20"/>
      <c r="H22" s="20">
        <f>SUM(OSRRefH22x_0)</f>
        <v>2542.7600000000002</v>
      </c>
      <c r="I22" s="20"/>
      <c r="J22" s="35">
        <f t="shared" ref="J22:J26" si="15">IF(H$12=0,0,H22/H$12)</f>
        <v>8.0304446690247602</v>
      </c>
      <c r="K22" s="4"/>
      <c r="L22" s="20">
        <f t="shared" ref="L22:L26" si="16">+D22-H22</f>
        <v>-2467.2600000000002</v>
      </c>
      <c r="M22" s="4"/>
      <c r="N22" s="35">
        <f t="shared" ref="N22:N26" si="17">IF(H22=0,0,L22/H22)</f>
        <v>-0.97030785445736134</v>
      </c>
      <c r="O22" s="10"/>
      <c r="P22" s="20">
        <f>SUM(OSRRefP22x_0)</f>
        <v>151</v>
      </c>
      <c r="Q22" s="20"/>
      <c r="R22" s="35">
        <f t="shared" ref="R22:R26" si="18">IF(P$12=0,0,P22/P$12)</f>
        <v>0</v>
      </c>
      <c r="S22" s="20"/>
      <c r="T22" s="20">
        <f>SUM(OSRRefT22x_0)</f>
        <v>3904.96</v>
      </c>
      <c r="U22" s="20"/>
      <c r="V22" s="35">
        <f t="shared" ref="V22:V26" si="19">IF(T$12=0,0,T22/T$12)</f>
        <v>12.332491157150077</v>
      </c>
      <c r="W22" s="4"/>
      <c r="X22" s="20">
        <f t="shared" ref="X22:X26" si="20">+P22-T22</f>
        <v>-3753.96</v>
      </c>
      <c r="Y22" s="4"/>
      <c r="Z22" s="35">
        <f t="shared" ref="Z22:Z26" si="21">IF(T22=0,0,X22/T22)</f>
        <v>-0.96133123002540355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0</v>
      </c>
      <c r="E23" s="1"/>
      <c r="F23" s="5">
        <f t="shared" si="14"/>
        <v>0</v>
      </c>
      <c r="G23" s="1"/>
      <c r="H23" s="1">
        <f>SUM(OSRRefH22_0x_0)</f>
        <v>75.820000000000007</v>
      </c>
      <c r="I23" s="1"/>
      <c r="J23" s="5">
        <f t="shared" si="15"/>
        <v>0.23945174330469937</v>
      </c>
      <c r="K23" s="1"/>
      <c r="L23" s="1">
        <f t="shared" si="16"/>
        <v>-75.820000000000007</v>
      </c>
      <c r="M23" s="1"/>
      <c r="N23" s="5">
        <f t="shared" si="17"/>
        <v>-1</v>
      </c>
      <c r="O23" s="14"/>
      <c r="P23" s="1">
        <f>SUM(OSRRefP22_0x_0)</f>
        <v>0</v>
      </c>
      <c r="Q23" s="1"/>
      <c r="R23" s="5">
        <f t="shared" si="18"/>
        <v>0</v>
      </c>
      <c r="S23" s="1"/>
      <c r="T23" s="1">
        <f>SUM(OSRRefT22_0x_0)</f>
        <v>96.36999999999999</v>
      </c>
      <c r="U23" s="1"/>
      <c r="V23" s="5">
        <f t="shared" si="19"/>
        <v>0.30435194542698329</v>
      </c>
      <c r="W23" s="1"/>
      <c r="X23" s="1">
        <f t="shared" si="20"/>
        <v>-96.36999999999999</v>
      </c>
      <c r="Y23" s="1"/>
      <c r="Z23" s="5">
        <f t="shared" si="21"/>
        <v>-1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/>
      <c r="E24" s="2"/>
      <c r="F24" s="6">
        <f t="shared" si="14"/>
        <v>0</v>
      </c>
      <c r="G24" s="2"/>
      <c r="H24" s="7">
        <v>45.32</v>
      </c>
      <c r="I24" s="2"/>
      <c r="J24" s="6">
        <f t="shared" si="15"/>
        <v>0.14312784234461851</v>
      </c>
      <c r="K24" s="2"/>
      <c r="L24" s="7">
        <f t="shared" si="16"/>
        <v>-45.32</v>
      </c>
      <c r="M24" s="2"/>
      <c r="N24" s="6">
        <f t="shared" si="17"/>
        <v>-1</v>
      </c>
      <c r="O24" s="11"/>
      <c r="P24" s="7"/>
      <c r="Q24" s="2"/>
      <c r="R24" s="6">
        <f t="shared" si="18"/>
        <v>0</v>
      </c>
      <c r="S24" s="2"/>
      <c r="T24" s="7">
        <v>45.32</v>
      </c>
      <c r="U24" s="2"/>
      <c r="V24" s="6">
        <f t="shared" si="19"/>
        <v>0.14312784234461851</v>
      </c>
      <c r="W24" s="2"/>
      <c r="X24" s="7">
        <f t="shared" si="20"/>
        <v>-45.32</v>
      </c>
      <c r="Y24" s="2"/>
      <c r="Z24" s="6">
        <f t="shared" si="21"/>
        <v>-1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/>
      <c r="E25" s="2"/>
      <c r="F25" s="6">
        <f t="shared" si="14"/>
        <v>0</v>
      </c>
      <c r="G25" s="2"/>
      <c r="H25" s="7">
        <v>26.83</v>
      </c>
      <c r="I25" s="2"/>
      <c r="J25" s="6">
        <f t="shared" si="15"/>
        <v>8.4733451237998983E-2</v>
      </c>
      <c r="K25" s="2"/>
      <c r="L25" s="7">
        <f t="shared" si="16"/>
        <v>-26.83</v>
      </c>
      <c r="M25" s="2"/>
      <c r="N25" s="6">
        <f t="shared" si="17"/>
        <v>-1</v>
      </c>
      <c r="O25" s="11"/>
      <c r="P25" s="7"/>
      <c r="Q25" s="2"/>
      <c r="R25" s="6">
        <f t="shared" si="18"/>
        <v>0</v>
      </c>
      <c r="S25" s="2"/>
      <c r="T25" s="7">
        <v>44.91</v>
      </c>
      <c r="U25" s="2"/>
      <c r="V25" s="6">
        <f t="shared" si="19"/>
        <v>0.14183299646286002</v>
      </c>
      <c r="W25" s="2"/>
      <c r="X25" s="7">
        <f t="shared" si="20"/>
        <v>-44.91</v>
      </c>
      <c r="Y25" s="2"/>
      <c r="Z25" s="6">
        <f t="shared" si="21"/>
        <v>-1</v>
      </c>
    </row>
    <row r="26" spans="1:26" s="24" customFormat="1" hidden="1" outlineLevel="2" x14ac:dyDescent="0.25">
      <c r="A26" s="29"/>
      <c r="B26" s="11" t="str">
        <f>CONCATENATE("          ", "6114", " - ", "STATE UNEMPLOYMENT INSURANCE")</f>
        <v xml:space="preserve">          6114 - STATE UNEMPLOYMENT INSURANCE</v>
      </c>
      <c r="C26" s="11"/>
      <c r="D26" s="7"/>
      <c r="E26" s="2"/>
      <c r="F26" s="6">
        <f t="shared" si="14"/>
        <v>0</v>
      </c>
      <c r="G26" s="2"/>
      <c r="H26" s="7">
        <v>3.67</v>
      </c>
      <c r="I26" s="2"/>
      <c r="J26" s="6">
        <f t="shared" si="15"/>
        <v>1.1590449722081861E-2</v>
      </c>
      <c r="K26" s="2"/>
      <c r="L26" s="7">
        <f t="shared" si="16"/>
        <v>-3.67</v>
      </c>
      <c r="M26" s="2"/>
      <c r="N26" s="6">
        <f t="shared" si="17"/>
        <v>-1</v>
      </c>
      <c r="O26" s="11"/>
      <c r="P26" s="7"/>
      <c r="Q26" s="2"/>
      <c r="R26" s="6">
        <f t="shared" si="18"/>
        <v>0</v>
      </c>
      <c r="S26" s="2"/>
      <c r="T26" s="7">
        <v>6.14</v>
      </c>
      <c r="U26" s="2"/>
      <c r="V26" s="6">
        <f t="shared" si="19"/>
        <v>1.93911066195048E-2</v>
      </c>
      <c r="W26" s="2"/>
      <c r="X26" s="7">
        <f t="shared" si="20"/>
        <v>-6.14</v>
      </c>
      <c r="Y26" s="2"/>
      <c r="Z26" s="6">
        <f t="shared" si="21"/>
        <v>-1</v>
      </c>
    </row>
    <row r="27" spans="1:26" s="28" customFormat="1" outlineLevel="1" collapsed="1" x14ac:dyDescent="0.25">
      <c r="A27" s="27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29" si="22">IF(D$12=0,0,D27/D$12)</f>
        <v>0</v>
      </c>
      <c r="G27" s="1"/>
      <c r="H27" s="1">
        <f>SUM(OSRRefH22_1x_0)</f>
        <v>1188.56</v>
      </c>
      <c r="I27" s="1"/>
      <c r="J27" s="5">
        <f t="shared" ref="J27:J29" si="23">IF(H$12=0,0,H27/H$12)</f>
        <v>3.7536634663971702</v>
      </c>
      <c r="K27" s="1"/>
      <c r="L27" s="1">
        <f t="shared" ref="L27:L29" si="24">+D27-H27</f>
        <v>-1188.56</v>
      </c>
      <c r="M27" s="1"/>
      <c r="N27" s="5">
        <f t="shared" ref="N27:N29" si="25">IF(H27=0,0,L27/H27)</f>
        <v>-1</v>
      </c>
      <c r="O27" s="14"/>
      <c r="P27" s="1">
        <f>SUM(OSRRefP22_1x_0)</f>
        <v>0</v>
      </c>
      <c r="Q27" s="1"/>
      <c r="R27" s="5">
        <f t="shared" ref="R27:R29" si="26">IF(P$12=0,0,P27/P$12)</f>
        <v>0</v>
      </c>
      <c r="S27" s="1"/>
      <c r="T27" s="1">
        <f>SUM(OSRRefT22_1x_0)</f>
        <v>1188.56</v>
      </c>
      <c r="U27" s="1"/>
      <c r="V27" s="5">
        <f t="shared" ref="V27:V29" si="27">IF(T$12=0,0,T27/T$12)</f>
        <v>3.7536634663971702</v>
      </c>
      <c r="W27" s="1"/>
      <c r="X27" s="1">
        <f t="shared" ref="X27:X29" si="28">+P27-T27</f>
        <v>-1188.56</v>
      </c>
      <c r="Y27" s="1"/>
      <c r="Z27" s="5">
        <f t="shared" ref="Z27:Z29" si="29">IF(T27=0,0,X27/T27)</f>
        <v>-1</v>
      </c>
    </row>
    <row r="28" spans="1:26" s="24" customFormat="1" hidden="1" outlineLevel="2" x14ac:dyDescent="0.25">
      <c r="A28" s="29"/>
      <c r="B28" s="11" t="str">
        <f>CONCATENATE("          ", "6005", " - ", "TEMPORARY WAGES-HOURLY")</f>
        <v xml:space="preserve">          6005 - TEMPORARY WAGES-HOURLY</v>
      </c>
      <c r="C28" s="11"/>
      <c r="D28" s="7"/>
      <c r="E28" s="2"/>
      <c r="F28" s="6">
        <f t="shared" si="22"/>
        <v>0</v>
      </c>
      <c r="G28" s="2"/>
      <c r="H28" s="7">
        <v>496.56</v>
      </c>
      <c r="I28" s="2"/>
      <c r="J28" s="6">
        <f t="shared" si="23"/>
        <v>1.5682162708438605</v>
      </c>
      <c r="K28" s="2"/>
      <c r="L28" s="7">
        <f t="shared" si="24"/>
        <v>-496.56</v>
      </c>
      <c r="M28" s="2"/>
      <c r="N28" s="6">
        <f t="shared" si="25"/>
        <v>-1</v>
      </c>
      <c r="O28" s="11"/>
      <c r="P28" s="7"/>
      <c r="Q28" s="2"/>
      <c r="R28" s="6">
        <f t="shared" si="26"/>
        <v>0</v>
      </c>
      <c r="S28" s="2"/>
      <c r="T28" s="7">
        <v>496.56</v>
      </c>
      <c r="U28" s="2"/>
      <c r="V28" s="6">
        <f t="shared" si="27"/>
        <v>1.5682162708438605</v>
      </c>
      <c r="W28" s="2"/>
      <c r="X28" s="7">
        <f t="shared" si="28"/>
        <v>-496.56</v>
      </c>
      <c r="Y28" s="2"/>
      <c r="Z28" s="6">
        <f t="shared" si="29"/>
        <v>-1</v>
      </c>
    </row>
    <row r="29" spans="1:26" s="24" customFormat="1" hidden="1" outlineLevel="2" x14ac:dyDescent="0.25">
      <c r="A29" s="29"/>
      <c r="B29" s="11" t="str">
        <f>CONCATENATE("          ", "6007", " - ", "STUDENT HOURLY")</f>
        <v xml:space="preserve">          6007 - STUDENT HOURLY</v>
      </c>
      <c r="C29" s="11"/>
      <c r="D29" s="7"/>
      <c r="E29" s="2"/>
      <c r="F29" s="6">
        <f t="shared" si="22"/>
        <v>0</v>
      </c>
      <c r="G29" s="2"/>
      <c r="H29" s="7">
        <v>692</v>
      </c>
      <c r="I29" s="2"/>
      <c r="J29" s="6">
        <f t="shared" si="23"/>
        <v>2.1854471955533099</v>
      </c>
      <c r="K29" s="2"/>
      <c r="L29" s="7">
        <f t="shared" si="24"/>
        <v>-692</v>
      </c>
      <c r="M29" s="2"/>
      <c r="N29" s="6">
        <f t="shared" si="25"/>
        <v>-1</v>
      </c>
      <c r="O29" s="11"/>
      <c r="P29" s="7"/>
      <c r="Q29" s="2"/>
      <c r="R29" s="6">
        <f t="shared" si="26"/>
        <v>0</v>
      </c>
      <c r="S29" s="2"/>
      <c r="T29" s="7">
        <v>692</v>
      </c>
      <c r="U29" s="2"/>
      <c r="V29" s="6">
        <f t="shared" si="27"/>
        <v>2.1854471955533099</v>
      </c>
      <c r="W29" s="2"/>
      <c r="X29" s="7">
        <f t="shared" si="28"/>
        <v>-692</v>
      </c>
      <c r="Y29" s="2"/>
      <c r="Z29" s="6">
        <f t="shared" si="29"/>
        <v>-1</v>
      </c>
    </row>
    <row r="30" spans="1:26" s="28" customFormat="1" outlineLevel="1" collapsed="1" x14ac:dyDescent="0.25">
      <c r="A30" s="27"/>
      <c r="B30" s="14" t="str">
        <f>CONCATENATE("     ","Bad Debts/Over/Short                              ")</f>
        <v xml:space="preserve">     Bad Debts/Over/Short                              </v>
      </c>
      <c r="C30" s="14"/>
      <c r="D30" s="1">
        <f>SUM(OSRRefD22_2x_0)</f>
        <v>0</v>
      </c>
      <c r="E30" s="1"/>
      <c r="F30" s="5">
        <f t="shared" ref="F30:F38" si="30">IF(D$12=0,0,D30/D$12)</f>
        <v>0</v>
      </c>
      <c r="G30" s="1"/>
      <c r="H30" s="1">
        <f>SUM(OSRRefH22_2x_0)</f>
        <v>-0.28999999999999998</v>
      </c>
      <c r="I30" s="1"/>
      <c r="J30" s="5">
        <f t="shared" ref="J30:J38" si="31">IF(H$12=0,0,H30/H$12)</f>
        <v>-9.1586659929257194E-4</v>
      </c>
      <c r="K30" s="1"/>
      <c r="L30" s="1">
        <f t="shared" ref="L30:L38" si="32">+D30-H30</f>
        <v>0.28999999999999998</v>
      </c>
      <c r="M30" s="1"/>
      <c r="N30" s="5">
        <f t="shared" ref="N30:N38" si="33">IF(H30=0,0,L30/H30)</f>
        <v>-1</v>
      </c>
      <c r="O30" s="14"/>
      <c r="P30" s="1">
        <f>SUM(OSRRefP22_2x_0)</f>
        <v>0</v>
      </c>
      <c r="Q30" s="1"/>
      <c r="R30" s="5">
        <f t="shared" ref="R30:R38" si="34">IF(P$12=0,0,P30/P$12)</f>
        <v>0</v>
      </c>
      <c r="S30" s="1"/>
      <c r="T30" s="1">
        <f>SUM(OSRRefT22_2x_0)</f>
        <v>-0.28999999999999998</v>
      </c>
      <c r="U30" s="1"/>
      <c r="V30" s="5">
        <f t="shared" ref="V30:V38" si="35">IF(T$12=0,0,T30/T$12)</f>
        <v>-9.1586659929257194E-4</v>
      </c>
      <c r="W30" s="1"/>
      <c r="X30" s="1">
        <f t="shared" ref="X30:X38" si="36">+P30-T30</f>
        <v>0.28999999999999998</v>
      </c>
      <c r="Y30" s="1"/>
      <c r="Z30" s="5">
        <f t="shared" ref="Z30:Z38" si="37">IF(T30=0,0,X30/T30)</f>
        <v>-1</v>
      </c>
    </row>
    <row r="31" spans="1:26" s="24" customFormat="1" hidden="1" outlineLevel="2" x14ac:dyDescent="0.25">
      <c r="A31" s="29"/>
      <c r="B31" s="11" t="str">
        <f>CONCATENATE("          ", "6272", " - ", "CASH (OVER/SHORT)")</f>
        <v xml:space="preserve">          6272 - CASH (OVER/SHORT)</v>
      </c>
      <c r="C31" s="11"/>
      <c r="D31" s="7"/>
      <c r="E31" s="2"/>
      <c r="F31" s="6">
        <f t="shared" si="30"/>
        <v>0</v>
      </c>
      <c r="G31" s="2"/>
      <c r="H31" s="7">
        <v>-0.28999999999999998</v>
      </c>
      <c r="I31" s="2"/>
      <c r="J31" s="6">
        <f t="shared" si="31"/>
        <v>-9.1586659929257194E-4</v>
      </c>
      <c r="K31" s="2"/>
      <c r="L31" s="7">
        <f t="shared" si="32"/>
        <v>0.28999999999999998</v>
      </c>
      <c r="M31" s="2"/>
      <c r="N31" s="6">
        <f t="shared" si="33"/>
        <v>-1</v>
      </c>
      <c r="O31" s="11"/>
      <c r="P31" s="7"/>
      <c r="Q31" s="2"/>
      <c r="R31" s="6">
        <f t="shared" si="34"/>
        <v>0</v>
      </c>
      <c r="S31" s="2"/>
      <c r="T31" s="7">
        <v>-0.28999999999999998</v>
      </c>
      <c r="U31" s="2"/>
      <c r="V31" s="6">
        <f t="shared" si="35"/>
        <v>-9.1586659929257194E-4</v>
      </c>
      <c r="W31" s="2"/>
      <c r="X31" s="7">
        <f t="shared" si="36"/>
        <v>0.28999999999999998</v>
      </c>
      <c r="Y31" s="2"/>
      <c r="Z31" s="6">
        <f t="shared" si="37"/>
        <v>-1</v>
      </c>
    </row>
    <row r="32" spans="1:26" s="28" customFormat="1" outlineLevel="1" collapsed="1" x14ac:dyDescent="0.25">
      <c r="A32" s="27"/>
      <c r="B32" s="14" t="str">
        <f>CONCATENATE("     ","Bank/card Fees                                    ")</f>
        <v xml:space="preserve">     Bank/card Fees                                    </v>
      </c>
      <c r="C32" s="14"/>
      <c r="D32" s="1">
        <f>SUM(OSRRefD22_3x_0)</f>
        <v>0</v>
      </c>
      <c r="E32" s="1"/>
      <c r="F32" s="5">
        <f t="shared" si="30"/>
        <v>0</v>
      </c>
      <c r="G32" s="1"/>
      <c r="H32" s="1">
        <f>SUM(OSRRefH22_3x_0)</f>
        <v>8.19</v>
      </c>
      <c r="I32" s="1"/>
      <c r="J32" s="5">
        <f t="shared" si="31"/>
        <v>2.5865336028297121E-2</v>
      </c>
      <c r="K32" s="1"/>
      <c r="L32" s="1">
        <f t="shared" si="32"/>
        <v>-8.19</v>
      </c>
      <c r="M32" s="1"/>
      <c r="N32" s="5">
        <f t="shared" si="33"/>
        <v>-1</v>
      </c>
      <c r="O32" s="14"/>
      <c r="P32" s="1">
        <f>SUM(OSRRefP22_3x_0)</f>
        <v>0</v>
      </c>
      <c r="Q32" s="1"/>
      <c r="R32" s="5">
        <f t="shared" si="34"/>
        <v>0</v>
      </c>
      <c r="S32" s="1"/>
      <c r="T32" s="1">
        <f>SUM(OSRRefT22_3x_0)</f>
        <v>8.19</v>
      </c>
      <c r="U32" s="1"/>
      <c r="V32" s="5">
        <f t="shared" si="35"/>
        <v>2.5865336028297121E-2</v>
      </c>
      <c r="W32" s="1"/>
      <c r="X32" s="1">
        <f t="shared" si="36"/>
        <v>-8.19</v>
      </c>
      <c r="Y32" s="1"/>
      <c r="Z32" s="5">
        <f t="shared" si="37"/>
        <v>-1</v>
      </c>
    </row>
    <row r="33" spans="1:26" s="24" customFormat="1" hidden="1" outlineLevel="2" x14ac:dyDescent="0.25">
      <c r="A33" s="29"/>
      <c r="B33" s="11" t="str">
        <f>CONCATENATE("          ", "6381", " - ", "BANK/CREDIT CARD FEES")</f>
        <v xml:space="preserve">          6381 - BANK/CREDIT CARD FEES</v>
      </c>
      <c r="C33" s="11"/>
      <c r="D33" s="7"/>
      <c r="E33" s="2"/>
      <c r="F33" s="6">
        <f t="shared" si="30"/>
        <v>0</v>
      </c>
      <c r="G33" s="2"/>
      <c r="H33" s="7">
        <v>8.19</v>
      </c>
      <c r="I33" s="2"/>
      <c r="J33" s="6">
        <f t="shared" si="31"/>
        <v>2.5865336028297121E-2</v>
      </c>
      <c r="K33" s="2"/>
      <c r="L33" s="7">
        <f t="shared" si="32"/>
        <v>-8.19</v>
      </c>
      <c r="M33" s="2"/>
      <c r="N33" s="6">
        <f t="shared" si="33"/>
        <v>-1</v>
      </c>
      <c r="O33" s="11"/>
      <c r="P33" s="7"/>
      <c r="Q33" s="2"/>
      <c r="R33" s="6">
        <f t="shared" si="34"/>
        <v>0</v>
      </c>
      <c r="S33" s="2"/>
      <c r="T33" s="7">
        <v>8.19</v>
      </c>
      <c r="U33" s="2"/>
      <c r="V33" s="6">
        <f t="shared" si="35"/>
        <v>2.5865336028297121E-2</v>
      </c>
      <c r="W33" s="2"/>
      <c r="X33" s="7">
        <f t="shared" si="36"/>
        <v>-8.19</v>
      </c>
      <c r="Y33" s="2"/>
      <c r="Z33" s="6">
        <f t="shared" si="37"/>
        <v>-1</v>
      </c>
    </row>
    <row r="34" spans="1:26" s="28" customFormat="1" outlineLevel="1" collapsed="1" x14ac:dyDescent="0.25">
      <c r="A34" s="27"/>
      <c r="B34" s="14" t="str">
        <f>CONCATENATE("     ","General                                           ")</f>
        <v xml:space="preserve">     General                                           </v>
      </c>
      <c r="C34" s="14"/>
      <c r="D34" s="1">
        <f>SUM(OSRRefD22_4x_0)</f>
        <v>0</v>
      </c>
      <c r="E34" s="1"/>
      <c r="F34" s="5">
        <f t="shared" si="30"/>
        <v>0</v>
      </c>
      <c r="G34" s="1"/>
      <c r="H34" s="1">
        <f>SUM(OSRRefH22_4x_0)</f>
        <v>15</v>
      </c>
      <c r="I34" s="1"/>
      <c r="J34" s="5">
        <f t="shared" si="31"/>
        <v>4.7372410308236482E-2</v>
      </c>
      <c r="K34" s="1"/>
      <c r="L34" s="1">
        <f t="shared" si="32"/>
        <v>-15</v>
      </c>
      <c r="M34" s="1"/>
      <c r="N34" s="5">
        <f t="shared" si="33"/>
        <v>-1</v>
      </c>
      <c r="O34" s="14"/>
      <c r="P34" s="1">
        <f>SUM(OSRRefP22_4x_0)</f>
        <v>0</v>
      </c>
      <c r="Q34" s="1"/>
      <c r="R34" s="5">
        <f t="shared" si="34"/>
        <v>0</v>
      </c>
      <c r="S34" s="1"/>
      <c r="T34" s="1">
        <f>SUM(OSRRefT22_4x_0)</f>
        <v>1089.55</v>
      </c>
      <c r="U34" s="1"/>
      <c r="V34" s="5">
        <f t="shared" si="35"/>
        <v>3.4409739767559375</v>
      </c>
      <c r="W34" s="1"/>
      <c r="X34" s="1">
        <f t="shared" si="36"/>
        <v>-1089.55</v>
      </c>
      <c r="Y34" s="1"/>
      <c r="Z34" s="5">
        <f t="shared" si="37"/>
        <v>-1</v>
      </c>
    </row>
    <row r="35" spans="1:26" s="24" customFormat="1" hidden="1" outlineLevel="2" x14ac:dyDescent="0.25">
      <c r="A35" s="29"/>
      <c r="B35" s="11" t="str">
        <f>CONCATENATE("          ", "6279", " - ", "GENERAL EXPENSE")</f>
        <v xml:space="preserve">          6279 - GENERAL EXPENSE</v>
      </c>
      <c r="C35" s="11"/>
      <c r="D35" s="7"/>
      <c r="E35" s="2"/>
      <c r="F35" s="6">
        <f t="shared" si="30"/>
        <v>0</v>
      </c>
      <c r="G35" s="2"/>
      <c r="H35" s="7">
        <v>15</v>
      </c>
      <c r="I35" s="2"/>
      <c r="J35" s="6">
        <f t="shared" si="31"/>
        <v>4.7372410308236482E-2</v>
      </c>
      <c r="K35" s="2"/>
      <c r="L35" s="7">
        <f t="shared" si="32"/>
        <v>-15</v>
      </c>
      <c r="M35" s="2"/>
      <c r="N35" s="6">
        <f t="shared" si="33"/>
        <v>-1</v>
      </c>
      <c r="O35" s="11"/>
      <c r="P35" s="7"/>
      <c r="Q35" s="2"/>
      <c r="R35" s="6">
        <f t="shared" si="34"/>
        <v>0</v>
      </c>
      <c r="S35" s="2"/>
      <c r="T35" s="7">
        <v>1089.55</v>
      </c>
      <c r="U35" s="2"/>
      <c r="V35" s="6">
        <f t="shared" si="35"/>
        <v>3.4409739767559375</v>
      </c>
      <c r="W35" s="2"/>
      <c r="X35" s="7">
        <f t="shared" si="36"/>
        <v>-1089.55</v>
      </c>
      <c r="Y35" s="2"/>
      <c r="Z35" s="6">
        <f t="shared" si="37"/>
        <v>-1</v>
      </c>
    </row>
    <row r="36" spans="1:26" s="28" customFormat="1" outlineLevel="1" collapsed="1" x14ac:dyDescent="0.25">
      <c r="A36" s="27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SUM(OSRRefD22_5x_0)</f>
        <v>0</v>
      </c>
      <c r="E36" s="1"/>
      <c r="F36" s="5">
        <f t="shared" si="30"/>
        <v>0</v>
      </c>
      <c r="G36" s="1"/>
      <c r="H36" s="1">
        <f>SUM(OSRRefH22_5x_0)</f>
        <v>1179.98</v>
      </c>
      <c r="I36" s="1"/>
      <c r="J36" s="5">
        <f t="shared" si="31"/>
        <v>3.7265664477008591</v>
      </c>
      <c r="K36" s="1"/>
      <c r="L36" s="1">
        <f t="shared" si="32"/>
        <v>-1179.98</v>
      </c>
      <c r="M36" s="1"/>
      <c r="N36" s="5">
        <f t="shared" si="33"/>
        <v>-1</v>
      </c>
      <c r="O36" s="14"/>
      <c r="P36" s="1">
        <f>SUM(OSRRefP22_5x_0)</f>
        <v>0</v>
      </c>
      <c r="Q36" s="1"/>
      <c r="R36" s="5">
        <f t="shared" si="34"/>
        <v>0</v>
      </c>
      <c r="S36" s="1"/>
      <c r="T36" s="1">
        <f>SUM(OSRRefT22_5x_0)</f>
        <v>1336.08</v>
      </c>
      <c r="U36" s="1"/>
      <c r="V36" s="5">
        <f t="shared" si="35"/>
        <v>4.2195553309752398</v>
      </c>
      <c r="W36" s="1"/>
      <c r="X36" s="1">
        <f t="shared" si="36"/>
        <v>-1336.08</v>
      </c>
      <c r="Y36" s="1"/>
      <c r="Z36" s="5">
        <f t="shared" si="37"/>
        <v>-1</v>
      </c>
    </row>
    <row r="37" spans="1:26" s="24" customFormat="1" hidden="1" outlineLevel="2" x14ac:dyDescent="0.25">
      <c r="A37" s="29"/>
      <c r="B37" s="11" t="str">
        <f>CONCATENATE("          ", "6247", " - ", "STORE SUPPLIES")</f>
        <v xml:space="preserve">          6247 - STORE SUPPLIES</v>
      </c>
      <c r="C37" s="11"/>
      <c r="D37" s="7"/>
      <c r="E37" s="2"/>
      <c r="F37" s="6">
        <f t="shared" si="30"/>
        <v>0</v>
      </c>
      <c r="G37" s="2"/>
      <c r="H37" s="7">
        <v>66.38</v>
      </c>
      <c r="I37" s="2"/>
      <c r="J37" s="6">
        <f t="shared" si="31"/>
        <v>0.2096387064173825</v>
      </c>
      <c r="K37" s="2"/>
      <c r="L37" s="7">
        <f t="shared" si="32"/>
        <v>-66.38</v>
      </c>
      <c r="M37" s="2"/>
      <c r="N37" s="6">
        <f t="shared" si="33"/>
        <v>-1</v>
      </c>
      <c r="O37" s="11"/>
      <c r="P37" s="7"/>
      <c r="Q37" s="2"/>
      <c r="R37" s="6">
        <f t="shared" si="34"/>
        <v>0</v>
      </c>
      <c r="S37" s="2"/>
      <c r="T37" s="7">
        <v>222.48</v>
      </c>
      <c r="U37" s="2"/>
      <c r="V37" s="6">
        <f t="shared" si="35"/>
        <v>0.70262758969176353</v>
      </c>
      <c r="W37" s="2"/>
      <c r="X37" s="7">
        <f t="shared" si="36"/>
        <v>-222.48</v>
      </c>
      <c r="Y37" s="2"/>
      <c r="Z37" s="6">
        <f t="shared" si="37"/>
        <v>-1</v>
      </c>
    </row>
    <row r="38" spans="1:26" s="24" customFormat="1" hidden="1" outlineLevel="2" x14ac:dyDescent="0.25">
      <c r="A38" s="29"/>
      <c r="B38" s="11" t="str">
        <f>CONCATENATE("          ", "6248", " - ", "UNIFORMS")</f>
        <v xml:space="preserve">          6248 - UNIFORMS</v>
      </c>
      <c r="C38" s="11"/>
      <c r="D38" s="7"/>
      <c r="E38" s="2"/>
      <c r="F38" s="6">
        <f t="shared" si="30"/>
        <v>0</v>
      </c>
      <c r="G38" s="2"/>
      <c r="H38" s="7">
        <v>1113.5999999999999</v>
      </c>
      <c r="I38" s="2"/>
      <c r="J38" s="6">
        <f t="shared" si="31"/>
        <v>3.5169277412834763</v>
      </c>
      <c r="K38" s="2"/>
      <c r="L38" s="7">
        <f t="shared" si="32"/>
        <v>-1113.5999999999999</v>
      </c>
      <c r="M38" s="2"/>
      <c r="N38" s="6">
        <f t="shared" si="33"/>
        <v>-1</v>
      </c>
      <c r="O38" s="11"/>
      <c r="P38" s="7"/>
      <c r="Q38" s="2"/>
      <c r="R38" s="6">
        <f t="shared" si="34"/>
        <v>0</v>
      </c>
      <c r="S38" s="2"/>
      <c r="T38" s="7">
        <v>1113.5999999999999</v>
      </c>
      <c r="U38" s="2"/>
      <c r="V38" s="6">
        <f t="shared" si="35"/>
        <v>3.5169277412834763</v>
      </c>
      <c r="W38" s="2"/>
      <c r="X38" s="7">
        <f t="shared" si="36"/>
        <v>-1113.5999999999999</v>
      </c>
      <c r="Y38" s="2"/>
      <c r="Z38" s="6">
        <f t="shared" si="37"/>
        <v>-1</v>
      </c>
    </row>
    <row r="39" spans="1:26" s="28" customFormat="1" outlineLevel="1" collapsed="1" x14ac:dyDescent="0.25">
      <c r="A39" s="27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75.5</v>
      </c>
      <c r="E39" s="1"/>
      <c r="F39" s="5">
        <f t="shared" ref="F39:F40" si="38">IF(D$12=0,0,D39/D$12)</f>
        <v>0</v>
      </c>
      <c r="G39" s="1"/>
      <c r="H39" s="1">
        <f>SUM(OSRRefH22_6x_0)</f>
        <v>75.5</v>
      </c>
      <c r="I39" s="1"/>
      <c r="J39" s="5">
        <f t="shared" ref="J39:J40" si="39">IF(H$12=0,0,H39/H$12)</f>
        <v>0.2384411318847903</v>
      </c>
      <c r="K39" s="1"/>
      <c r="L39" s="1">
        <f t="shared" ref="L39:L40" si="40">+D39-H39</f>
        <v>0</v>
      </c>
      <c r="M39" s="1"/>
      <c r="N39" s="5">
        <f t="shared" ref="N39:N40" si="41">IF(H39=0,0,L39/H39)</f>
        <v>0</v>
      </c>
      <c r="O39" s="14"/>
      <c r="P39" s="1">
        <f>SUM(OSRRefP22_6x_0)</f>
        <v>151</v>
      </c>
      <c r="Q39" s="1"/>
      <c r="R39" s="5">
        <f t="shared" ref="R39:R40" si="42">IF(P$12=0,0,P39/P$12)</f>
        <v>0</v>
      </c>
      <c r="S39" s="1"/>
      <c r="T39" s="1">
        <f>SUM(OSRRefT22_6x_0)</f>
        <v>186.5</v>
      </c>
      <c r="U39" s="1"/>
      <c r="V39" s="5">
        <f t="shared" ref="V39:V40" si="43">IF(T$12=0,0,T39/T$12)</f>
        <v>0.58899696816574032</v>
      </c>
      <c r="W39" s="1"/>
      <c r="X39" s="1">
        <f t="shared" ref="X39:X40" si="44">+P39-T39</f>
        <v>-35.5</v>
      </c>
      <c r="Y39" s="1"/>
      <c r="Z39" s="5">
        <f t="shared" ref="Z39:Z40" si="45">IF(T39=0,0,X39/T39)</f>
        <v>-0.19034852546916889</v>
      </c>
    </row>
    <row r="40" spans="1:26" s="24" customFormat="1" hidden="1" outlineLevel="2" x14ac:dyDescent="0.25">
      <c r="A40" s="29"/>
      <c r="B40" s="11" t="str">
        <f>CONCATENATE("          ", "6309", " - ", "TELEPHONE")</f>
        <v xml:space="preserve">          6309 - TELEPHONE</v>
      </c>
      <c r="C40" s="11"/>
      <c r="D40" s="7">
        <v>75.5</v>
      </c>
      <c r="E40" s="2"/>
      <c r="F40" s="6">
        <f t="shared" si="38"/>
        <v>0</v>
      </c>
      <c r="G40" s="2"/>
      <c r="H40" s="7">
        <v>75.5</v>
      </c>
      <c r="I40" s="2"/>
      <c r="J40" s="6">
        <f t="shared" si="39"/>
        <v>0.2384411318847903</v>
      </c>
      <c r="K40" s="2"/>
      <c r="L40" s="7">
        <f t="shared" si="40"/>
        <v>0</v>
      </c>
      <c r="M40" s="2"/>
      <c r="N40" s="6">
        <f t="shared" si="41"/>
        <v>0</v>
      </c>
      <c r="O40" s="11"/>
      <c r="P40" s="7">
        <v>151</v>
      </c>
      <c r="Q40" s="2"/>
      <c r="R40" s="6">
        <f t="shared" si="42"/>
        <v>0</v>
      </c>
      <c r="S40" s="2"/>
      <c r="T40" s="7">
        <v>186.5</v>
      </c>
      <c r="U40" s="2"/>
      <c r="V40" s="6">
        <f t="shared" si="43"/>
        <v>0.58899696816574032</v>
      </c>
      <c r="W40" s="2"/>
      <c r="X40" s="7">
        <f t="shared" si="44"/>
        <v>-35.5</v>
      </c>
      <c r="Y40" s="2"/>
      <c r="Z40" s="6">
        <f t="shared" si="45"/>
        <v>-0.19034852546916889</v>
      </c>
    </row>
    <row r="41" spans="1:26" s="52" customFormat="1" x14ac:dyDescent="0.25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25">
      <c r="A42" s="10"/>
      <c r="B42" s="25" t="s">
        <v>0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25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25">
      <c r="A44" s="10"/>
      <c r="B44" s="26" t="s">
        <v>3</v>
      </c>
      <c r="C44" s="26"/>
      <c r="D44" s="22">
        <f>+D20-D22+D42</f>
        <v>-75.5</v>
      </c>
      <c r="E44" s="13"/>
      <c r="F44" s="21">
        <f>IF(D$12=0,0,D44/D$12)</f>
        <v>0</v>
      </c>
      <c r="G44" s="13"/>
      <c r="H44" s="22">
        <f>+H20-H22+H42</f>
        <v>-2575.1800000000003</v>
      </c>
      <c r="I44" s="13"/>
      <c r="J44" s="21">
        <f>IF(H$12=0,0,H44/H$12)</f>
        <v>-8.1328322385042959</v>
      </c>
      <c r="K44" s="16"/>
      <c r="L44" s="22">
        <f>+D44-H44</f>
        <v>2499.6800000000003</v>
      </c>
      <c r="M44" s="16"/>
      <c r="N44" s="21">
        <f>IF(H44=0,0,L44/H44)</f>
        <v>-0.97068166108776865</v>
      </c>
      <c r="O44" s="25"/>
      <c r="P44" s="22">
        <f>+P20-P22+P42</f>
        <v>-151</v>
      </c>
      <c r="Q44" s="13"/>
      <c r="R44" s="21">
        <f>IF(P$12=0,0,P44/P$12)</f>
        <v>0</v>
      </c>
      <c r="S44" s="13"/>
      <c r="T44" s="22">
        <f>+T20-T22+T42</f>
        <v>-3937.38</v>
      </c>
      <c r="U44" s="13"/>
      <c r="V44" s="21">
        <f>IF(T$12=0,0,T44/T$12)</f>
        <v>-12.434878726629611</v>
      </c>
      <c r="W44" s="16"/>
      <c r="X44" s="22">
        <f>+P44-T44</f>
        <v>3786.38</v>
      </c>
      <c r="Y44" s="16"/>
      <c r="Z44" s="21">
        <f>IF(T44=0,0,X44/T44)</f>
        <v>-0.96164962487745653</v>
      </c>
    </row>
    <row r="45" spans="1:26" x14ac:dyDescent="0.25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25">
      <c r="A46" s="51"/>
      <c r="B46" s="10" t="s">
        <v>13</v>
      </c>
      <c r="C46" s="10"/>
      <c r="D46" s="4"/>
      <c r="E46" s="4"/>
      <c r="F46" s="12">
        <f>IF(D$12=0,0,D46/D$12)</f>
        <v>0</v>
      </c>
      <c r="G46" s="4"/>
      <c r="H46" s="4">
        <v>39.479999999999997</v>
      </c>
      <c r="I46" s="4"/>
      <c r="J46" s="12">
        <f>IF(H$12=0,0,H46/H$12)</f>
        <v>0.12468418393127842</v>
      </c>
      <c r="K46" s="4"/>
      <c r="L46" s="4">
        <f>+D46-H46</f>
        <v>-39.479999999999997</v>
      </c>
      <c r="M46" s="4"/>
      <c r="N46" s="12">
        <f>IF(H46=0,0,L46/H46)</f>
        <v>-1</v>
      </c>
      <c r="O46" s="10"/>
      <c r="P46" s="4"/>
      <c r="Q46" s="4"/>
      <c r="R46" s="12">
        <f>IF(P$12=0,0,P46/P$12)</f>
        <v>0</v>
      </c>
      <c r="S46" s="4"/>
      <c r="T46" s="4">
        <v>39.479999999999997</v>
      </c>
      <c r="U46" s="4"/>
      <c r="V46" s="12">
        <f>IF(T$12=0,0,T46/T$12)</f>
        <v>0.12468418393127842</v>
      </c>
      <c r="W46" s="4"/>
      <c r="X46" s="4">
        <f>+P46-T46</f>
        <v>-39.479999999999997</v>
      </c>
      <c r="Y46" s="4"/>
      <c r="Z46" s="12">
        <f>IF(T46=0,0,X46/T46)</f>
        <v>-1</v>
      </c>
    </row>
    <row r="47" spans="1:26" x14ac:dyDescent="0.25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.75" thickBot="1" x14ac:dyDescent="0.3">
      <c r="A48" s="10"/>
      <c r="B48" s="26" t="s">
        <v>4</v>
      </c>
      <c r="C48" s="26"/>
      <c r="D48" s="36">
        <f>+D44-D46</f>
        <v>-75.5</v>
      </c>
      <c r="E48" s="13"/>
      <c r="F48" s="34">
        <f>IF(D$12=0,0,D48/D$12)</f>
        <v>0</v>
      </c>
      <c r="G48" s="13"/>
      <c r="H48" s="36">
        <f>+H44-H46</f>
        <v>-2614.6600000000003</v>
      </c>
      <c r="I48" s="13"/>
      <c r="J48" s="34">
        <f>IF(H$12=0,0,H48/H$12)</f>
        <v>-8.2575164224355753</v>
      </c>
      <c r="K48" s="16"/>
      <c r="L48" s="36">
        <f>D48-H48</f>
        <v>2539.1600000000003</v>
      </c>
      <c r="M48" s="16"/>
      <c r="N48" s="34">
        <f>IF(H48=0,0,L48/H48)</f>
        <v>-0.97112435268830366</v>
      </c>
      <c r="O48" s="25"/>
      <c r="P48" s="36">
        <f>+P44-P46</f>
        <v>-151</v>
      </c>
      <c r="Q48" s="13"/>
      <c r="R48" s="34">
        <f>IF(P$12=0,0,P48/P$12)</f>
        <v>0</v>
      </c>
      <c r="S48" s="13"/>
      <c r="T48" s="36">
        <f>+T44-T46</f>
        <v>-3976.86</v>
      </c>
      <c r="U48" s="13"/>
      <c r="V48" s="34">
        <f>IF(T$12=0,0,T48/T$12)</f>
        <v>-12.55956291056089</v>
      </c>
      <c r="W48" s="16"/>
      <c r="X48" s="36">
        <f>P48-T48</f>
        <v>3825.86</v>
      </c>
      <c r="Y48" s="16"/>
      <c r="Z48" s="34">
        <f>IF(T48=0,0,X48/T48)</f>
        <v>-0.96203034554900102</v>
      </c>
    </row>
    <row r="49" spans="1:26" ht="15.75" thickTop="1" x14ac:dyDescent="0.25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25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.75" thickBot="1" x14ac:dyDescent="0.3">
      <c r="A51" s="10"/>
      <c r="B51" s="26" t="s">
        <v>5</v>
      </c>
      <c r="C51" s="26"/>
      <c r="D51" s="30">
        <f>SUM(D48:D50)</f>
        <v>-75.5</v>
      </c>
      <c r="E51" s="13"/>
      <c r="F51" s="31">
        <f>IF(D$12=0,0,D51/D$12)</f>
        <v>0</v>
      </c>
      <c r="G51" s="13"/>
      <c r="H51" s="30">
        <f>SUM(H48:H50)</f>
        <v>-2614.6600000000003</v>
      </c>
      <c r="I51" s="13"/>
      <c r="J51" s="31">
        <f>IF(H$12=0,0,H51/H$12)</f>
        <v>-8.2575164224355753</v>
      </c>
      <c r="K51" s="16"/>
      <c r="L51" s="30">
        <f>+D51-H51</f>
        <v>2539.1600000000003</v>
      </c>
      <c r="M51" s="16"/>
      <c r="N51" s="31">
        <f>IF(H51=0,0,L51/H51)</f>
        <v>-0.97112435268830366</v>
      </c>
      <c r="O51" s="25"/>
      <c r="P51" s="30">
        <f>SUM(P48:P50)</f>
        <v>-151</v>
      </c>
      <c r="Q51" s="13"/>
      <c r="R51" s="31">
        <f>IF(P$12=0,0,P51/P$12)</f>
        <v>0</v>
      </c>
      <c r="S51" s="13"/>
      <c r="T51" s="30">
        <f>SUM(T48:T50)</f>
        <v>-3976.86</v>
      </c>
      <c r="U51" s="13"/>
      <c r="V51" s="31">
        <f>IF(T$12=0,0,T51/T$12)</f>
        <v>-12.55956291056089</v>
      </c>
      <c r="W51" s="16"/>
      <c r="X51" s="30">
        <f>+P51-T51</f>
        <v>3825.86</v>
      </c>
      <c r="Y51" s="16"/>
      <c r="Z51" s="31">
        <f>IF(T51=0,0,X51/T51)</f>
        <v>-0.96203034554900102</v>
      </c>
    </row>
    <row r="52" spans="1:26" ht="15.75" thickTop="1" x14ac:dyDescent="0.25">
      <c r="A52" s="9"/>
      <c r="C52" s="9"/>
      <c r="D52" s="18"/>
      <c r="E52" s="18"/>
      <c r="G52" s="18"/>
      <c r="H52" s="18"/>
      <c r="I52" s="18"/>
      <c r="J52" s="43"/>
      <c r="K52" s="18"/>
      <c r="L52" s="18"/>
      <c r="M52" s="18"/>
      <c r="P52" s="18"/>
      <c r="Q52" s="18"/>
      <c r="R52" s="43"/>
      <c r="S52" s="18"/>
      <c r="T52" s="18"/>
      <c r="U52" s="18"/>
      <c r="V52" s="43"/>
      <c r="W52" s="18"/>
      <c r="X52" s="18"/>
    </row>
    <row r="53" spans="1:26" x14ac:dyDescent="0.25">
      <c r="A53" s="9"/>
      <c r="B53" s="61">
        <v>44113.696809837966</v>
      </c>
      <c r="D53" s="18"/>
      <c r="E53" s="18"/>
      <c r="G53" s="18"/>
      <c r="H53" s="18"/>
      <c r="I53" s="18"/>
      <c r="J53" s="43"/>
      <c r="K53" s="18"/>
      <c r="L53" s="18"/>
      <c r="M53" s="18"/>
      <c r="P53" s="18"/>
      <c r="Q53" s="18"/>
      <c r="R53" s="43"/>
      <c r="S53" s="18"/>
      <c r="T53" s="18"/>
      <c r="U53" s="18"/>
      <c r="V53" s="43"/>
      <c r="W53" s="18"/>
      <c r="X53" s="18"/>
    </row>
    <row r="54" spans="1:26" x14ac:dyDescent="0.25">
      <c r="A54" s="9"/>
      <c r="B54" s="56" t="s">
        <v>313</v>
      </c>
      <c r="D54" s="18"/>
      <c r="E54" s="18"/>
      <c r="G54" s="18"/>
      <c r="H54" s="18"/>
      <c r="I54" s="18"/>
      <c r="J54" s="43"/>
      <c r="K54" s="18"/>
      <c r="L54" s="18"/>
      <c r="M54" s="18"/>
      <c r="P54" s="18"/>
      <c r="Q54" s="18"/>
      <c r="R54" s="43"/>
      <c r="S54" s="18"/>
      <c r="T54" s="18"/>
      <c r="U54" s="18"/>
      <c r="V54" s="43"/>
      <c r="W54" s="18"/>
      <c r="X54" s="18"/>
    </row>
    <row r="55" spans="1:26" x14ac:dyDescent="0.25">
      <c r="A55" s="9"/>
      <c r="B55" s="58"/>
      <c r="D55" s="18"/>
      <c r="E55" s="18"/>
      <c r="G55" s="18"/>
      <c r="H55" s="18"/>
      <c r="I55" s="18"/>
      <c r="J55" s="43"/>
      <c r="K55" s="18"/>
      <c r="L55" s="18"/>
      <c r="M55" s="18"/>
      <c r="P55" s="18"/>
      <c r="Q55" s="18"/>
      <c r="R55" s="43"/>
      <c r="S55" s="18"/>
      <c r="T55" s="18"/>
      <c r="U55" s="18"/>
      <c r="V55" s="43"/>
      <c r="W55" s="18"/>
      <c r="X55" s="18"/>
    </row>
    <row r="56" spans="1:26" x14ac:dyDescent="0.25">
      <c r="D56" s="18"/>
      <c r="E56" s="18"/>
      <c r="G56" s="18"/>
      <c r="H56" s="18"/>
      <c r="I56" s="18"/>
      <c r="J56" s="43"/>
      <c r="K56" s="18"/>
      <c r="L56" s="18"/>
      <c r="M56" s="18"/>
      <c r="P56" s="18"/>
      <c r="Q56" s="18"/>
      <c r="R56" s="43"/>
      <c r="S56" s="18"/>
      <c r="T56" s="18"/>
      <c r="U56" s="18"/>
      <c r="V56" s="43"/>
      <c r="W56" s="18"/>
      <c r="X56" s="18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9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","444", " - ", "Parkside Dining Hall")</f>
        <v>Department 444 - Parkside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46671.08</v>
      </c>
      <c r="E12" s="4"/>
      <c r="F12" s="12"/>
      <c r="G12" s="4"/>
      <c r="H12" s="4">
        <f>SUM(OSRRefH13x_0)</f>
        <v>185248.81</v>
      </c>
      <c r="I12" s="4"/>
      <c r="J12" s="12"/>
      <c r="K12" s="4"/>
      <c r="L12" s="4">
        <f t="shared" ref="L12:L15" si="0">+D12-H12</f>
        <v>-138577.72999999998</v>
      </c>
      <c r="M12" s="4"/>
      <c r="N12" s="12">
        <f t="shared" ref="N12:N15" si="1">IF(H12=0,0,L12/H12)</f>
        <v>-0.74806272709660038</v>
      </c>
      <c r="O12" s="10"/>
      <c r="P12" s="4">
        <f>SUM(OSRRefP13x_0)</f>
        <v>46671.08</v>
      </c>
      <c r="Q12" s="4"/>
      <c r="R12" s="12"/>
      <c r="S12" s="4"/>
      <c r="T12" s="4">
        <f>SUM(OSRRefT13x_0)</f>
        <v>401506.20999999996</v>
      </c>
      <c r="U12" s="4"/>
      <c r="V12" s="12"/>
      <c r="W12" s="4"/>
      <c r="X12" s="4">
        <f t="shared" ref="X12:X15" si="2">+P12-T12</f>
        <v>-354835.12999999995</v>
      </c>
      <c r="Y12" s="4"/>
      <c r="Z12" s="12">
        <f t="shared" ref="Z12:Z15" si="3">IF(T12=0,0,X12/T12)</f>
        <v>-0.88376000460864601</v>
      </c>
    </row>
    <row r="13" spans="1:26" s="24" customFormat="1" hidden="1" outlineLevel="1" x14ac:dyDescent="0.25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--122.25</f>
        <v>122.25</v>
      </c>
      <c r="E13" s="2"/>
      <c r="F13" s="19"/>
      <c r="G13" s="2"/>
      <c r="H13" s="2">
        <f>--212.97</f>
        <v>212.97</v>
      </c>
      <c r="I13" s="2"/>
      <c r="J13" s="19"/>
      <c r="K13" s="2"/>
      <c r="L13" s="2">
        <f t="shared" si="0"/>
        <v>-90.72</v>
      </c>
      <c r="M13" s="2"/>
      <c r="N13" s="19">
        <f t="shared" si="1"/>
        <v>-0.42597548950556419</v>
      </c>
      <c r="O13" s="11"/>
      <c r="P13" s="2">
        <f>--122.25</f>
        <v>122.25</v>
      </c>
      <c r="Q13" s="2"/>
      <c r="R13" s="19"/>
      <c r="S13" s="2"/>
      <c r="T13" s="2">
        <f>--698.42</f>
        <v>698.42</v>
      </c>
      <c r="U13" s="2"/>
      <c r="V13" s="19"/>
      <c r="W13" s="2"/>
      <c r="X13" s="2">
        <f t="shared" si="2"/>
        <v>-576.16999999999996</v>
      </c>
      <c r="Y13" s="2"/>
      <c r="Z13" s="19">
        <f t="shared" si="3"/>
        <v>-0.82496205721485638</v>
      </c>
    </row>
    <row r="14" spans="1:26" s="24" customFormat="1" hidden="1" outlineLevel="1" x14ac:dyDescent="0.25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--38750.68</f>
        <v>38750.68</v>
      </c>
      <c r="E14" s="2"/>
      <c r="F14" s="19"/>
      <c r="G14" s="2"/>
      <c r="H14" s="2">
        <f>--181504.91</f>
        <v>181504.91</v>
      </c>
      <c r="I14" s="2"/>
      <c r="J14" s="19"/>
      <c r="K14" s="2"/>
      <c r="L14" s="2">
        <f t="shared" si="0"/>
        <v>-142754.23000000001</v>
      </c>
      <c r="M14" s="2"/>
      <c r="N14" s="19">
        <f t="shared" si="1"/>
        <v>-0.78650340643677352</v>
      </c>
      <c r="O14" s="11"/>
      <c r="P14" s="2">
        <f>--38750.68</f>
        <v>38750.68</v>
      </c>
      <c r="Q14" s="2"/>
      <c r="R14" s="19"/>
      <c r="S14" s="2"/>
      <c r="T14" s="2">
        <f>--382161.91</f>
        <v>382161.91</v>
      </c>
      <c r="U14" s="2"/>
      <c r="V14" s="19"/>
      <c r="W14" s="2"/>
      <c r="X14" s="2">
        <f t="shared" si="2"/>
        <v>-343411.23</v>
      </c>
      <c r="Y14" s="2"/>
      <c r="Z14" s="19">
        <f t="shared" si="3"/>
        <v>-0.89860140692723667</v>
      </c>
    </row>
    <row r="15" spans="1:26" s="24" customFormat="1" hidden="1" outlineLevel="1" x14ac:dyDescent="0.25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--7798.15</f>
        <v>7798.15</v>
      </c>
      <c r="E15" s="2"/>
      <c r="F15" s="19"/>
      <c r="G15" s="2"/>
      <c r="H15" s="2">
        <f>--3530.93</f>
        <v>3530.93</v>
      </c>
      <c r="I15" s="2"/>
      <c r="J15" s="19"/>
      <c r="K15" s="2"/>
      <c r="L15" s="2">
        <f t="shared" si="0"/>
        <v>4267.2199999999993</v>
      </c>
      <c r="M15" s="2"/>
      <c r="N15" s="19">
        <f t="shared" si="1"/>
        <v>1.2085257991520646</v>
      </c>
      <c r="O15" s="11"/>
      <c r="P15" s="2">
        <f>--7798.15</f>
        <v>7798.15</v>
      </c>
      <c r="Q15" s="2"/>
      <c r="R15" s="19"/>
      <c r="S15" s="2"/>
      <c r="T15" s="2">
        <f>--18645.88</f>
        <v>18645.88</v>
      </c>
      <c r="U15" s="2"/>
      <c r="V15" s="19"/>
      <c r="W15" s="2"/>
      <c r="X15" s="2">
        <f t="shared" si="2"/>
        <v>-10847.730000000001</v>
      </c>
      <c r="Y15" s="2"/>
      <c r="Z15" s="19">
        <f t="shared" si="3"/>
        <v>-0.58177624225834346</v>
      </c>
    </row>
    <row r="16" spans="1:26" x14ac:dyDescent="0.25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25">
      <c r="A17" s="10"/>
      <c r="B17" s="25" t="s">
        <v>8</v>
      </c>
      <c r="C17" s="10"/>
      <c r="D17" s="4">
        <f>SUM(OSRRefD16x_0)</f>
        <v>32645.300000000003</v>
      </c>
      <c r="E17" s="4"/>
      <c r="F17" s="12">
        <f t="shared" ref="F17:F19" si="4">IF(D$12=0,0,D17/D$12)</f>
        <v>0.69947599241328895</v>
      </c>
      <c r="G17" s="4"/>
      <c r="H17" s="4">
        <f>SUM(OSRRefH16x_0)</f>
        <v>54615.399999999994</v>
      </c>
      <c r="I17" s="4"/>
      <c r="J17" s="12">
        <f t="shared" ref="J17:J19" si="5">IF(H$12=0,0,H17/H$12)</f>
        <v>0.29482186687191131</v>
      </c>
      <c r="K17" s="4"/>
      <c r="L17" s="4">
        <f t="shared" ref="L17:L19" si="6">+D17-H17</f>
        <v>-21970.099999999991</v>
      </c>
      <c r="M17" s="4"/>
      <c r="N17" s="12">
        <f t="shared" ref="N17:N19" si="7">IF(H17=0,0,L17/H17)</f>
        <v>-0.40226932330441584</v>
      </c>
      <c r="O17" s="10"/>
      <c r="P17" s="4">
        <f>SUM(OSRRefP16x_0)</f>
        <v>32645.300000000003</v>
      </c>
      <c r="Q17" s="4"/>
      <c r="R17" s="12">
        <f t="shared" ref="R17:R19" si="8">IF(P$12=0,0,P17/P$12)</f>
        <v>0.69947599241328895</v>
      </c>
      <c r="S17" s="4"/>
      <c r="T17" s="4">
        <f>SUM(OSRRefT16x_0)</f>
        <v>131572.5</v>
      </c>
      <c r="U17" s="4"/>
      <c r="V17" s="12">
        <f t="shared" ref="V17:V19" si="9">IF(T$12=0,0,T17/T$12)</f>
        <v>0.32769729763332928</v>
      </c>
      <c r="W17" s="4"/>
      <c r="X17" s="4">
        <f t="shared" ref="X17:X19" si="10">+P17-T17</f>
        <v>-98927.2</v>
      </c>
      <c r="Y17" s="4"/>
      <c r="Z17" s="12">
        <f t="shared" ref="Z17:Z19" si="11">IF(T17=0,0,X17/T17)</f>
        <v>-0.75188356229455244</v>
      </c>
    </row>
    <row r="18" spans="1:26" s="24" customFormat="1" hidden="1" outlineLevel="1" x14ac:dyDescent="0.25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70404.3</v>
      </c>
      <c r="E18" s="2"/>
      <c r="F18" s="19">
        <f t="shared" si="4"/>
        <v>1.5085209084512294</v>
      </c>
      <c r="G18" s="2"/>
      <c r="H18" s="2">
        <v>70099.149999999994</v>
      </c>
      <c r="I18" s="2"/>
      <c r="J18" s="19">
        <f t="shared" si="5"/>
        <v>0.3784053997431886</v>
      </c>
      <c r="K18" s="2"/>
      <c r="L18" s="2">
        <f t="shared" si="6"/>
        <v>305.15000000000873</v>
      </c>
      <c r="M18" s="2"/>
      <c r="N18" s="19">
        <f t="shared" si="7"/>
        <v>4.3531198309823835E-3</v>
      </c>
      <c r="O18" s="11"/>
      <c r="P18" s="2">
        <v>70404.3</v>
      </c>
      <c r="Q18" s="2"/>
      <c r="R18" s="19">
        <f t="shared" si="8"/>
        <v>1.5085209084512294</v>
      </c>
      <c r="S18" s="2"/>
      <c r="T18" s="2">
        <v>143653.25</v>
      </c>
      <c r="U18" s="2"/>
      <c r="V18" s="19">
        <f t="shared" si="9"/>
        <v>0.3577858733492566</v>
      </c>
      <c r="W18" s="2"/>
      <c r="X18" s="2">
        <f t="shared" si="10"/>
        <v>-73248.95</v>
      </c>
      <c r="Y18" s="2"/>
      <c r="Z18" s="19">
        <f t="shared" si="11"/>
        <v>-0.50990109865248434</v>
      </c>
    </row>
    <row r="19" spans="1:26" s="24" customFormat="1" hidden="1" outlineLevel="1" x14ac:dyDescent="0.25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-37759</v>
      </c>
      <c r="E19" s="2"/>
      <c r="F19" s="19">
        <f t="shared" si="4"/>
        <v>-0.80904491603794038</v>
      </c>
      <c r="G19" s="2"/>
      <c r="H19" s="2">
        <v>-15483.750000000002</v>
      </c>
      <c r="I19" s="2"/>
      <c r="J19" s="19">
        <f t="shared" si="5"/>
        <v>-8.3583532871277288E-2</v>
      </c>
      <c r="K19" s="2"/>
      <c r="L19" s="2">
        <f t="shared" si="6"/>
        <v>-22275.25</v>
      </c>
      <c r="M19" s="2"/>
      <c r="N19" s="19">
        <f t="shared" si="7"/>
        <v>1.4386211350609508</v>
      </c>
      <c r="O19" s="11"/>
      <c r="P19" s="2">
        <v>-37759</v>
      </c>
      <c r="Q19" s="2"/>
      <c r="R19" s="19">
        <f t="shared" si="8"/>
        <v>-0.80904491603794038</v>
      </c>
      <c r="S19" s="2"/>
      <c r="T19" s="2">
        <v>-12080.75</v>
      </c>
      <c r="U19" s="2"/>
      <c r="V19" s="19">
        <f t="shared" si="9"/>
        <v>-3.0088575715927286E-2</v>
      </c>
      <c r="W19" s="2"/>
      <c r="X19" s="2">
        <f t="shared" si="10"/>
        <v>-25678.25</v>
      </c>
      <c r="Y19" s="2"/>
      <c r="Z19" s="19">
        <f t="shared" si="11"/>
        <v>2.1255509798646606</v>
      </c>
    </row>
    <row r="20" spans="1:26" x14ac:dyDescent="0.25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25">
      <c r="A21" s="10"/>
      <c r="B21" s="26" t="s">
        <v>6</v>
      </c>
      <c r="C21" s="26"/>
      <c r="D21" s="22">
        <f>D12-D17</f>
        <v>14025.779999999999</v>
      </c>
      <c r="E21" s="13"/>
      <c r="F21" s="21">
        <f>IF(D$12=0,0,D21/D$12)</f>
        <v>0.30052400758671105</v>
      </c>
      <c r="G21" s="13"/>
      <c r="H21" s="22">
        <f>H12-H17</f>
        <v>130633.41</v>
      </c>
      <c r="I21" s="13"/>
      <c r="J21" s="21">
        <f>IF(H$12=0,0,H21/H$12)</f>
        <v>0.70517813312808864</v>
      </c>
      <c r="K21" s="16"/>
      <c r="L21" s="22">
        <f>+D21-H21</f>
        <v>-116607.63</v>
      </c>
      <c r="M21" s="16"/>
      <c r="N21" s="21">
        <f>IF(H21=0,0,L21/H21)</f>
        <v>-0.89263252027180495</v>
      </c>
      <c r="O21" s="25"/>
      <c r="P21" s="22">
        <f>P12-P17</f>
        <v>14025.779999999999</v>
      </c>
      <c r="Q21" s="13"/>
      <c r="R21" s="21">
        <f>IF(P$12=0,0,P21/P$12)</f>
        <v>0.30052400758671105</v>
      </c>
      <c r="S21" s="13"/>
      <c r="T21" s="22">
        <f>T12-T17</f>
        <v>269933.70999999996</v>
      </c>
      <c r="U21" s="13"/>
      <c r="V21" s="21">
        <f>IF(T$12=0,0,T21/T$12)</f>
        <v>0.67230270236667067</v>
      </c>
      <c r="W21" s="16"/>
      <c r="X21" s="22">
        <f>+P21-T21</f>
        <v>-255907.92999999996</v>
      </c>
      <c r="Y21" s="16"/>
      <c r="Z21" s="21">
        <f>IF(T21=0,0,X21/T21)</f>
        <v>-0.94803990950222561</v>
      </c>
    </row>
    <row r="22" spans="1:26" x14ac:dyDescent="0.25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25">
      <c r="A23" s="10"/>
      <c r="B23" s="25" t="s">
        <v>9</v>
      </c>
      <c r="C23" s="10"/>
      <c r="D23" s="20">
        <f>SUM(OSRRefD22x_0)</f>
        <v>94892.489999999976</v>
      </c>
      <c r="E23" s="20"/>
      <c r="F23" s="35">
        <f t="shared" ref="F23:F33" si="12">IF(D$12=0,0,D23/D$12)</f>
        <v>2.0332182156487479</v>
      </c>
      <c r="G23" s="20"/>
      <c r="H23" s="20">
        <f>SUM(OSRRefH22x_0)</f>
        <v>138560.36999999997</v>
      </c>
      <c r="I23" s="20"/>
      <c r="J23" s="35">
        <f t="shared" ref="J23:J33" si="13">IF(H$12=0,0,H23/H$12)</f>
        <v>0.74796901529353932</v>
      </c>
      <c r="K23" s="4"/>
      <c r="L23" s="20">
        <f t="shared" ref="L23:L33" si="14">+D23-H23</f>
        <v>-43667.87999999999</v>
      </c>
      <c r="M23" s="4"/>
      <c r="N23" s="35">
        <f t="shared" ref="N23:N33" si="15">IF(H23=0,0,L23/H23)</f>
        <v>-0.31515418153112612</v>
      </c>
      <c r="O23" s="10"/>
      <c r="P23" s="20">
        <f>SUM(OSRRefP22x_0)</f>
        <v>159445.33000000002</v>
      </c>
      <c r="Q23" s="20"/>
      <c r="R23" s="35">
        <f t="shared" ref="R23:R33" si="16">IF(P$12=0,0,P23/P$12)</f>
        <v>3.4163625525700287</v>
      </c>
      <c r="S23" s="20"/>
      <c r="T23" s="20">
        <f>SUM(OSRRefT22x_0)</f>
        <v>291829.07000000007</v>
      </c>
      <c r="U23" s="20"/>
      <c r="V23" s="35">
        <f t="shared" ref="V23:V33" si="17">IF(T$12=0,0,T23/T$12)</f>
        <v>0.72683575678692514</v>
      </c>
      <c r="W23" s="4"/>
      <c r="X23" s="20">
        <f t="shared" ref="X23:X33" si="18">+P23-T23</f>
        <v>-132383.74000000005</v>
      </c>
      <c r="Y23" s="4"/>
      <c r="Z23" s="35">
        <f t="shared" ref="Z23:Z33" si="19">IF(T23=0,0,X23/T23)</f>
        <v>-0.45363451968647273</v>
      </c>
    </row>
    <row r="24" spans="1:26" s="28" customFormat="1" outlineLevel="1" collapsed="1" x14ac:dyDescent="0.25">
      <c r="A24" s="27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27394.1</v>
      </c>
      <c r="E24" s="1"/>
      <c r="F24" s="5">
        <f t="shared" si="12"/>
        <v>0.58696091883881829</v>
      </c>
      <c r="G24" s="1"/>
      <c r="H24" s="1">
        <f>SUM(OSRRefH22_0x_0)</f>
        <v>31822.109999999997</v>
      </c>
      <c r="I24" s="1"/>
      <c r="J24" s="5">
        <f t="shared" si="13"/>
        <v>0.17178037472953267</v>
      </c>
      <c r="K24" s="1"/>
      <c r="L24" s="1">
        <f t="shared" si="14"/>
        <v>-4428.0099999999984</v>
      </c>
      <c r="M24" s="1"/>
      <c r="N24" s="5">
        <f t="shared" si="15"/>
        <v>-0.13914884965201862</v>
      </c>
      <c r="O24" s="14"/>
      <c r="P24" s="1">
        <f>SUM(OSRRefP22_0x_0)</f>
        <v>55803.909999999996</v>
      </c>
      <c r="Q24" s="1"/>
      <c r="R24" s="5">
        <f t="shared" si="16"/>
        <v>1.1956849937905871</v>
      </c>
      <c r="S24" s="1"/>
      <c r="T24" s="1">
        <f>SUM(OSRRefT22_0x_0)</f>
        <v>66991.350000000006</v>
      </c>
      <c r="U24" s="1"/>
      <c r="V24" s="5">
        <f t="shared" si="17"/>
        <v>0.16685009678928756</v>
      </c>
      <c r="W24" s="1"/>
      <c r="X24" s="1">
        <f t="shared" si="18"/>
        <v>-11187.44000000001</v>
      </c>
      <c r="Y24" s="1"/>
      <c r="Z24" s="5">
        <f t="shared" si="19"/>
        <v>-0.16699827664317868</v>
      </c>
    </row>
    <row r="25" spans="1:26" s="24" customFormat="1" hidden="1" outlineLevel="2" x14ac:dyDescent="0.25">
      <c r="A25" s="29"/>
      <c r="B25" s="11" t="str">
        <f>CONCATENATE("          ", "6111", " - ", "F.I.C.A.")</f>
        <v xml:space="preserve">          6111 - F.I.C.A.</v>
      </c>
      <c r="C25" s="11"/>
      <c r="D25" s="7">
        <v>2747.04</v>
      </c>
      <c r="E25" s="2"/>
      <c r="F25" s="6">
        <f t="shared" si="12"/>
        <v>5.8859576422915429E-2</v>
      </c>
      <c r="G25" s="2"/>
      <c r="H25" s="7">
        <v>5021.96</v>
      </c>
      <c r="I25" s="2"/>
      <c r="J25" s="6">
        <f t="shared" si="13"/>
        <v>2.7109269959682873E-2</v>
      </c>
      <c r="K25" s="2"/>
      <c r="L25" s="7">
        <f t="shared" si="14"/>
        <v>-2274.92</v>
      </c>
      <c r="M25" s="2"/>
      <c r="N25" s="6">
        <f t="shared" si="15"/>
        <v>-0.4529944483827032</v>
      </c>
      <c r="O25" s="11"/>
      <c r="P25" s="7">
        <v>5240.2700000000004</v>
      </c>
      <c r="Q25" s="2"/>
      <c r="R25" s="6">
        <f t="shared" si="16"/>
        <v>0.11228088143664128</v>
      </c>
      <c r="S25" s="2"/>
      <c r="T25" s="7">
        <v>10131.61</v>
      </c>
      <c r="U25" s="2"/>
      <c r="V25" s="6">
        <f t="shared" si="17"/>
        <v>2.523400572060891E-2</v>
      </c>
      <c r="W25" s="2"/>
      <c r="X25" s="7">
        <f t="shared" si="18"/>
        <v>-4891.34</v>
      </c>
      <c r="Y25" s="2"/>
      <c r="Z25" s="6">
        <f t="shared" si="19"/>
        <v>-0.48278013069985914</v>
      </c>
    </row>
    <row r="26" spans="1:26" s="24" customFormat="1" hidden="1" outlineLevel="2" x14ac:dyDescent="0.25">
      <c r="A26" s="29"/>
      <c r="B26" s="11" t="str">
        <f>CONCATENATE("          ", "6112", " - ", "COMPENSATION INSURANCE")</f>
        <v xml:space="preserve">          6112 - COMPENSATION INSURANCE</v>
      </c>
      <c r="C26" s="11"/>
      <c r="D26" s="7">
        <v>1593.48</v>
      </c>
      <c r="E26" s="2"/>
      <c r="F26" s="6">
        <f t="shared" si="12"/>
        <v>3.4142771069364579E-2</v>
      </c>
      <c r="G26" s="2"/>
      <c r="H26" s="7">
        <v>2731.16</v>
      </c>
      <c r="I26" s="2"/>
      <c r="J26" s="6">
        <f t="shared" si="13"/>
        <v>1.4743198620277237E-2</v>
      </c>
      <c r="K26" s="2"/>
      <c r="L26" s="7">
        <f t="shared" si="14"/>
        <v>-1137.6799999999998</v>
      </c>
      <c r="M26" s="2"/>
      <c r="N26" s="6">
        <f t="shared" si="15"/>
        <v>-0.41655560274755044</v>
      </c>
      <c r="O26" s="11"/>
      <c r="P26" s="7">
        <v>2990.4</v>
      </c>
      <c r="Q26" s="2"/>
      <c r="R26" s="6">
        <f t="shared" si="16"/>
        <v>6.4073940435918769E-2</v>
      </c>
      <c r="S26" s="2"/>
      <c r="T26" s="7">
        <v>5430.76</v>
      </c>
      <c r="U26" s="2"/>
      <c r="V26" s="6">
        <f t="shared" si="17"/>
        <v>1.352596763073727E-2</v>
      </c>
      <c r="W26" s="2"/>
      <c r="X26" s="7">
        <f t="shared" si="18"/>
        <v>-2440.36</v>
      </c>
      <c r="Y26" s="2"/>
      <c r="Z26" s="6">
        <f t="shared" si="19"/>
        <v>-0.44935883743711746</v>
      </c>
    </row>
    <row r="27" spans="1:26" s="24" customFormat="1" hidden="1" outlineLevel="2" x14ac:dyDescent="0.25">
      <c r="A27" s="29"/>
      <c r="B27" s="11" t="str">
        <f>CONCATENATE("          ", "6113", " - ", "GROUP INSURANCE")</f>
        <v xml:space="preserve">          6113 - GROUP INSURANCE</v>
      </c>
      <c r="C27" s="11"/>
      <c r="D27" s="7">
        <v>16509.649999999998</v>
      </c>
      <c r="E27" s="2"/>
      <c r="F27" s="6">
        <f t="shared" si="12"/>
        <v>0.35374476013839828</v>
      </c>
      <c r="G27" s="2"/>
      <c r="H27" s="7">
        <v>16686.48</v>
      </c>
      <c r="I27" s="2"/>
      <c r="J27" s="6">
        <f t="shared" si="13"/>
        <v>9.0076044213185491E-2</v>
      </c>
      <c r="K27" s="2"/>
      <c r="L27" s="7">
        <f t="shared" si="14"/>
        <v>-176.83000000000175</v>
      </c>
      <c r="M27" s="2"/>
      <c r="N27" s="6">
        <f t="shared" si="15"/>
        <v>-1.0597202046207574E-2</v>
      </c>
      <c r="O27" s="11"/>
      <c r="P27" s="7">
        <v>33019.299999999996</v>
      </c>
      <c r="Q27" s="2"/>
      <c r="R27" s="6">
        <f t="shared" si="16"/>
        <v>0.70748952027679657</v>
      </c>
      <c r="S27" s="2"/>
      <c r="T27" s="7">
        <v>33372.959999999999</v>
      </c>
      <c r="U27" s="2"/>
      <c r="V27" s="6">
        <f t="shared" si="17"/>
        <v>8.3119411776968535E-2</v>
      </c>
      <c r="W27" s="2"/>
      <c r="X27" s="7">
        <f t="shared" si="18"/>
        <v>-353.66000000000349</v>
      </c>
      <c r="Y27" s="2"/>
      <c r="Z27" s="6">
        <f t="shared" si="19"/>
        <v>-1.0597202046207574E-2</v>
      </c>
    </row>
    <row r="28" spans="1:26" s="24" customFormat="1" hidden="1" outlineLevel="2" x14ac:dyDescent="0.25">
      <c r="A28" s="29"/>
      <c r="B28" s="11" t="str">
        <f>CONCATENATE("          ", "6114", " - ", "STATE UNEMPLOYMENT INSURANCE")</f>
        <v xml:space="preserve">          6114 - STATE UNEMPLOYMENT INSURANCE</v>
      </c>
      <c r="C28" s="11"/>
      <c r="D28" s="7">
        <v>96.57</v>
      </c>
      <c r="E28" s="2"/>
      <c r="F28" s="6">
        <f t="shared" si="12"/>
        <v>2.0691614593019913E-3</v>
      </c>
      <c r="G28" s="2"/>
      <c r="H28" s="7">
        <v>183</v>
      </c>
      <c r="I28" s="2"/>
      <c r="J28" s="6">
        <f t="shared" si="13"/>
        <v>9.878605967833208E-4</v>
      </c>
      <c r="K28" s="2"/>
      <c r="L28" s="7">
        <f t="shared" si="14"/>
        <v>-86.43</v>
      </c>
      <c r="M28" s="2"/>
      <c r="N28" s="6">
        <f t="shared" si="15"/>
        <v>-0.47229508196721315</v>
      </c>
      <c r="O28" s="11"/>
      <c r="P28" s="7">
        <v>253.39</v>
      </c>
      <c r="Q28" s="2"/>
      <c r="R28" s="6">
        <f t="shared" si="16"/>
        <v>5.4292722602519586E-3</v>
      </c>
      <c r="S28" s="2"/>
      <c r="T28" s="7">
        <v>363.9</v>
      </c>
      <c r="U28" s="2"/>
      <c r="V28" s="6">
        <f t="shared" si="17"/>
        <v>9.0633716474771342E-4</v>
      </c>
      <c r="W28" s="2"/>
      <c r="X28" s="7">
        <f t="shared" si="18"/>
        <v>-110.50999999999999</v>
      </c>
      <c r="Y28" s="2"/>
      <c r="Z28" s="6">
        <f t="shared" si="19"/>
        <v>-0.30368233031052488</v>
      </c>
    </row>
    <row r="29" spans="1:26" s="24" customFormat="1" hidden="1" outlineLevel="2" x14ac:dyDescent="0.25">
      <c r="A29" s="29"/>
      <c r="B29" s="11" t="str">
        <f>CONCATENATE("          ", "6115", " - ", "P.E.R.S.")</f>
        <v xml:space="preserve">          6115 - P.E.R.S.</v>
      </c>
      <c r="C29" s="11"/>
      <c r="D29" s="7">
        <v>1457.5</v>
      </c>
      <c r="E29" s="2"/>
      <c r="F29" s="6">
        <f t="shared" si="12"/>
        <v>3.1229189468081731E-2</v>
      </c>
      <c r="G29" s="2"/>
      <c r="H29" s="7">
        <v>1216.6600000000001</v>
      </c>
      <c r="I29" s="2"/>
      <c r="J29" s="6">
        <f t="shared" si="13"/>
        <v>6.5677075064611758E-3</v>
      </c>
      <c r="K29" s="2"/>
      <c r="L29" s="7">
        <f t="shared" si="14"/>
        <v>240.83999999999992</v>
      </c>
      <c r="M29" s="2"/>
      <c r="N29" s="6">
        <f t="shared" si="15"/>
        <v>0.19795176959873745</v>
      </c>
      <c r="O29" s="11"/>
      <c r="P29" s="7">
        <v>3643.75</v>
      </c>
      <c r="Q29" s="2"/>
      <c r="R29" s="6">
        <f t="shared" si="16"/>
        <v>7.8072973670204326E-2</v>
      </c>
      <c r="S29" s="2"/>
      <c r="T29" s="7">
        <v>2433.3200000000002</v>
      </c>
      <c r="U29" s="2"/>
      <c r="V29" s="6">
        <f t="shared" si="17"/>
        <v>6.0604791143828145E-3</v>
      </c>
      <c r="W29" s="2"/>
      <c r="X29" s="7">
        <f t="shared" si="18"/>
        <v>1210.4299999999998</v>
      </c>
      <c r="Y29" s="2"/>
      <c r="Z29" s="6">
        <f t="shared" si="19"/>
        <v>0.4974397119984218</v>
      </c>
    </row>
    <row r="30" spans="1:26" s="24" customFormat="1" hidden="1" outlineLevel="2" x14ac:dyDescent="0.25">
      <c r="A30" s="29"/>
      <c r="B30" s="11" t="str">
        <f>CONCATENATE("          ", "6117", " - ", "RETIREMENT STAFF HOURLY")</f>
        <v xml:space="preserve">          6117 - RETIREMENT STAFF HOURLY</v>
      </c>
      <c r="C30" s="11"/>
      <c r="D30" s="7">
        <v>503.56</v>
      </c>
      <c r="E30" s="2"/>
      <c r="F30" s="6">
        <f t="shared" si="12"/>
        <v>1.0789551045315428E-2</v>
      </c>
      <c r="G30" s="2"/>
      <c r="H30" s="7">
        <v>593.1</v>
      </c>
      <c r="I30" s="2"/>
      <c r="J30" s="6">
        <f t="shared" si="13"/>
        <v>3.2016399997387298E-3</v>
      </c>
      <c r="K30" s="2"/>
      <c r="L30" s="7">
        <f t="shared" si="14"/>
        <v>-89.54000000000002</v>
      </c>
      <c r="M30" s="2"/>
      <c r="N30" s="6">
        <f t="shared" si="15"/>
        <v>-0.15096948238071153</v>
      </c>
      <c r="O30" s="11"/>
      <c r="P30" s="7">
        <v>1255.92</v>
      </c>
      <c r="Q30" s="2"/>
      <c r="R30" s="6">
        <f t="shared" si="16"/>
        <v>2.6910026508921586E-2</v>
      </c>
      <c r="S30" s="2"/>
      <c r="T30" s="7">
        <v>1270.56</v>
      </c>
      <c r="U30" s="2"/>
      <c r="V30" s="6">
        <f t="shared" si="17"/>
        <v>3.1644840561743741E-3</v>
      </c>
      <c r="W30" s="2"/>
      <c r="X30" s="7">
        <f t="shared" si="18"/>
        <v>-14.639999999999873</v>
      </c>
      <c r="Y30" s="2"/>
      <c r="Z30" s="6">
        <f t="shared" si="19"/>
        <v>-1.1522478277294952E-2</v>
      </c>
    </row>
    <row r="31" spans="1:26" s="24" customFormat="1" hidden="1" outlineLevel="2" x14ac:dyDescent="0.25">
      <c r="A31" s="29"/>
      <c r="B31" s="11" t="str">
        <f>CONCATENATE("          ", "6118", " - ", "VACATION")</f>
        <v xml:space="preserve">          6118 - VACATION</v>
      </c>
      <c r="C31" s="11"/>
      <c r="D31" s="7">
        <v>2382.3000000000002</v>
      </c>
      <c r="E31" s="2"/>
      <c r="F31" s="6">
        <f t="shared" si="12"/>
        <v>5.1044458366937301E-2</v>
      </c>
      <c r="G31" s="2"/>
      <c r="H31" s="7">
        <v>2637.87</v>
      </c>
      <c r="I31" s="2"/>
      <c r="J31" s="6">
        <f t="shared" si="13"/>
        <v>1.4239605641731247E-2</v>
      </c>
      <c r="K31" s="2"/>
      <c r="L31" s="7">
        <f t="shared" si="14"/>
        <v>-255.56999999999971</v>
      </c>
      <c r="M31" s="2"/>
      <c r="N31" s="6">
        <f t="shared" si="15"/>
        <v>-9.6884986750673738E-2</v>
      </c>
      <c r="O31" s="11"/>
      <c r="P31" s="7">
        <v>4748.4799999999996</v>
      </c>
      <c r="Q31" s="2"/>
      <c r="R31" s="6">
        <f t="shared" si="16"/>
        <v>0.10174352082703035</v>
      </c>
      <c r="S31" s="2"/>
      <c r="T31" s="7">
        <v>6093.25</v>
      </c>
      <c r="U31" s="2"/>
      <c r="V31" s="6">
        <f t="shared" si="17"/>
        <v>1.5175979469906582E-2</v>
      </c>
      <c r="W31" s="2"/>
      <c r="X31" s="7">
        <f t="shared" si="18"/>
        <v>-1344.7700000000004</v>
      </c>
      <c r="Y31" s="2"/>
      <c r="Z31" s="6">
        <f t="shared" si="19"/>
        <v>-0.22069831370779147</v>
      </c>
    </row>
    <row r="32" spans="1:26" s="24" customFormat="1" hidden="1" outlineLevel="2" x14ac:dyDescent="0.25">
      <c r="A32" s="29"/>
      <c r="B32" s="11" t="str">
        <f>CONCATENATE("          ", "6119", " - ", "SICK LEAVE")</f>
        <v xml:space="preserve">          6119 - SICK LEAVE</v>
      </c>
      <c r="C32" s="11"/>
      <c r="D32" s="7">
        <v>1504</v>
      </c>
      <c r="E32" s="2"/>
      <c r="F32" s="6">
        <f t="shared" si="12"/>
        <v>3.2225523814747803E-2</v>
      </c>
      <c r="G32" s="2"/>
      <c r="H32" s="7">
        <v>1637.04</v>
      </c>
      <c r="I32" s="2"/>
      <c r="J32" s="6">
        <f t="shared" si="13"/>
        <v>8.836979843487254E-3</v>
      </c>
      <c r="K32" s="2"/>
      <c r="L32" s="7">
        <f t="shared" si="14"/>
        <v>-133.03999999999996</v>
      </c>
      <c r="M32" s="2"/>
      <c r="N32" s="6">
        <f t="shared" si="15"/>
        <v>-8.1268631187997833E-2</v>
      </c>
      <c r="O32" s="11"/>
      <c r="P32" s="7">
        <v>3008</v>
      </c>
      <c r="Q32" s="2"/>
      <c r="R32" s="6">
        <f t="shared" si="16"/>
        <v>6.4451047629495606E-2</v>
      </c>
      <c r="S32" s="2"/>
      <c r="T32" s="7">
        <v>5366.33</v>
      </c>
      <c r="U32" s="2"/>
      <c r="V32" s="6">
        <f t="shared" si="17"/>
        <v>1.3365496887333326E-2</v>
      </c>
      <c r="W32" s="2"/>
      <c r="X32" s="7">
        <f t="shared" si="18"/>
        <v>-2358.33</v>
      </c>
      <c r="Y32" s="2"/>
      <c r="Z32" s="6">
        <f t="shared" si="19"/>
        <v>-0.43946794177771398</v>
      </c>
    </row>
    <row r="33" spans="1:26" s="24" customFormat="1" hidden="1" outlineLevel="2" x14ac:dyDescent="0.25">
      <c r="A33" s="29"/>
      <c r="B33" s="11" t="str">
        <f>CONCATENATE("          ", "6156", " - ", "EMPLOYEE MEALS")</f>
        <v xml:space="preserve">          6156 - EMPLOYEE MEALS</v>
      </c>
      <c r="C33" s="11"/>
      <c r="D33" s="7">
        <v>600</v>
      </c>
      <c r="E33" s="2"/>
      <c r="F33" s="6">
        <f t="shared" si="12"/>
        <v>1.2855927053755772E-2</v>
      </c>
      <c r="G33" s="2"/>
      <c r="H33" s="7">
        <v>1114.8399999999999</v>
      </c>
      <c r="I33" s="2"/>
      <c r="J33" s="6">
        <f t="shared" si="13"/>
        <v>6.0180683481853405E-3</v>
      </c>
      <c r="K33" s="2"/>
      <c r="L33" s="7">
        <f t="shared" si="14"/>
        <v>-514.83999999999992</v>
      </c>
      <c r="M33" s="2"/>
      <c r="N33" s="6">
        <f t="shared" si="15"/>
        <v>-0.46180617846507116</v>
      </c>
      <c r="O33" s="11"/>
      <c r="P33" s="7">
        <v>1644.4</v>
      </c>
      <c r="Q33" s="2"/>
      <c r="R33" s="6">
        <f t="shared" si="16"/>
        <v>3.5233810745326659E-2</v>
      </c>
      <c r="S33" s="2"/>
      <c r="T33" s="7">
        <v>2528.66</v>
      </c>
      <c r="U33" s="2"/>
      <c r="V33" s="6">
        <f t="shared" si="17"/>
        <v>6.2979349684280104E-3</v>
      </c>
      <c r="W33" s="2"/>
      <c r="X33" s="7">
        <f t="shared" si="18"/>
        <v>-884.25999999999976</v>
      </c>
      <c r="Y33" s="2"/>
      <c r="Z33" s="6">
        <f t="shared" si="19"/>
        <v>-0.34969509542603583</v>
      </c>
    </row>
    <row r="34" spans="1:26" s="28" customFormat="1" outlineLevel="1" collapsed="1" x14ac:dyDescent="0.25">
      <c r="A34" s="27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42549.43</v>
      </c>
      <c r="E34" s="1"/>
      <c r="F34" s="5">
        <f t="shared" ref="F34:F40" si="20">IF(D$12=0,0,D34/D$12)</f>
        <v>0.91168728043147917</v>
      </c>
      <c r="G34" s="1"/>
      <c r="H34" s="1">
        <f>SUM(OSRRefH22_1x_0)</f>
        <v>72770.200000000012</v>
      </c>
      <c r="I34" s="1"/>
      <c r="J34" s="5">
        <f t="shared" ref="J34:J40" si="21">IF(H$12=0,0,H34/H$12)</f>
        <v>0.39282411584722199</v>
      </c>
      <c r="K34" s="1"/>
      <c r="L34" s="1">
        <f t="shared" ref="L34:L40" si="22">+D34-H34</f>
        <v>-30220.770000000011</v>
      </c>
      <c r="M34" s="1"/>
      <c r="N34" s="5">
        <f t="shared" ref="N34:N40" si="23">IF(H34=0,0,L34/H34)</f>
        <v>-0.4152904623046248</v>
      </c>
      <c r="O34" s="14"/>
      <c r="P34" s="1">
        <f>SUM(OSRRefP22_1x_0)</f>
        <v>75690.039999999994</v>
      </c>
      <c r="Q34" s="1"/>
      <c r="R34" s="5">
        <f t="shared" ref="R34:R40" si="24">IF(P$12=0,0,P34/P$12)</f>
        <v>1.6217760548930942</v>
      </c>
      <c r="S34" s="1"/>
      <c r="T34" s="1">
        <f>SUM(OSRRefT22_1x_0)</f>
        <v>157079.34</v>
      </c>
      <c r="U34" s="1"/>
      <c r="V34" s="5">
        <f t="shared" ref="V34:V40" si="25">IF(T$12=0,0,T34/T$12)</f>
        <v>0.39122518179731269</v>
      </c>
      <c r="W34" s="1"/>
      <c r="X34" s="1">
        <f t="shared" ref="X34:X40" si="26">+P34-T34</f>
        <v>-81389.3</v>
      </c>
      <c r="Y34" s="1"/>
      <c r="Z34" s="5">
        <f t="shared" ref="Z34:Z40" si="27">IF(T34=0,0,X34/T34)</f>
        <v>-0.51814134182127325</v>
      </c>
    </row>
    <row r="35" spans="1:26" s="24" customFormat="1" hidden="1" outlineLevel="2" x14ac:dyDescent="0.25">
      <c r="A35" s="29"/>
      <c r="B35" s="11" t="str">
        <f>CONCATENATE("          ", "6002", " - ", "STAFF SALARIES")</f>
        <v xml:space="preserve">          6002 - STAFF SALARIES</v>
      </c>
      <c r="C35" s="11"/>
      <c r="D35" s="7">
        <v>15464.24</v>
      </c>
      <c r="E35" s="2"/>
      <c r="F35" s="6">
        <f t="shared" si="20"/>
        <v>0.33134523563628693</v>
      </c>
      <c r="G35" s="2"/>
      <c r="H35" s="7">
        <v>14021.36</v>
      </c>
      <c r="I35" s="2"/>
      <c r="J35" s="6">
        <f t="shared" si="21"/>
        <v>7.5689339111004283E-2</v>
      </c>
      <c r="K35" s="2"/>
      <c r="L35" s="7">
        <f t="shared" si="22"/>
        <v>1442.8799999999992</v>
      </c>
      <c r="M35" s="2"/>
      <c r="N35" s="6">
        <f t="shared" si="23"/>
        <v>0.10290585221405051</v>
      </c>
      <c r="O35" s="11"/>
      <c r="P35" s="7">
        <v>33785.839999999997</v>
      </c>
      <c r="Q35" s="2"/>
      <c r="R35" s="6">
        <f t="shared" si="24"/>
        <v>0.72391382414977312</v>
      </c>
      <c r="S35" s="2"/>
      <c r="T35" s="7">
        <v>32301.779999999995</v>
      </c>
      <c r="U35" s="2"/>
      <c r="V35" s="6">
        <f t="shared" si="25"/>
        <v>8.0451507835956004E-2</v>
      </c>
      <c r="W35" s="2"/>
      <c r="X35" s="7">
        <f t="shared" si="26"/>
        <v>1484.0600000000013</v>
      </c>
      <c r="Y35" s="2"/>
      <c r="Z35" s="6">
        <f t="shared" si="27"/>
        <v>4.5943598154652827E-2</v>
      </c>
    </row>
    <row r="36" spans="1:26" s="24" customFormat="1" hidden="1" outlineLevel="2" x14ac:dyDescent="0.25">
      <c r="A36" s="29"/>
      <c r="B36" s="11" t="str">
        <f>CONCATENATE("          ", "6004", " - ", "STAFF HOURLY")</f>
        <v xml:space="preserve">          6004 - STAFF HOURLY</v>
      </c>
      <c r="C36" s="11"/>
      <c r="D36" s="7">
        <v>14453.09</v>
      </c>
      <c r="E36" s="2"/>
      <c r="F36" s="6">
        <f t="shared" si="20"/>
        <v>0.30967978456894502</v>
      </c>
      <c r="G36" s="2"/>
      <c r="H36" s="7">
        <v>13780.45</v>
      </c>
      <c r="I36" s="2"/>
      <c r="J36" s="6">
        <f t="shared" si="21"/>
        <v>7.4388871917719743E-2</v>
      </c>
      <c r="K36" s="2"/>
      <c r="L36" s="7">
        <f t="shared" si="22"/>
        <v>672.63999999999942</v>
      </c>
      <c r="M36" s="2"/>
      <c r="N36" s="6">
        <f t="shared" si="23"/>
        <v>4.8811178154559494E-2</v>
      </c>
      <c r="O36" s="11"/>
      <c r="P36" s="7">
        <v>26418.1</v>
      </c>
      <c r="Q36" s="2"/>
      <c r="R36" s="6">
        <f t="shared" si="24"/>
        <v>0.56604861083137559</v>
      </c>
      <c r="S36" s="2"/>
      <c r="T36" s="7">
        <v>32184.52</v>
      </c>
      <c r="U36" s="2"/>
      <c r="V36" s="6">
        <f t="shared" si="25"/>
        <v>8.0159457558576744E-2</v>
      </c>
      <c r="W36" s="2"/>
      <c r="X36" s="7">
        <f t="shared" si="26"/>
        <v>-5766.4200000000019</v>
      </c>
      <c r="Y36" s="2"/>
      <c r="Z36" s="6">
        <f t="shared" si="27"/>
        <v>-0.17916750040081386</v>
      </c>
    </row>
    <row r="37" spans="1:26" s="24" customFormat="1" hidden="1" outlineLevel="2" x14ac:dyDescent="0.25">
      <c r="A37" s="29"/>
      <c r="B37" s="11" t="str">
        <f>CONCATENATE("          ", "6005", " - ", "TEMPORARY WAGES-HOURLY")</f>
        <v xml:space="preserve">          6005 - TEMPORARY WAGES-HOURLY</v>
      </c>
      <c r="C37" s="11"/>
      <c r="D37" s="7">
        <v>953.1</v>
      </c>
      <c r="E37" s="2"/>
      <c r="F37" s="6">
        <f t="shared" si="20"/>
        <v>2.0421640124891047E-2</v>
      </c>
      <c r="G37" s="2"/>
      <c r="H37" s="7">
        <v>14670.57</v>
      </c>
      <c r="I37" s="2"/>
      <c r="J37" s="6">
        <f t="shared" si="21"/>
        <v>7.9193869045636509E-2</v>
      </c>
      <c r="K37" s="2"/>
      <c r="L37" s="7">
        <f t="shared" si="22"/>
        <v>-13717.47</v>
      </c>
      <c r="M37" s="2"/>
      <c r="N37" s="6">
        <f t="shared" si="23"/>
        <v>-0.93503319911905258</v>
      </c>
      <c r="O37" s="11"/>
      <c r="P37" s="7">
        <v>953.1</v>
      </c>
      <c r="Q37" s="2"/>
      <c r="R37" s="6">
        <f t="shared" si="24"/>
        <v>2.0421640124891047E-2</v>
      </c>
      <c r="S37" s="2"/>
      <c r="T37" s="7">
        <v>32867.08</v>
      </c>
      <c r="U37" s="2"/>
      <c r="V37" s="6">
        <f t="shared" si="25"/>
        <v>8.1859456171300582E-2</v>
      </c>
      <c r="W37" s="2"/>
      <c r="X37" s="7">
        <f t="shared" si="26"/>
        <v>-31913.980000000003</v>
      </c>
      <c r="Y37" s="2"/>
      <c r="Z37" s="6">
        <f t="shared" si="27"/>
        <v>-0.97100137888732441</v>
      </c>
    </row>
    <row r="38" spans="1:26" s="24" customFormat="1" hidden="1" outlineLevel="2" x14ac:dyDescent="0.25">
      <c r="A38" s="29"/>
      <c r="B38" s="11" t="str">
        <f>CONCATENATE("          ", "6006", " - ", "TEMPORARY PART TIME")</f>
        <v xml:space="preserve">          6006 - TEMPORARY PART TIME</v>
      </c>
      <c r="C38" s="11"/>
      <c r="D38" s="7"/>
      <c r="E38" s="2"/>
      <c r="F38" s="6">
        <f t="shared" si="20"/>
        <v>0</v>
      </c>
      <c r="G38" s="2"/>
      <c r="H38" s="7">
        <v>1971</v>
      </c>
      <c r="I38" s="2"/>
      <c r="J38" s="6">
        <f t="shared" si="21"/>
        <v>1.0639744460436751E-2</v>
      </c>
      <c r="K38" s="2"/>
      <c r="L38" s="7">
        <f t="shared" si="22"/>
        <v>-1971</v>
      </c>
      <c r="M38" s="2"/>
      <c r="N38" s="6">
        <f t="shared" si="23"/>
        <v>-1</v>
      </c>
      <c r="O38" s="11"/>
      <c r="P38" s="7"/>
      <c r="Q38" s="2"/>
      <c r="R38" s="6">
        <f t="shared" si="24"/>
        <v>0</v>
      </c>
      <c r="S38" s="2"/>
      <c r="T38" s="7">
        <v>4422</v>
      </c>
      <c r="U38" s="2"/>
      <c r="V38" s="6">
        <f t="shared" si="25"/>
        <v>1.1013528283908735E-2</v>
      </c>
      <c r="W38" s="2"/>
      <c r="X38" s="7">
        <f t="shared" si="26"/>
        <v>-4422</v>
      </c>
      <c r="Y38" s="2"/>
      <c r="Z38" s="6">
        <f t="shared" si="27"/>
        <v>-1</v>
      </c>
    </row>
    <row r="39" spans="1:26" s="24" customFormat="1" hidden="1" outlineLevel="2" x14ac:dyDescent="0.25">
      <c r="A39" s="29"/>
      <c r="B39" s="11" t="str">
        <f>CONCATENATE("          ", "6007", " - ", "STUDENT HOURLY")</f>
        <v xml:space="preserve">          6007 - STUDENT HOURLY</v>
      </c>
      <c r="C39" s="11"/>
      <c r="D39" s="7">
        <v>11062.67</v>
      </c>
      <c r="E39" s="2"/>
      <c r="F39" s="6">
        <f t="shared" si="20"/>
        <v>0.23703479756628729</v>
      </c>
      <c r="G39" s="2"/>
      <c r="H39" s="7">
        <v>22635.82</v>
      </c>
      <c r="I39" s="2"/>
      <c r="J39" s="6">
        <f t="shared" si="21"/>
        <v>0.12219144619606463</v>
      </c>
      <c r="K39" s="2"/>
      <c r="L39" s="7">
        <f t="shared" si="22"/>
        <v>-11573.15</v>
      </c>
      <c r="M39" s="2"/>
      <c r="N39" s="6">
        <f t="shared" si="23"/>
        <v>-0.51127593345414479</v>
      </c>
      <c r="O39" s="11"/>
      <c r="P39" s="7">
        <v>13916.67</v>
      </c>
      <c r="Q39" s="2"/>
      <c r="R39" s="6">
        <f t="shared" si="24"/>
        <v>0.29818615725198561</v>
      </c>
      <c r="S39" s="2"/>
      <c r="T39" s="7">
        <v>44518.96</v>
      </c>
      <c r="U39" s="2"/>
      <c r="V39" s="6">
        <f t="shared" si="25"/>
        <v>0.11087987904346487</v>
      </c>
      <c r="W39" s="2"/>
      <c r="X39" s="7">
        <f t="shared" si="26"/>
        <v>-30602.29</v>
      </c>
      <c r="Y39" s="2"/>
      <c r="Z39" s="6">
        <f t="shared" si="27"/>
        <v>-0.68739903178331219</v>
      </c>
    </row>
    <row r="40" spans="1:26" s="24" customFormat="1" hidden="1" outlineLevel="2" x14ac:dyDescent="0.25">
      <c r="A40" s="29"/>
      <c r="B40" s="11" t="str">
        <f>CONCATENATE("          ", "6008", " - ", "STUDENT HOURLY-FICA EXEMPT")</f>
        <v xml:space="preserve">          6008 - STUDENT HOURLY-FICA EXEMPT</v>
      </c>
      <c r="C40" s="11"/>
      <c r="D40" s="7">
        <v>616.33000000000004</v>
      </c>
      <c r="E40" s="2"/>
      <c r="F40" s="6">
        <f t="shared" si="20"/>
        <v>1.3205822535068827E-2</v>
      </c>
      <c r="G40" s="2"/>
      <c r="H40" s="7">
        <v>5691</v>
      </c>
      <c r="I40" s="2"/>
      <c r="J40" s="6">
        <f t="shared" si="21"/>
        <v>3.0720845116359991E-2</v>
      </c>
      <c r="K40" s="2"/>
      <c r="L40" s="7">
        <f t="shared" si="22"/>
        <v>-5074.67</v>
      </c>
      <c r="M40" s="2"/>
      <c r="N40" s="6">
        <f t="shared" si="23"/>
        <v>-0.89170093129502725</v>
      </c>
      <c r="O40" s="11"/>
      <c r="P40" s="7">
        <v>616.33000000000004</v>
      </c>
      <c r="Q40" s="2"/>
      <c r="R40" s="6">
        <f t="shared" si="24"/>
        <v>1.3205822535068827E-2</v>
      </c>
      <c r="S40" s="2"/>
      <c r="T40" s="7">
        <v>10785</v>
      </c>
      <c r="U40" s="2"/>
      <c r="V40" s="6">
        <f t="shared" si="25"/>
        <v>2.6861352904105771E-2</v>
      </c>
      <c r="W40" s="2"/>
      <c r="X40" s="7">
        <f t="shared" si="26"/>
        <v>-10168.67</v>
      </c>
      <c r="Y40" s="2"/>
      <c r="Z40" s="6">
        <f t="shared" si="27"/>
        <v>-0.94285303662494202</v>
      </c>
    </row>
    <row r="41" spans="1:26" s="28" customFormat="1" outlineLevel="1" collapsed="1" x14ac:dyDescent="0.25">
      <c r="A41" s="27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704.51</v>
      </c>
      <c r="E41" s="1"/>
      <c r="F41" s="5">
        <f t="shared" ref="F41:F64" si="28">IF(D$12=0,0,D41/D$12)</f>
        <v>1.5095215281069132E-2</v>
      </c>
      <c r="G41" s="1"/>
      <c r="H41" s="1">
        <f>SUM(OSRRefH22_2x_0)</f>
        <v>1717.46</v>
      </c>
      <c r="I41" s="1"/>
      <c r="J41" s="5">
        <f t="shared" ref="J41:J64" si="29">IF(H$12=0,0,H41/H$12)</f>
        <v>9.2710986915381533E-3</v>
      </c>
      <c r="K41" s="1"/>
      <c r="L41" s="1">
        <f t="shared" ref="L41:L64" si="30">+D41-H41</f>
        <v>-1012.95</v>
      </c>
      <c r="M41" s="1"/>
      <c r="N41" s="5">
        <f t="shared" ref="N41:N64" si="31">IF(H41=0,0,L41/H41)</f>
        <v>-0.58979539552595117</v>
      </c>
      <c r="O41" s="14"/>
      <c r="P41" s="1">
        <f>SUM(OSRRefP22_2x_0)</f>
        <v>1224.25</v>
      </c>
      <c r="Q41" s="1"/>
      <c r="R41" s="5">
        <f t="shared" ref="R41:R64" si="32">IF(P$12=0,0,P41/P$12)</f>
        <v>2.6231447825934173E-2</v>
      </c>
      <c r="S41" s="1"/>
      <c r="T41" s="1">
        <f>SUM(OSRRefT22_2x_0)</f>
        <v>2140.15</v>
      </c>
      <c r="U41" s="1"/>
      <c r="V41" s="5">
        <f t="shared" ref="V41:V64" si="33">IF(T$12=0,0,T41/T$12)</f>
        <v>5.3303036085045868E-3</v>
      </c>
      <c r="W41" s="1"/>
      <c r="X41" s="1">
        <f t="shared" ref="X41:X64" si="34">+P41-T41</f>
        <v>-915.90000000000009</v>
      </c>
      <c r="Y41" s="1"/>
      <c r="Z41" s="5">
        <f t="shared" ref="Z41:Z64" si="35">IF(T41=0,0,X41/T41)</f>
        <v>-0.42796065696329699</v>
      </c>
    </row>
    <row r="42" spans="1:26" s="24" customFormat="1" hidden="1" outlineLevel="2" x14ac:dyDescent="0.25">
      <c r="A42" s="29"/>
      <c r="B42" s="11" t="str">
        <f>CONCATENATE("          ", "6362", " - ", "ADVERTISING EXPENSE")</f>
        <v xml:space="preserve">          6362 - ADVERTISING EXPENSE</v>
      </c>
      <c r="C42" s="11"/>
      <c r="D42" s="7">
        <v>704.51</v>
      </c>
      <c r="E42" s="2"/>
      <c r="F42" s="6">
        <f t="shared" si="28"/>
        <v>1.5095215281069132E-2</v>
      </c>
      <c r="G42" s="2"/>
      <c r="H42" s="7">
        <v>1717.46</v>
      </c>
      <c r="I42" s="2"/>
      <c r="J42" s="6">
        <f t="shared" si="29"/>
        <v>9.2710986915381533E-3</v>
      </c>
      <c r="K42" s="2"/>
      <c r="L42" s="7">
        <f t="shared" si="30"/>
        <v>-1012.95</v>
      </c>
      <c r="M42" s="2"/>
      <c r="N42" s="6">
        <f t="shared" si="31"/>
        <v>-0.58979539552595117</v>
      </c>
      <c r="O42" s="11"/>
      <c r="P42" s="7">
        <v>1224.25</v>
      </c>
      <c r="Q42" s="2"/>
      <c r="R42" s="6">
        <f t="shared" si="32"/>
        <v>2.6231447825934173E-2</v>
      </c>
      <c r="S42" s="2"/>
      <c r="T42" s="7">
        <v>2140.15</v>
      </c>
      <c r="U42" s="2"/>
      <c r="V42" s="6">
        <f t="shared" si="33"/>
        <v>5.3303036085045868E-3</v>
      </c>
      <c r="W42" s="2"/>
      <c r="X42" s="7">
        <f t="shared" si="34"/>
        <v>-915.90000000000009</v>
      </c>
      <c r="Y42" s="2"/>
      <c r="Z42" s="6">
        <f t="shared" si="35"/>
        <v>-0.42796065696329699</v>
      </c>
    </row>
    <row r="43" spans="1:26" s="28" customFormat="1" outlineLevel="1" collapsed="1" x14ac:dyDescent="0.25">
      <c r="A43" s="27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32</v>
      </c>
      <c r="E43" s="1"/>
      <c r="F43" s="5">
        <f t="shared" si="28"/>
        <v>6.8564944286697452E-4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32</v>
      </c>
      <c r="M43" s="1"/>
      <c r="N43" s="5">
        <f t="shared" si="31"/>
        <v>0</v>
      </c>
      <c r="O43" s="14"/>
      <c r="P43" s="1">
        <f>SUM(OSRRefP22_3x_0)</f>
        <v>32</v>
      </c>
      <c r="Q43" s="1"/>
      <c r="R43" s="5">
        <f t="shared" si="32"/>
        <v>6.8564944286697452E-4</v>
      </c>
      <c r="S43" s="1"/>
      <c r="T43" s="1">
        <f>SUM(OSRRefT22_3x_0)</f>
        <v>-2</v>
      </c>
      <c r="U43" s="1"/>
      <c r="V43" s="5">
        <f t="shared" si="33"/>
        <v>-4.9812430049338466E-6</v>
      </c>
      <c r="W43" s="1"/>
      <c r="X43" s="1">
        <f t="shared" si="34"/>
        <v>34</v>
      </c>
      <c r="Y43" s="1"/>
      <c r="Z43" s="5">
        <f t="shared" si="35"/>
        <v>-17</v>
      </c>
    </row>
    <row r="44" spans="1:26" s="24" customFormat="1" hidden="1" outlineLevel="2" x14ac:dyDescent="0.25">
      <c r="A44" s="29"/>
      <c r="B44" s="11" t="str">
        <f>CONCATENATE("          ", "6272", " - ", "CASH (OVER/SHORT)")</f>
        <v xml:space="preserve">          6272 - CASH (OVER/SHORT)</v>
      </c>
      <c r="C44" s="11"/>
      <c r="D44" s="7">
        <v>32</v>
      </c>
      <c r="E44" s="2"/>
      <c r="F44" s="6">
        <f t="shared" si="28"/>
        <v>6.8564944286697452E-4</v>
      </c>
      <c r="G44" s="2"/>
      <c r="H44" s="7"/>
      <c r="I44" s="2"/>
      <c r="J44" s="6">
        <f t="shared" si="29"/>
        <v>0</v>
      </c>
      <c r="K44" s="2"/>
      <c r="L44" s="7">
        <f t="shared" si="30"/>
        <v>32</v>
      </c>
      <c r="M44" s="2"/>
      <c r="N44" s="6">
        <f t="shared" si="31"/>
        <v>0</v>
      </c>
      <c r="O44" s="11"/>
      <c r="P44" s="7">
        <v>32</v>
      </c>
      <c r="Q44" s="2"/>
      <c r="R44" s="6">
        <f t="shared" si="32"/>
        <v>6.8564944286697452E-4</v>
      </c>
      <c r="S44" s="2"/>
      <c r="T44" s="7">
        <v>-2</v>
      </c>
      <c r="U44" s="2"/>
      <c r="V44" s="6">
        <f t="shared" si="33"/>
        <v>-4.9812430049338466E-6</v>
      </c>
      <c r="W44" s="2"/>
      <c r="X44" s="7">
        <f t="shared" si="34"/>
        <v>34</v>
      </c>
      <c r="Y44" s="2"/>
      <c r="Z44" s="6">
        <f t="shared" si="35"/>
        <v>-17</v>
      </c>
    </row>
    <row r="45" spans="1:26" s="28" customFormat="1" outlineLevel="1" collapsed="1" x14ac:dyDescent="0.25">
      <c r="A45" s="27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0</v>
      </c>
      <c r="E45" s="1"/>
      <c r="F45" s="5">
        <f t="shared" si="28"/>
        <v>0</v>
      </c>
      <c r="G45" s="1"/>
      <c r="H45" s="1">
        <f>SUM(OSRRefH22_4x_0)</f>
        <v>73.760000000000005</v>
      </c>
      <c r="I45" s="1"/>
      <c r="J45" s="5">
        <f t="shared" si="29"/>
        <v>3.9816720010239207E-4</v>
      </c>
      <c r="K45" s="1"/>
      <c r="L45" s="1">
        <f t="shared" si="30"/>
        <v>-73.760000000000005</v>
      </c>
      <c r="M45" s="1"/>
      <c r="N45" s="5">
        <f t="shared" si="31"/>
        <v>-1</v>
      </c>
      <c r="O45" s="14"/>
      <c r="P45" s="1">
        <f>SUM(OSRRefP22_4x_0)</f>
        <v>0</v>
      </c>
      <c r="Q45" s="1"/>
      <c r="R45" s="5">
        <f t="shared" si="32"/>
        <v>0</v>
      </c>
      <c r="S45" s="1"/>
      <c r="T45" s="1">
        <f>SUM(OSRRefT22_4x_0)</f>
        <v>368.31</v>
      </c>
      <c r="U45" s="1"/>
      <c r="V45" s="5">
        <f t="shared" si="33"/>
        <v>9.1732080557359254E-4</v>
      </c>
      <c r="W45" s="1"/>
      <c r="X45" s="1">
        <f t="shared" si="34"/>
        <v>-368.31</v>
      </c>
      <c r="Y45" s="1"/>
      <c r="Z45" s="5">
        <f t="shared" si="35"/>
        <v>-1</v>
      </c>
    </row>
    <row r="46" spans="1:26" s="24" customFormat="1" hidden="1" outlineLevel="2" x14ac:dyDescent="0.25">
      <c r="A46" s="29"/>
      <c r="B46" s="11" t="str">
        <f>CONCATENATE("          ", "6381", " - ", "BANK/CREDIT CARD FEES")</f>
        <v xml:space="preserve">          6381 - BANK/CREDIT CARD FEES</v>
      </c>
      <c r="C46" s="11"/>
      <c r="D46" s="7"/>
      <c r="E46" s="2"/>
      <c r="F46" s="6">
        <f t="shared" si="28"/>
        <v>0</v>
      </c>
      <c r="G46" s="2"/>
      <c r="H46" s="7">
        <v>73.760000000000005</v>
      </c>
      <c r="I46" s="2"/>
      <c r="J46" s="6">
        <f t="shared" si="29"/>
        <v>3.9816720010239207E-4</v>
      </c>
      <c r="K46" s="2"/>
      <c r="L46" s="7">
        <f t="shared" si="30"/>
        <v>-73.760000000000005</v>
      </c>
      <c r="M46" s="2"/>
      <c r="N46" s="6">
        <f t="shared" si="31"/>
        <v>-1</v>
      </c>
      <c r="O46" s="11"/>
      <c r="P46" s="7"/>
      <c r="Q46" s="2"/>
      <c r="R46" s="6">
        <f t="shared" si="32"/>
        <v>0</v>
      </c>
      <c r="S46" s="2"/>
      <c r="T46" s="7">
        <v>368.31</v>
      </c>
      <c r="U46" s="2"/>
      <c r="V46" s="6">
        <f t="shared" si="33"/>
        <v>9.1732080557359254E-4</v>
      </c>
      <c r="W46" s="2"/>
      <c r="X46" s="7">
        <f t="shared" si="34"/>
        <v>-368.31</v>
      </c>
      <c r="Y46" s="2"/>
      <c r="Z46" s="6">
        <f t="shared" si="35"/>
        <v>-1</v>
      </c>
    </row>
    <row r="47" spans="1:26" s="28" customFormat="1" outlineLevel="1" collapsed="1" x14ac:dyDescent="0.25">
      <c r="A47" s="27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281.26</v>
      </c>
      <c r="E47" s="1"/>
      <c r="F47" s="5">
        <f t="shared" si="28"/>
        <v>6.0264300718989141E-3</v>
      </c>
      <c r="G47" s="1"/>
      <c r="H47" s="1">
        <f>SUM(OSRRefH22_5x_0)</f>
        <v>0</v>
      </c>
      <c r="I47" s="1"/>
      <c r="J47" s="5">
        <f t="shared" si="29"/>
        <v>0</v>
      </c>
      <c r="K47" s="1"/>
      <c r="L47" s="1">
        <f t="shared" si="30"/>
        <v>281.26</v>
      </c>
      <c r="M47" s="1"/>
      <c r="N47" s="5">
        <f t="shared" si="31"/>
        <v>0</v>
      </c>
      <c r="O47" s="14"/>
      <c r="P47" s="1">
        <f>SUM(OSRRefP22_5x_0)</f>
        <v>281.26</v>
      </c>
      <c r="Q47" s="1"/>
      <c r="R47" s="5">
        <f t="shared" si="32"/>
        <v>6.0264300718989141E-3</v>
      </c>
      <c r="S47" s="1"/>
      <c r="T47" s="1">
        <f>SUM(OSRRefT22_5x_0)</f>
        <v>0</v>
      </c>
      <c r="U47" s="1"/>
      <c r="V47" s="5">
        <f t="shared" si="33"/>
        <v>0</v>
      </c>
      <c r="W47" s="1"/>
      <c r="X47" s="1">
        <f t="shared" si="34"/>
        <v>281.26</v>
      </c>
      <c r="Y47" s="1"/>
      <c r="Z47" s="5">
        <f t="shared" si="35"/>
        <v>0</v>
      </c>
    </row>
    <row r="48" spans="1:26" s="24" customFormat="1" hidden="1" outlineLevel="2" x14ac:dyDescent="0.25">
      <c r="A48" s="29"/>
      <c r="B48" s="11" t="str">
        <f>CONCATENATE("          ", "6322", " - ", "EQUIPMENT DEPRECIATION EXPENSE")</f>
        <v xml:space="preserve">          6322 - EQUIPMENT DEPRECIATION EXPENSE</v>
      </c>
      <c r="C48" s="11"/>
      <c r="D48" s="7">
        <v>281.26</v>
      </c>
      <c r="E48" s="2"/>
      <c r="F48" s="6">
        <f t="shared" si="28"/>
        <v>6.0264300718989141E-3</v>
      </c>
      <c r="G48" s="2"/>
      <c r="H48" s="7"/>
      <c r="I48" s="2"/>
      <c r="J48" s="6">
        <f t="shared" si="29"/>
        <v>0</v>
      </c>
      <c r="K48" s="2"/>
      <c r="L48" s="7">
        <f t="shared" si="30"/>
        <v>281.26</v>
      </c>
      <c r="M48" s="2"/>
      <c r="N48" s="6">
        <f t="shared" si="31"/>
        <v>0</v>
      </c>
      <c r="O48" s="11"/>
      <c r="P48" s="7">
        <v>281.26</v>
      </c>
      <c r="Q48" s="2"/>
      <c r="R48" s="6">
        <f t="shared" si="32"/>
        <v>6.0264300718989141E-3</v>
      </c>
      <c r="S48" s="2"/>
      <c r="T48" s="7"/>
      <c r="U48" s="2"/>
      <c r="V48" s="6">
        <f t="shared" si="33"/>
        <v>0</v>
      </c>
      <c r="W48" s="2"/>
      <c r="X48" s="7">
        <f t="shared" si="34"/>
        <v>281.26</v>
      </c>
      <c r="Y48" s="2"/>
      <c r="Z48" s="6">
        <f t="shared" si="35"/>
        <v>0</v>
      </c>
    </row>
    <row r="49" spans="1:26" s="28" customFormat="1" outlineLevel="1" collapsed="1" x14ac:dyDescent="0.25">
      <c r="A49" s="27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2222.02</v>
      </c>
      <c r="E49" s="1"/>
      <c r="F49" s="5">
        <f t="shared" si="28"/>
        <v>4.7610211719977334E-2</v>
      </c>
      <c r="G49" s="1"/>
      <c r="H49" s="1">
        <f>SUM(OSRRefH22_6x_0)</f>
        <v>2057.67</v>
      </c>
      <c r="I49" s="1"/>
      <c r="J49" s="5">
        <f t="shared" si="29"/>
        <v>1.1107601716847736E-2</v>
      </c>
      <c r="K49" s="1"/>
      <c r="L49" s="1">
        <f t="shared" si="30"/>
        <v>164.34999999999991</v>
      </c>
      <c r="M49" s="1"/>
      <c r="N49" s="5">
        <f t="shared" si="31"/>
        <v>7.9871893938289376E-2</v>
      </c>
      <c r="O49" s="14"/>
      <c r="P49" s="1">
        <f>SUM(OSRRefP22_6x_0)</f>
        <v>2222.02</v>
      </c>
      <c r="Q49" s="1"/>
      <c r="R49" s="5">
        <f t="shared" si="32"/>
        <v>4.7610211719977334E-2</v>
      </c>
      <c r="S49" s="1"/>
      <c r="T49" s="1">
        <f>SUM(OSRRefT22_6x_0)</f>
        <v>2057.67</v>
      </c>
      <c r="U49" s="1"/>
      <c r="V49" s="5">
        <f t="shared" si="33"/>
        <v>5.1248771469811147E-3</v>
      </c>
      <c r="W49" s="1"/>
      <c r="X49" s="1">
        <f t="shared" si="34"/>
        <v>164.34999999999991</v>
      </c>
      <c r="Y49" s="1"/>
      <c r="Z49" s="5">
        <f t="shared" si="35"/>
        <v>7.9871893938289376E-2</v>
      </c>
    </row>
    <row r="50" spans="1:26" s="24" customFormat="1" hidden="1" outlineLevel="2" x14ac:dyDescent="0.25">
      <c r="A50" s="29"/>
      <c r="B50" s="11" t="str">
        <f>CONCATENATE("          ", "6399", " - ", "DONATION-ON CAMPUS")</f>
        <v xml:space="preserve">          6399 - DONATION-ON CAMPUS</v>
      </c>
      <c r="C50" s="11"/>
      <c r="D50" s="7">
        <v>2222.02</v>
      </c>
      <c r="E50" s="2"/>
      <c r="F50" s="6">
        <f t="shared" si="28"/>
        <v>4.7610211719977334E-2</v>
      </c>
      <c r="G50" s="2"/>
      <c r="H50" s="7">
        <v>2057.67</v>
      </c>
      <c r="I50" s="2"/>
      <c r="J50" s="6">
        <f t="shared" si="29"/>
        <v>1.1107601716847736E-2</v>
      </c>
      <c r="K50" s="2"/>
      <c r="L50" s="7">
        <f t="shared" si="30"/>
        <v>164.34999999999991</v>
      </c>
      <c r="M50" s="2"/>
      <c r="N50" s="6">
        <f t="shared" si="31"/>
        <v>7.9871893938289376E-2</v>
      </c>
      <c r="O50" s="11"/>
      <c r="P50" s="7">
        <v>2222.02</v>
      </c>
      <c r="Q50" s="2"/>
      <c r="R50" s="6">
        <f t="shared" si="32"/>
        <v>4.7610211719977334E-2</v>
      </c>
      <c r="S50" s="2"/>
      <c r="T50" s="7">
        <v>2057.67</v>
      </c>
      <c r="U50" s="2"/>
      <c r="V50" s="6">
        <f t="shared" si="33"/>
        <v>5.1248771469811147E-3</v>
      </c>
      <c r="W50" s="2"/>
      <c r="X50" s="7">
        <f t="shared" si="34"/>
        <v>164.34999999999991</v>
      </c>
      <c r="Y50" s="2"/>
      <c r="Z50" s="6">
        <f t="shared" si="35"/>
        <v>7.9871893938289376E-2</v>
      </c>
    </row>
    <row r="51" spans="1:26" s="28" customFormat="1" outlineLevel="1" collapsed="1" x14ac:dyDescent="0.25">
      <c r="A51" s="27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0</v>
      </c>
      <c r="E51" s="1"/>
      <c r="F51" s="5">
        <f t="shared" si="28"/>
        <v>0</v>
      </c>
      <c r="G51" s="1"/>
      <c r="H51" s="1">
        <f>SUM(OSRRefH22_7x_0)</f>
        <v>113.06</v>
      </c>
      <c r="I51" s="1"/>
      <c r="J51" s="5">
        <f t="shared" si="29"/>
        <v>6.1031431187061336E-4</v>
      </c>
      <c r="K51" s="1"/>
      <c r="L51" s="1">
        <f t="shared" si="30"/>
        <v>-113.06</v>
      </c>
      <c r="M51" s="1"/>
      <c r="N51" s="5">
        <f t="shared" si="31"/>
        <v>-1</v>
      </c>
      <c r="O51" s="14"/>
      <c r="P51" s="1">
        <f>SUM(OSRRefP22_7x_0)</f>
        <v>0</v>
      </c>
      <c r="Q51" s="1"/>
      <c r="R51" s="5">
        <f t="shared" si="32"/>
        <v>0</v>
      </c>
      <c r="S51" s="1"/>
      <c r="T51" s="1">
        <f>SUM(OSRRefT22_7x_0)</f>
        <v>113.06</v>
      </c>
      <c r="U51" s="1"/>
      <c r="V51" s="5">
        <f t="shared" si="33"/>
        <v>2.8158966706891037E-4</v>
      </c>
      <c r="W51" s="1"/>
      <c r="X51" s="1">
        <f t="shared" si="34"/>
        <v>-113.06</v>
      </c>
      <c r="Y51" s="1"/>
      <c r="Z51" s="5">
        <f t="shared" si="35"/>
        <v>-1</v>
      </c>
    </row>
    <row r="52" spans="1:26" s="24" customFormat="1" hidden="1" outlineLevel="2" x14ac:dyDescent="0.25">
      <c r="A52" s="29"/>
      <c r="B52" s="11" t="str">
        <f>CONCATENATE("          ", "6277", " - ", "EMPLOYEE APPRECIATION")</f>
        <v xml:space="preserve">          6277 - EMPLOYEE APPRECIATION</v>
      </c>
      <c r="C52" s="11"/>
      <c r="D52" s="7"/>
      <c r="E52" s="2"/>
      <c r="F52" s="6">
        <f t="shared" si="28"/>
        <v>0</v>
      </c>
      <c r="G52" s="2"/>
      <c r="H52" s="7">
        <v>113.06</v>
      </c>
      <c r="I52" s="2"/>
      <c r="J52" s="6">
        <f t="shared" si="29"/>
        <v>6.1031431187061336E-4</v>
      </c>
      <c r="K52" s="2"/>
      <c r="L52" s="7">
        <f t="shared" si="30"/>
        <v>-113.06</v>
      </c>
      <c r="M52" s="2"/>
      <c r="N52" s="6">
        <f t="shared" si="31"/>
        <v>-1</v>
      </c>
      <c r="O52" s="11"/>
      <c r="P52" s="7"/>
      <c r="Q52" s="2"/>
      <c r="R52" s="6">
        <f t="shared" si="32"/>
        <v>0</v>
      </c>
      <c r="S52" s="2"/>
      <c r="T52" s="7">
        <v>113.06</v>
      </c>
      <c r="U52" s="2"/>
      <c r="V52" s="6">
        <f t="shared" si="33"/>
        <v>2.8158966706891037E-4</v>
      </c>
      <c r="W52" s="2"/>
      <c r="X52" s="7">
        <f t="shared" si="34"/>
        <v>-113.06</v>
      </c>
      <c r="Y52" s="2"/>
      <c r="Z52" s="6">
        <f t="shared" si="35"/>
        <v>-1</v>
      </c>
    </row>
    <row r="53" spans="1:26" s="28" customFormat="1" outlineLevel="1" collapsed="1" x14ac:dyDescent="0.25">
      <c r="A53" s="27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342.94</v>
      </c>
      <c r="E53" s="1"/>
      <c r="F53" s="5">
        <f t="shared" si="28"/>
        <v>7.3480193730250075E-3</v>
      </c>
      <c r="G53" s="1"/>
      <c r="H53" s="1">
        <f>SUM(OSRRefH22_8x_0)</f>
        <v>900.45</v>
      </c>
      <c r="I53" s="1"/>
      <c r="J53" s="5">
        <f t="shared" si="29"/>
        <v>4.8607599692543236E-3</v>
      </c>
      <c r="K53" s="1"/>
      <c r="L53" s="1">
        <f t="shared" si="30"/>
        <v>-557.51</v>
      </c>
      <c r="M53" s="1"/>
      <c r="N53" s="5">
        <f t="shared" si="31"/>
        <v>-0.61914598256427333</v>
      </c>
      <c r="O53" s="14"/>
      <c r="P53" s="1">
        <f>SUM(OSRRefP22_8x_0)</f>
        <v>550.54</v>
      </c>
      <c r="Q53" s="1"/>
      <c r="R53" s="5">
        <f t="shared" si="32"/>
        <v>1.1796170133624504E-2</v>
      </c>
      <c r="S53" s="1"/>
      <c r="T53" s="1">
        <f>SUM(OSRRefT22_8x_0)</f>
        <v>1068.3</v>
      </c>
      <c r="U53" s="1"/>
      <c r="V53" s="5">
        <f t="shared" si="33"/>
        <v>2.660730951085414E-3</v>
      </c>
      <c r="W53" s="1"/>
      <c r="X53" s="1">
        <f t="shared" si="34"/>
        <v>-517.76</v>
      </c>
      <c r="Y53" s="1"/>
      <c r="Z53" s="5">
        <f t="shared" si="35"/>
        <v>-0.48465786764017599</v>
      </c>
    </row>
    <row r="54" spans="1:26" s="24" customFormat="1" hidden="1" outlineLevel="2" x14ac:dyDescent="0.25">
      <c r="A54" s="29"/>
      <c r="B54" s="11" t="str">
        <f>CONCATENATE("          ", "6351", " - ", "EQUIPMENT RENTAL")</f>
        <v xml:space="preserve">          6351 - EQUIPMENT RENTAL</v>
      </c>
      <c r="C54" s="11"/>
      <c r="D54" s="7">
        <v>342.94</v>
      </c>
      <c r="E54" s="2"/>
      <c r="F54" s="6">
        <f t="shared" si="28"/>
        <v>7.3480193730250075E-3</v>
      </c>
      <c r="G54" s="2"/>
      <c r="H54" s="7">
        <v>900.45</v>
      </c>
      <c r="I54" s="2"/>
      <c r="J54" s="6">
        <f t="shared" si="29"/>
        <v>4.8607599692543236E-3</v>
      </c>
      <c r="K54" s="2"/>
      <c r="L54" s="7">
        <f t="shared" si="30"/>
        <v>-557.51</v>
      </c>
      <c r="M54" s="2"/>
      <c r="N54" s="6">
        <f t="shared" si="31"/>
        <v>-0.61914598256427333</v>
      </c>
      <c r="O54" s="11"/>
      <c r="P54" s="7">
        <v>550.54</v>
      </c>
      <c r="Q54" s="2"/>
      <c r="R54" s="6">
        <f t="shared" si="32"/>
        <v>1.1796170133624504E-2</v>
      </c>
      <c r="S54" s="2"/>
      <c r="T54" s="7">
        <v>1068.3</v>
      </c>
      <c r="U54" s="2"/>
      <c r="V54" s="6">
        <f t="shared" si="33"/>
        <v>2.660730951085414E-3</v>
      </c>
      <c r="W54" s="2"/>
      <c r="X54" s="7">
        <f t="shared" si="34"/>
        <v>-517.76</v>
      </c>
      <c r="Y54" s="2"/>
      <c r="Z54" s="6">
        <f t="shared" si="35"/>
        <v>-0.48465786764017599</v>
      </c>
    </row>
    <row r="55" spans="1:26" s="28" customFormat="1" outlineLevel="1" collapsed="1" x14ac:dyDescent="0.25">
      <c r="A55" s="27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360</v>
      </c>
      <c r="I55" s="1"/>
      <c r="J55" s="5">
        <f t="shared" si="29"/>
        <v>1.9433323215409589E-3</v>
      </c>
      <c r="K55" s="1"/>
      <c r="L55" s="1">
        <f t="shared" si="30"/>
        <v>-360</v>
      </c>
      <c r="M55" s="1"/>
      <c r="N55" s="5">
        <f t="shared" si="31"/>
        <v>-1</v>
      </c>
      <c r="O55" s="14"/>
      <c r="P55" s="1">
        <f>SUM(OSRRefP22_9x_0)</f>
        <v>1439.55</v>
      </c>
      <c r="Q55" s="1"/>
      <c r="R55" s="5">
        <f t="shared" si="32"/>
        <v>3.0844582983723536E-2</v>
      </c>
      <c r="S55" s="1"/>
      <c r="T55" s="1">
        <f>SUM(OSRRefT22_9x_0)</f>
        <v>1877.1</v>
      </c>
      <c r="U55" s="1"/>
      <c r="V55" s="5">
        <f t="shared" si="33"/>
        <v>4.6751456222806622E-3</v>
      </c>
      <c r="W55" s="1"/>
      <c r="X55" s="1">
        <f t="shared" si="34"/>
        <v>-437.54999999999995</v>
      </c>
      <c r="Y55" s="1"/>
      <c r="Z55" s="5">
        <f t="shared" si="35"/>
        <v>-0.23309892919929678</v>
      </c>
    </row>
    <row r="56" spans="1:26" s="24" customFormat="1" hidden="1" outlineLevel="2" x14ac:dyDescent="0.25">
      <c r="A56" s="29"/>
      <c r="B56" s="11" t="str">
        <f>CONCATENATE("          ", "6279", " - ", "GENERAL EXPENSE")</f>
        <v xml:space="preserve">          6279 - GENERAL EXPENSE</v>
      </c>
      <c r="C56" s="11"/>
      <c r="D56" s="7"/>
      <c r="E56" s="2"/>
      <c r="F56" s="6">
        <f t="shared" si="28"/>
        <v>0</v>
      </c>
      <c r="G56" s="2"/>
      <c r="H56" s="7">
        <v>360</v>
      </c>
      <c r="I56" s="2"/>
      <c r="J56" s="6">
        <f t="shared" si="29"/>
        <v>1.9433323215409589E-3</v>
      </c>
      <c r="K56" s="2"/>
      <c r="L56" s="7">
        <f t="shared" si="30"/>
        <v>-360</v>
      </c>
      <c r="M56" s="2"/>
      <c r="N56" s="6">
        <f t="shared" si="31"/>
        <v>-1</v>
      </c>
      <c r="O56" s="11"/>
      <c r="P56" s="7">
        <v>1439.55</v>
      </c>
      <c r="Q56" s="2"/>
      <c r="R56" s="6">
        <f t="shared" si="32"/>
        <v>3.0844582983723536E-2</v>
      </c>
      <c r="S56" s="2"/>
      <c r="T56" s="7">
        <v>1877.1</v>
      </c>
      <c r="U56" s="2"/>
      <c r="V56" s="6">
        <f t="shared" si="33"/>
        <v>4.6751456222806622E-3</v>
      </c>
      <c r="W56" s="2"/>
      <c r="X56" s="7">
        <f t="shared" si="34"/>
        <v>-437.54999999999995</v>
      </c>
      <c r="Y56" s="2"/>
      <c r="Z56" s="6">
        <f t="shared" si="35"/>
        <v>-0.23309892919929678</v>
      </c>
    </row>
    <row r="57" spans="1:26" s="28" customFormat="1" outlineLevel="1" collapsed="1" x14ac:dyDescent="0.25">
      <c r="A57" s="27"/>
      <c r="B57" s="14" t="str">
        <f>CONCATENATE("     ","R/H Commissions                                   ")</f>
        <v xml:space="preserve">     R/H Commissions                                   </v>
      </c>
      <c r="C57" s="14"/>
      <c r="D57" s="1">
        <f>SUM(OSRRefD22_10x_0)</f>
        <v>3389.81</v>
      </c>
      <c r="E57" s="1"/>
      <c r="F57" s="5">
        <f t="shared" si="28"/>
        <v>7.2631916810153088E-2</v>
      </c>
      <c r="G57" s="1"/>
      <c r="H57" s="1">
        <f>SUM(OSRRefH22_10x_0)</f>
        <v>14713.83</v>
      </c>
      <c r="I57" s="1"/>
      <c r="J57" s="5">
        <f t="shared" si="29"/>
        <v>7.9427392812941686E-2</v>
      </c>
      <c r="K57" s="1"/>
      <c r="L57" s="1">
        <f t="shared" si="30"/>
        <v>-11324.02</v>
      </c>
      <c r="M57" s="1"/>
      <c r="N57" s="5">
        <f t="shared" si="31"/>
        <v>-0.76961742795723487</v>
      </c>
      <c r="O57" s="14"/>
      <c r="P57" s="1">
        <f>SUM(OSRRefP22_10x_0)</f>
        <v>3389.81</v>
      </c>
      <c r="Q57" s="1"/>
      <c r="R57" s="5">
        <f t="shared" si="32"/>
        <v>7.2631916810153088E-2</v>
      </c>
      <c r="S57" s="1"/>
      <c r="T57" s="1">
        <f>SUM(OSRRefT22_10x_0)</f>
        <v>31336.79</v>
      </c>
      <c r="U57" s="1"/>
      <c r="V57" s="5">
        <f t="shared" si="33"/>
        <v>7.8048082992290463E-2</v>
      </c>
      <c r="W57" s="1"/>
      <c r="X57" s="1">
        <f t="shared" si="34"/>
        <v>-27946.98</v>
      </c>
      <c r="Y57" s="1"/>
      <c r="Z57" s="5">
        <f t="shared" si="35"/>
        <v>-0.89182650807565167</v>
      </c>
    </row>
    <row r="58" spans="1:26" s="24" customFormat="1" hidden="1" outlineLevel="2" x14ac:dyDescent="0.25">
      <c r="A58" s="29"/>
      <c r="B58" s="11" t="str">
        <f>CONCATENATE("          ", "6387", " - ", "COMMISSION DUE HOUSING")</f>
        <v xml:space="preserve">          6387 - COMMISSION DUE HOUSING</v>
      </c>
      <c r="C58" s="11"/>
      <c r="D58" s="7">
        <v>3389.81</v>
      </c>
      <c r="E58" s="2"/>
      <c r="F58" s="6">
        <f t="shared" si="28"/>
        <v>7.2631916810153088E-2</v>
      </c>
      <c r="G58" s="2"/>
      <c r="H58" s="7">
        <v>14713.83</v>
      </c>
      <c r="I58" s="2"/>
      <c r="J58" s="6">
        <f t="shared" si="29"/>
        <v>7.9427392812941686E-2</v>
      </c>
      <c r="K58" s="2"/>
      <c r="L58" s="7">
        <f t="shared" si="30"/>
        <v>-11324.02</v>
      </c>
      <c r="M58" s="2"/>
      <c r="N58" s="6">
        <f t="shared" si="31"/>
        <v>-0.76961742795723487</v>
      </c>
      <c r="O58" s="11"/>
      <c r="P58" s="7">
        <v>3389.81</v>
      </c>
      <c r="Q58" s="2"/>
      <c r="R58" s="6">
        <f t="shared" si="32"/>
        <v>7.2631916810153088E-2</v>
      </c>
      <c r="S58" s="2"/>
      <c r="T58" s="7">
        <v>31336.79</v>
      </c>
      <c r="U58" s="2"/>
      <c r="V58" s="6">
        <f t="shared" si="33"/>
        <v>7.8048082992290463E-2</v>
      </c>
      <c r="W58" s="2"/>
      <c r="X58" s="7">
        <f t="shared" si="34"/>
        <v>-27946.98</v>
      </c>
      <c r="Y58" s="2"/>
      <c r="Z58" s="6">
        <f t="shared" si="35"/>
        <v>-0.89182650807565167</v>
      </c>
    </row>
    <row r="59" spans="1:26" s="28" customFormat="1" outlineLevel="1" collapsed="1" x14ac:dyDescent="0.25">
      <c r="A59" s="27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SUM(OSRRefD22_11x_0)</f>
        <v>1388.55</v>
      </c>
      <c r="E59" s="1"/>
      <c r="F59" s="5">
        <f t="shared" si="28"/>
        <v>2.9751829184154296E-2</v>
      </c>
      <c r="G59" s="1"/>
      <c r="H59" s="1">
        <f>SUM(OSRRefH22_11x_0)</f>
        <v>20.39</v>
      </c>
      <c r="I59" s="1"/>
      <c r="J59" s="5">
        <f t="shared" si="29"/>
        <v>1.1006818343394488E-4</v>
      </c>
      <c r="K59" s="1"/>
      <c r="L59" s="1">
        <f t="shared" si="30"/>
        <v>1368.1599999999999</v>
      </c>
      <c r="M59" s="1"/>
      <c r="N59" s="5">
        <f t="shared" si="31"/>
        <v>67.099558607160361</v>
      </c>
      <c r="O59" s="14"/>
      <c r="P59" s="1">
        <f>SUM(OSRRefP22_11x_0)</f>
        <v>1390.2</v>
      </c>
      <c r="Q59" s="1"/>
      <c r="R59" s="5">
        <f t="shared" si="32"/>
        <v>2.9787182983552127E-2</v>
      </c>
      <c r="S59" s="1"/>
      <c r="T59" s="1">
        <f>SUM(OSRRefT22_11x_0)</f>
        <v>29.21</v>
      </c>
      <c r="U59" s="1"/>
      <c r="V59" s="5">
        <f t="shared" si="33"/>
        <v>7.2751054087058842E-5</v>
      </c>
      <c r="W59" s="1"/>
      <c r="X59" s="1">
        <f t="shared" si="34"/>
        <v>1360.99</v>
      </c>
      <c r="Y59" s="1"/>
      <c r="Z59" s="5">
        <f t="shared" si="35"/>
        <v>46.593289969188632</v>
      </c>
    </row>
    <row r="60" spans="1:26" s="24" customFormat="1" hidden="1" outlineLevel="2" x14ac:dyDescent="0.25">
      <c r="A60" s="29"/>
      <c r="B60" s="11" t="str">
        <f>CONCATENATE("          ", "6373", " - ", "MAINTENANCE CONTRACTS")</f>
        <v xml:space="preserve">          6373 - MAINTENANCE CONTRACTS</v>
      </c>
      <c r="C60" s="11"/>
      <c r="D60" s="7">
        <v>1388.55</v>
      </c>
      <c r="E60" s="2"/>
      <c r="F60" s="6">
        <f t="shared" si="28"/>
        <v>2.9751829184154296E-2</v>
      </c>
      <c r="G60" s="2"/>
      <c r="H60" s="7">
        <v>20.39</v>
      </c>
      <c r="I60" s="2"/>
      <c r="J60" s="6">
        <f t="shared" si="29"/>
        <v>1.1006818343394488E-4</v>
      </c>
      <c r="K60" s="2"/>
      <c r="L60" s="7">
        <f t="shared" si="30"/>
        <v>1368.1599999999999</v>
      </c>
      <c r="M60" s="2"/>
      <c r="N60" s="6">
        <f t="shared" si="31"/>
        <v>67.099558607160361</v>
      </c>
      <c r="O60" s="11"/>
      <c r="P60" s="7">
        <v>1390.2</v>
      </c>
      <c r="Q60" s="2"/>
      <c r="R60" s="6">
        <f t="shared" si="32"/>
        <v>2.9787182983552127E-2</v>
      </c>
      <c r="S60" s="2"/>
      <c r="T60" s="7">
        <v>29.21</v>
      </c>
      <c r="U60" s="2"/>
      <c r="V60" s="6">
        <f t="shared" si="33"/>
        <v>7.2751054087058842E-5</v>
      </c>
      <c r="W60" s="2"/>
      <c r="X60" s="7">
        <f t="shared" si="34"/>
        <v>1360.99</v>
      </c>
      <c r="Y60" s="2"/>
      <c r="Z60" s="6">
        <f t="shared" si="35"/>
        <v>46.593289969188632</v>
      </c>
    </row>
    <row r="61" spans="1:26" s="28" customFormat="1" outlineLevel="1" collapsed="1" x14ac:dyDescent="0.25">
      <c r="A61" s="27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1326.74</v>
      </c>
      <c r="E61" s="1"/>
      <c r="F61" s="5">
        <f t="shared" si="28"/>
        <v>2.8427454432166557E-2</v>
      </c>
      <c r="G61" s="1"/>
      <c r="H61" s="1">
        <f>SUM(OSRRefH22_12x_0)</f>
        <v>5624.88</v>
      </c>
      <c r="I61" s="1"/>
      <c r="J61" s="5">
        <f t="shared" si="29"/>
        <v>3.0363919746636971E-2</v>
      </c>
      <c r="K61" s="1"/>
      <c r="L61" s="1">
        <f t="shared" si="30"/>
        <v>-4298.1400000000003</v>
      </c>
      <c r="M61" s="1"/>
      <c r="N61" s="5">
        <f t="shared" si="31"/>
        <v>-0.76413007921946785</v>
      </c>
      <c r="O61" s="14"/>
      <c r="P61" s="1">
        <f>SUM(OSRRefP22_12x_0)</f>
        <v>1901.62</v>
      </c>
      <c r="Q61" s="1"/>
      <c r="R61" s="5">
        <f t="shared" si="32"/>
        <v>4.0745146673271754E-2</v>
      </c>
      <c r="S61" s="1"/>
      <c r="T61" s="1">
        <f>SUM(OSRRefT22_12x_0)</f>
        <v>11722.67</v>
      </c>
      <c r="U61" s="1"/>
      <c r="V61" s="5">
        <f t="shared" si="33"/>
        <v>2.919673396832393E-2</v>
      </c>
      <c r="W61" s="1"/>
      <c r="X61" s="1">
        <f t="shared" si="34"/>
        <v>-9821.0499999999993</v>
      </c>
      <c r="Y61" s="1"/>
      <c r="Z61" s="5">
        <f t="shared" si="35"/>
        <v>-0.83778268943849821</v>
      </c>
    </row>
    <row r="62" spans="1:26" s="24" customFormat="1" hidden="1" outlineLevel="2" x14ac:dyDescent="0.25">
      <c r="A62" s="29"/>
      <c r="B62" s="11" t="str">
        <f>CONCATENATE("          ", "6282", " - ", "JANITORIAL/EXTERMINATOR EXPENS")</f>
        <v xml:space="preserve">          6282 - JANITORIAL/EXTERMINATOR EXPENS</v>
      </c>
      <c r="C62" s="11"/>
      <c r="D62" s="7">
        <v>421.34</v>
      </c>
      <c r="E62" s="2"/>
      <c r="F62" s="6">
        <f t="shared" si="28"/>
        <v>9.0278605080490945E-3</v>
      </c>
      <c r="G62" s="2"/>
      <c r="H62" s="7">
        <v>421.34</v>
      </c>
      <c r="I62" s="2"/>
      <c r="J62" s="6">
        <f t="shared" si="29"/>
        <v>2.2744545565501879E-3</v>
      </c>
      <c r="K62" s="2"/>
      <c r="L62" s="7">
        <f t="shared" si="30"/>
        <v>0</v>
      </c>
      <c r="M62" s="2"/>
      <c r="N62" s="6">
        <f t="shared" si="31"/>
        <v>0</v>
      </c>
      <c r="O62" s="11"/>
      <c r="P62" s="7">
        <v>842.68</v>
      </c>
      <c r="Q62" s="2"/>
      <c r="R62" s="6">
        <f t="shared" si="32"/>
        <v>1.8055721016098189E-2</v>
      </c>
      <c r="S62" s="2"/>
      <c r="T62" s="7">
        <v>842.68</v>
      </c>
      <c r="U62" s="2"/>
      <c r="V62" s="6">
        <f t="shared" si="33"/>
        <v>2.098796927698827E-3</v>
      </c>
      <c r="W62" s="2"/>
      <c r="X62" s="7">
        <f t="shared" si="34"/>
        <v>0</v>
      </c>
      <c r="Y62" s="2"/>
      <c r="Z62" s="6">
        <f t="shared" si="35"/>
        <v>0</v>
      </c>
    </row>
    <row r="63" spans="1:26" s="24" customFormat="1" hidden="1" outlineLevel="2" x14ac:dyDescent="0.25">
      <c r="A63" s="29"/>
      <c r="B63" s="11" t="str">
        <f>CONCATENATE("          ", "6285", " - ", "JANITORIAL SERVICES")</f>
        <v xml:space="preserve">          6285 - JANITORIAL SERVICES</v>
      </c>
      <c r="C63" s="11"/>
      <c r="D63" s="7"/>
      <c r="E63" s="2"/>
      <c r="F63" s="6">
        <f t="shared" si="28"/>
        <v>0</v>
      </c>
      <c r="G63" s="2"/>
      <c r="H63" s="7">
        <v>3916.67</v>
      </c>
      <c r="I63" s="2"/>
      <c r="J63" s="6">
        <f t="shared" si="29"/>
        <v>2.1142753899471744E-2</v>
      </c>
      <c r="K63" s="2"/>
      <c r="L63" s="7">
        <f t="shared" si="30"/>
        <v>-3916.67</v>
      </c>
      <c r="M63" s="2"/>
      <c r="N63" s="6">
        <f t="shared" si="31"/>
        <v>-1</v>
      </c>
      <c r="O63" s="11"/>
      <c r="P63" s="7"/>
      <c r="Q63" s="2"/>
      <c r="R63" s="6">
        <f t="shared" si="32"/>
        <v>0</v>
      </c>
      <c r="S63" s="2"/>
      <c r="T63" s="7">
        <v>8020.84</v>
      </c>
      <c r="U63" s="2"/>
      <c r="V63" s="6">
        <f t="shared" si="33"/>
        <v>1.99768765718468E-2</v>
      </c>
      <c r="W63" s="2"/>
      <c r="X63" s="7">
        <f t="shared" si="34"/>
        <v>-8020.84</v>
      </c>
      <c r="Y63" s="2"/>
      <c r="Z63" s="6">
        <f t="shared" si="35"/>
        <v>-1</v>
      </c>
    </row>
    <row r="64" spans="1:26" s="24" customFormat="1" hidden="1" outlineLevel="2" x14ac:dyDescent="0.25">
      <c r="A64" s="29"/>
      <c r="B64" s="11" t="str">
        <f>CONCATENATE("          ", "6286", " - ", "LAUNDRY EXPENSE")</f>
        <v xml:space="preserve">          6286 - LAUNDRY EXPENSE</v>
      </c>
      <c r="C64" s="11"/>
      <c r="D64" s="7">
        <v>905.4</v>
      </c>
      <c r="E64" s="2"/>
      <c r="F64" s="6">
        <f t="shared" si="28"/>
        <v>1.9399593924117459E-2</v>
      </c>
      <c r="G64" s="2"/>
      <c r="H64" s="7">
        <v>1286.8699999999999</v>
      </c>
      <c r="I64" s="2"/>
      <c r="J64" s="6">
        <f t="shared" si="29"/>
        <v>6.9467112906150376E-3</v>
      </c>
      <c r="K64" s="2"/>
      <c r="L64" s="7">
        <f t="shared" si="30"/>
        <v>-381.46999999999991</v>
      </c>
      <c r="M64" s="2"/>
      <c r="N64" s="6">
        <f t="shared" si="31"/>
        <v>-0.29643242907208961</v>
      </c>
      <c r="O64" s="11"/>
      <c r="P64" s="7">
        <v>1058.94</v>
      </c>
      <c r="Q64" s="2"/>
      <c r="R64" s="6">
        <f t="shared" si="32"/>
        <v>2.2689425657173565E-2</v>
      </c>
      <c r="S64" s="2"/>
      <c r="T64" s="7">
        <v>2859.15</v>
      </c>
      <c r="U64" s="2"/>
      <c r="V64" s="6">
        <f t="shared" si="33"/>
        <v>7.1210604687783046E-3</v>
      </c>
      <c r="W64" s="2"/>
      <c r="X64" s="7">
        <f t="shared" si="34"/>
        <v>-1800.21</v>
      </c>
      <c r="Y64" s="2"/>
      <c r="Z64" s="6">
        <f t="shared" si="35"/>
        <v>-0.62963118409317453</v>
      </c>
    </row>
    <row r="65" spans="1:26" s="28" customFormat="1" outlineLevel="1" collapsed="1" x14ac:dyDescent="0.25">
      <c r="A65" s="27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14652.13</v>
      </c>
      <c r="E65" s="1"/>
      <c r="F65" s="5">
        <f t="shared" ref="F65:F73" si="36">IF(D$12=0,0,D65/D$12)</f>
        <v>0.31394452410357759</v>
      </c>
      <c r="G65" s="1"/>
      <c r="H65" s="1">
        <f>SUM(OSRRefH22_13x_0)</f>
        <v>8075.96</v>
      </c>
      <c r="I65" s="1"/>
      <c r="J65" s="5">
        <f t="shared" ref="J65:J73" si="37">IF(H$12=0,0,H65/H$12)</f>
        <v>4.3595205820755344E-2</v>
      </c>
      <c r="K65" s="1"/>
      <c r="L65" s="1">
        <f t="shared" ref="L65:L73" si="38">+D65-H65</f>
        <v>6576.1699999999992</v>
      </c>
      <c r="M65" s="1"/>
      <c r="N65" s="5">
        <f t="shared" ref="N65:N73" si="39">IF(H65=0,0,L65/H65)</f>
        <v>0.81428957052783812</v>
      </c>
      <c r="O65" s="14"/>
      <c r="P65" s="1">
        <f>SUM(OSRRefP22_13x_0)</f>
        <v>14652.13</v>
      </c>
      <c r="Q65" s="1"/>
      <c r="R65" s="5">
        <f t="shared" ref="R65:R73" si="40">IF(P$12=0,0,P65/P$12)</f>
        <v>0.31394452410357759</v>
      </c>
      <c r="S65" s="1"/>
      <c r="T65" s="1">
        <f>SUM(OSRRefT22_13x_0)</f>
        <v>15888.530000000002</v>
      </c>
      <c r="U65" s="1"/>
      <c r="V65" s="5">
        <f t="shared" ref="V65:V73" si="41">IF(T$12=0,0,T65/T$12)</f>
        <v>3.9572314460590792E-2</v>
      </c>
      <c r="W65" s="1"/>
      <c r="X65" s="1">
        <f t="shared" ref="X65:X73" si="42">+P65-T65</f>
        <v>-1236.4000000000033</v>
      </c>
      <c r="Y65" s="1"/>
      <c r="Z65" s="5">
        <f t="shared" ref="Z65:Z73" si="43">IF(T65=0,0,X65/T65)</f>
        <v>-7.781714230328439E-2</v>
      </c>
    </row>
    <row r="66" spans="1:26" s="24" customFormat="1" hidden="1" outlineLevel="2" x14ac:dyDescent="0.25">
      <c r="A66" s="29"/>
      <c r="B66" s="11" t="str">
        <f>CONCATENATE("          ", "6235", " - ", "COVID-19 EXPENSES")</f>
        <v xml:space="preserve">          6235 - COVID-19 EXPENSES</v>
      </c>
      <c r="C66" s="11"/>
      <c r="D66" s="7">
        <v>7625.15</v>
      </c>
      <c r="E66" s="2"/>
      <c r="F66" s="6">
        <f t="shared" si="36"/>
        <v>0.16338062028990971</v>
      </c>
      <c r="G66" s="2"/>
      <c r="H66" s="7"/>
      <c r="I66" s="2"/>
      <c r="J66" s="6">
        <f t="shared" si="37"/>
        <v>0</v>
      </c>
      <c r="K66" s="2"/>
      <c r="L66" s="7">
        <f t="shared" si="38"/>
        <v>7625.15</v>
      </c>
      <c r="M66" s="2"/>
      <c r="N66" s="6">
        <f t="shared" si="39"/>
        <v>0</v>
      </c>
      <c r="O66" s="11"/>
      <c r="P66" s="7">
        <v>7625.15</v>
      </c>
      <c r="Q66" s="2"/>
      <c r="R66" s="6">
        <f t="shared" si="40"/>
        <v>0.16338062028990971</v>
      </c>
      <c r="S66" s="2"/>
      <c r="T66" s="7"/>
      <c r="U66" s="2"/>
      <c r="V66" s="6">
        <f t="shared" si="41"/>
        <v>0</v>
      </c>
      <c r="W66" s="2"/>
      <c r="X66" s="7">
        <f t="shared" si="42"/>
        <v>7625.15</v>
      </c>
      <c r="Y66" s="2"/>
      <c r="Z66" s="6">
        <f t="shared" si="43"/>
        <v>0</v>
      </c>
    </row>
    <row r="67" spans="1:26" s="24" customFormat="1" hidden="1" outlineLevel="2" x14ac:dyDescent="0.25">
      <c r="A67" s="29"/>
      <c r="B67" s="11" t="str">
        <f>CONCATENATE("          ", "6237", " - ", "JANITORIAL SUPPLIES")</f>
        <v xml:space="preserve">          6237 - JANITORIAL SUPPLIES</v>
      </c>
      <c r="C67" s="11"/>
      <c r="D67" s="7">
        <v>1416.91</v>
      </c>
      <c r="E67" s="2"/>
      <c r="F67" s="6">
        <f t="shared" si="36"/>
        <v>3.0359486002895154E-2</v>
      </c>
      <c r="G67" s="2"/>
      <c r="H67" s="7">
        <v>3412.55</v>
      </c>
      <c r="I67" s="2"/>
      <c r="J67" s="6">
        <f t="shared" si="37"/>
        <v>1.8421440871873886E-2</v>
      </c>
      <c r="K67" s="2"/>
      <c r="L67" s="7">
        <f t="shared" si="38"/>
        <v>-1995.64</v>
      </c>
      <c r="M67" s="2"/>
      <c r="N67" s="6">
        <f t="shared" si="39"/>
        <v>-0.58479436198737011</v>
      </c>
      <c r="O67" s="11"/>
      <c r="P67" s="7">
        <v>1416.91</v>
      </c>
      <c r="Q67" s="2"/>
      <c r="R67" s="6">
        <f t="shared" si="40"/>
        <v>3.0359486002895154E-2</v>
      </c>
      <c r="S67" s="2"/>
      <c r="T67" s="7">
        <v>7364.03</v>
      </c>
      <c r="U67" s="2"/>
      <c r="V67" s="6">
        <f t="shared" si="41"/>
        <v>1.8341011462811498E-2</v>
      </c>
      <c r="W67" s="2"/>
      <c r="X67" s="7">
        <f t="shared" si="42"/>
        <v>-5947.12</v>
      </c>
      <c r="Y67" s="2"/>
      <c r="Z67" s="6">
        <f t="shared" si="43"/>
        <v>-0.80759040905591095</v>
      </c>
    </row>
    <row r="68" spans="1:26" s="24" customFormat="1" hidden="1" outlineLevel="2" x14ac:dyDescent="0.25">
      <c r="A68" s="29"/>
      <c r="B68" s="11" t="str">
        <f>CONCATENATE("          ", "6239", " - ", "KITCHEN SUPPLIES")</f>
        <v xml:space="preserve">          6239 - KITCHEN SUPPLIES</v>
      </c>
      <c r="C68" s="11"/>
      <c r="D68" s="7">
        <v>1343.24</v>
      </c>
      <c r="E68" s="2"/>
      <c r="F68" s="6">
        <f t="shared" si="36"/>
        <v>2.878099242614484E-2</v>
      </c>
      <c r="G68" s="2"/>
      <c r="H68" s="7">
        <v>1797.08</v>
      </c>
      <c r="I68" s="2"/>
      <c r="J68" s="6">
        <f t="shared" si="37"/>
        <v>9.700899023318962E-3</v>
      </c>
      <c r="K68" s="2"/>
      <c r="L68" s="7">
        <f t="shared" si="38"/>
        <v>-453.83999999999992</v>
      </c>
      <c r="M68" s="2"/>
      <c r="N68" s="6">
        <f t="shared" si="39"/>
        <v>-0.25254301422307296</v>
      </c>
      <c r="O68" s="11"/>
      <c r="P68" s="7">
        <v>1343.24</v>
      </c>
      <c r="Q68" s="2"/>
      <c r="R68" s="6">
        <f t="shared" si="40"/>
        <v>2.878099242614484E-2</v>
      </c>
      <c r="S68" s="2"/>
      <c r="T68" s="7">
        <v>1873.08</v>
      </c>
      <c r="U68" s="2"/>
      <c r="V68" s="6">
        <f t="shared" si="41"/>
        <v>4.6651333238407451E-3</v>
      </c>
      <c r="W68" s="2"/>
      <c r="X68" s="7">
        <f t="shared" si="42"/>
        <v>-529.83999999999992</v>
      </c>
      <c r="Y68" s="2"/>
      <c r="Z68" s="6">
        <f t="shared" si="43"/>
        <v>-0.28287099323040121</v>
      </c>
    </row>
    <row r="69" spans="1:26" s="24" customFormat="1" hidden="1" outlineLevel="2" x14ac:dyDescent="0.25">
      <c r="A69" s="29"/>
      <c r="B69" s="11" t="str">
        <f>CONCATENATE("          ", "6241", " - ", "OFFICE EXPENSE")</f>
        <v xml:space="preserve">          6241 - OFFICE EXPENSE</v>
      </c>
      <c r="C69" s="11"/>
      <c r="D69" s="7">
        <v>105.23</v>
      </c>
      <c r="E69" s="2"/>
      <c r="F69" s="6">
        <f t="shared" si="36"/>
        <v>2.2547153397778669E-3</v>
      </c>
      <c r="G69" s="2"/>
      <c r="H69" s="7">
        <v>298.66000000000003</v>
      </c>
      <c r="I69" s="2"/>
      <c r="J69" s="6">
        <f t="shared" si="37"/>
        <v>1.6122100865317301E-3</v>
      </c>
      <c r="K69" s="2"/>
      <c r="L69" s="7">
        <f t="shared" si="38"/>
        <v>-193.43</v>
      </c>
      <c r="M69" s="2"/>
      <c r="N69" s="6">
        <f t="shared" si="39"/>
        <v>-0.64765954597200825</v>
      </c>
      <c r="O69" s="11"/>
      <c r="P69" s="7">
        <v>105.23</v>
      </c>
      <c r="Q69" s="2"/>
      <c r="R69" s="6">
        <f t="shared" si="40"/>
        <v>2.2547153397778669E-3</v>
      </c>
      <c r="S69" s="2"/>
      <c r="T69" s="7">
        <v>832.59</v>
      </c>
      <c r="U69" s="2"/>
      <c r="V69" s="6">
        <f t="shared" si="41"/>
        <v>2.0736665567389358E-3</v>
      </c>
      <c r="W69" s="2"/>
      <c r="X69" s="7">
        <f t="shared" si="42"/>
        <v>-727.36</v>
      </c>
      <c r="Y69" s="2"/>
      <c r="Z69" s="6">
        <f t="shared" si="43"/>
        <v>-0.87361126124503052</v>
      </c>
    </row>
    <row r="70" spans="1:26" s="24" customFormat="1" hidden="1" outlineLevel="2" x14ac:dyDescent="0.25">
      <c r="A70" s="29"/>
      <c r="B70" s="11" t="str">
        <f>CONCATENATE("          ", "6243", " - ", "PAPER SUPPLIES")</f>
        <v xml:space="preserve">          6243 - PAPER SUPPLIES</v>
      </c>
      <c r="C70" s="11"/>
      <c r="D70" s="7">
        <v>650.62</v>
      </c>
      <c r="E70" s="2"/>
      <c r="F70" s="6">
        <f t="shared" si="36"/>
        <v>1.3940538766190969E-2</v>
      </c>
      <c r="G70" s="2"/>
      <c r="H70" s="7">
        <v>1972.8</v>
      </c>
      <c r="I70" s="2"/>
      <c r="J70" s="6">
        <f t="shared" si="37"/>
        <v>1.0649461122044455E-2</v>
      </c>
      <c r="K70" s="2"/>
      <c r="L70" s="7">
        <f t="shared" si="38"/>
        <v>-1322.1799999999998</v>
      </c>
      <c r="M70" s="2"/>
      <c r="N70" s="6">
        <f t="shared" si="39"/>
        <v>-0.67020478507704784</v>
      </c>
      <c r="O70" s="11"/>
      <c r="P70" s="7">
        <v>650.62</v>
      </c>
      <c r="Q70" s="2"/>
      <c r="R70" s="6">
        <f t="shared" si="40"/>
        <v>1.3940538766190969E-2</v>
      </c>
      <c r="S70" s="2"/>
      <c r="T70" s="7">
        <v>3956.11</v>
      </c>
      <c r="U70" s="2"/>
      <c r="V70" s="6">
        <f t="shared" si="41"/>
        <v>9.8531726321244208E-3</v>
      </c>
      <c r="W70" s="2"/>
      <c r="X70" s="7">
        <f t="shared" si="42"/>
        <v>-3305.4900000000002</v>
      </c>
      <c r="Y70" s="2"/>
      <c r="Z70" s="6">
        <f t="shared" si="43"/>
        <v>-0.83554046778274627</v>
      </c>
    </row>
    <row r="71" spans="1:26" s="24" customFormat="1" hidden="1" outlineLevel="2" x14ac:dyDescent="0.25">
      <c r="A71" s="29"/>
      <c r="B71" s="11" t="str">
        <f>CONCATENATE("          ", "6245", " - ", "PRINTING")</f>
        <v xml:space="preserve">          6245 - PRINTING</v>
      </c>
      <c r="C71" s="11"/>
      <c r="D71" s="7"/>
      <c r="E71" s="2"/>
      <c r="F71" s="6">
        <f t="shared" si="36"/>
        <v>0</v>
      </c>
      <c r="G71" s="2"/>
      <c r="H71" s="7">
        <v>441</v>
      </c>
      <c r="I71" s="2"/>
      <c r="J71" s="6">
        <f t="shared" si="37"/>
        <v>2.3805820938876746E-3</v>
      </c>
      <c r="K71" s="2"/>
      <c r="L71" s="7">
        <f t="shared" si="38"/>
        <v>-441</v>
      </c>
      <c r="M71" s="2"/>
      <c r="N71" s="6">
        <f t="shared" si="39"/>
        <v>-1</v>
      </c>
      <c r="O71" s="11"/>
      <c r="P71" s="7"/>
      <c r="Q71" s="2"/>
      <c r="R71" s="6">
        <f t="shared" si="40"/>
        <v>0</v>
      </c>
      <c r="S71" s="2"/>
      <c r="T71" s="7">
        <v>441</v>
      </c>
      <c r="U71" s="2"/>
      <c r="V71" s="6">
        <f t="shared" si="41"/>
        <v>1.0983640825879132E-3</v>
      </c>
      <c r="W71" s="2"/>
      <c r="X71" s="7">
        <f t="shared" si="42"/>
        <v>-441</v>
      </c>
      <c r="Y71" s="2"/>
      <c r="Z71" s="6">
        <f t="shared" si="43"/>
        <v>-1</v>
      </c>
    </row>
    <row r="72" spans="1:26" s="24" customFormat="1" hidden="1" outlineLevel="2" x14ac:dyDescent="0.25">
      <c r="A72" s="29"/>
      <c r="B72" s="11" t="str">
        <f>CONCATENATE("          ", "6247", " - ", "STORE SUPPLIES")</f>
        <v xml:space="preserve">          6247 - STORE SUPPLIES</v>
      </c>
      <c r="C72" s="11"/>
      <c r="D72" s="7"/>
      <c r="E72" s="2"/>
      <c r="F72" s="6">
        <f t="shared" si="36"/>
        <v>0</v>
      </c>
      <c r="G72" s="2"/>
      <c r="H72" s="7">
        <v>153.87</v>
      </c>
      <c r="I72" s="2"/>
      <c r="J72" s="6">
        <f t="shared" si="37"/>
        <v>8.306126230986315E-4</v>
      </c>
      <c r="K72" s="2"/>
      <c r="L72" s="7">
        <f t="shared" si="38"/>
        <v>-153.87</v>
      </c>
      <c r="M72" s="2"/>
      <c r="N72" s="6">
        <f t="shared" si="39"/>
        <v>-1</v>
      </c>
      <c r="O72" s="11"/>
      <c r="P72" s="7"/>
      <c r="Q72" s="2"/>
      <c r="R72" s="6">
        <f t="shared" si="40"/>
        <v>0</v>
      </c>
      <c r="S72" s="2"/>
      <c r="T72" s="7">
        <v>153.87</v>
      </c>
      <c r="U72" s="2"/>
      <c r="V72" s="6">
        <f t="shared" si="41"/>
        <v>3.8323193058458551E-4</v>
      </c>
      <c r="W72" s="2"/>
      <c r="X72" s="7">
        <f t="shared" si="42"/>
        <v>-153.87</v>
      </c>
      <c r="Y72" s="2"/>
      <c r="Z72" s="6">
        <f t="shared" si="43"/>
        <v>-1</v>
      </c>
    </row>
    <row r="73" spans="1:26" s="24" customFormat="1" hidden="1" outlineLevel="2" x14ac:dyDescent="0.25">
      <c r="A73" s="29"/>
      <c r="B73" s="11" t="str">
        <f>CONCATENATE("          ", "6248", " - ", "UNIFORMS")</f>
        <v xml:space="preserve">          6248 - UNIFORMS</v>
      </c>
      <c r="C73" s="11"/>
      <c r="D73" s="7">
        <v>3510.98</v>
      </c>
      <c r="E73" s="2"/>
      <c r="F73" s="6">
        <f t="shared" si="36"/>
        <v>7.5228171278659078E-2</v>
      </c>
      <c r="G73" s="2"/>
      <c r="H73" s="7"/>
      <c r="I73" s="2"/>
      <c r="J73" s="6">
        <f t="shared" si="37"/>
        <v>0</v>
      </c>
      <c r="K73" s="2"/>
      <c r="L73" s="7">
        <f t="shared" si="38"/>
        <v>3510.98</v>
      </c>
      <c r="M73" s="2"/>
      <c r="N73" s="6">
        <f t="shared" si="39"/>
        <v>0</v>
      </c>
      <c r="O73" s="11"/>
      <c r="P73" s="7">
        <v>3510.98</v>
      </c>
      <c r="Q73" s="2"/>
      <c r="R73" s="6">
        <f t="shared" si="40"/>
        <v>7.5228171278659078E-2</v>
      </c>
      <c r="S73" s="2"/>
      <c r="T73" s="7">
        <v>1267.8499999999999</v>
      </c>
      <c r="U73" s="2"/>
      <c r="V73" s="6">
        <f t="shared" si="41"/>
        <v>3.1577344719026885E-3</v>
      </c>
      <c r="W73" s="2"/>
      <c r="X73" s="7">
        <f t="shared" si="42"/>
        <v>2243.13</v>
      </c>
      <c r="Y73" s="2"/>
      <c r="Z73" s="6">
        <f t="shared" si="43"/>
        <v>1.7692392633197935</v>
      </c>
    </row>
    <row r="74" spans="1:26" s="28" customFormat="1" outlineLevel="1" collapsed="1" x14ac:dyDescent="0.25">
      <c r="A74" s="27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SUM(OSRRefD22_14x_0)</f>
        <v>259</v>
      </c>
      <c r="E74" s="1"/>
      <c r="F74" s="5">
        <f t="shared" ref="F74:F79" si="44">IF(D$12=0,0,D74/D$12)</f>
        <v>5.5494751782045751E-3</v>
      </c>
      <c r="G74" s="1"/>
      <c r="H74" s="1">
        <f>SUM(OSRRefH22_14x_0)</f>
        <v>310.60000000000002</v>
      </c>
      <c r="I74" s="1"/>
      <c r="J74" s="5">
        <f t="shared" ref="J74:J79" si="45">IF(H$12=0,0,H74/H$12)</f>
        <v>1.6766639418628385E-3</v>
      </c>
      <c r="K74" s="1"/>
      <c r="L74" s="1">
        <f t="shared" ref="L74:L79" si="46">+D74-H74</f>
        <v>-51.600000000000023</v>
      </c>
      <c r="M74" s="1"/>
      <c r="N74" s="5">
        <f t="shared" ref="N74:N79" si="47">IF(H74=0,0,L74/H74)</f>
        <v>-0.16613007083065043</v>
      </c>
      <c r="O74" s="14"/>
      <c r="P74" s="1">
        <f>SUM(OSRRefP22_14x_0)</f>
        <v>518</v>
      </c>
      <c r="Q74" s="1"/>
      <c r="R74" s="5">
        <f t="shared" ref="R74:R79" si="48">IF(P$12=0,0,P74/P$12)</f>
        <v>1.109895035640915E-2</v>
      </c>
      <c r="S74" s="1"/>
      <c r="T74" s="1">
        <f>SUM(OSRRefT22_14x_0)</f>
        <v>605.45000000000005</v>
      </c>
      <c r="U74" s="1"/>
      <c r="V74" s="5">
        <f t="shared" ref="V74:V79" si="49">IF(T$12=0,0,T74/T$12)</f>
        <v>1.507946788668599E-3</v>
      </c>
      <c r="W74" s="1"/>
      <c r="X74" s="1">
        <f t="shared" ref="X74:X79" si="50">+P74-T74</f>
        <v>-87.450000000000045</v>
      </c>
      <c r="Y74" s="1"/>
      <c r="Z74" s="5">
        <f t="shared" ref="Z74:Z79" si="51">IF(T74=0,0,X74/T74)</f>
        <v>-0.14443802130646632</v>
      </c>
    </row>
    <row r="75" spans="1:26" s="24" customFormat="1" hidden="1" outlineLevel="2" x14ac:dyDescent="0.25">
      <c r="A75" s="29"/>
      <c r="B75" s="11" t="str">
        <f>CONCATENATE("          ", "6309", " - ", "TELEPHONE")</f>
        <v xml:space="preserve">          6309 - TELEPHONE</v>
      </c>
      <c r="C75" s="11"/>
      <c r="D75" s="7">
        <v>259</v>
      </c>
      <c r="E75" s="2"/>
      <c r="F75" s="6">
        <f t="shared" si="44"/>
        <v>5.5494751782045751E-3</v>
      </c>
      <c r="G75" s="2"/>
      <c r="H75" s="7">
        <v>310.60000000000002</v>
      </c>
      <c r="I75" s="2"/>
      <c r="J75" s="6">
        <f t="shared" si="45"/>
        <v>1.6766639418628385E-3</v>
      </c>
      <c r="K75" s="2"/>
      <c r="L75" s="7">
        <f t="shared" si="46"/>
        <v>-51.600000000000023</v>
      </c>
      <c r="M75" s="2"/>
      <c r="N75" s="6">
        <f t="shared" si="47"/>
        <v>-0.16613007083065043</v>
      </c>
      <c r="O75" s="11"/>
      <c r="P75" s="7">
        <v>518</v>
      </c>
      <c r="Q75" s="2"/>
      <c r="R75" s="6">
        <f t="shared" si="48"/>
        <v>1.109895035640915E-2</v>
      </c>
      <c r="S75" s="2"/>
      <c r="T75" s="7">
        <v>605.45000000000005</v>
      </c>
      <c r="U75" s="2"/>
      <c r="V75" s="6">
        <f t="shared" si="49"/>
        <v>1.507946788668599E-3</v>
      </c>
      <c r="W75" s="2"/>
      <c r="X75" s="7">
        <f t="shared" si="50"/>
        <v>-87.450000000000045</v>
      </c>
      <c r="Y75" s="2"/>
      <c r="Z75" s="6">
        <f t="shared" si="51"/>
        <v>-0.14443802130646632</v>
      </c>
    </row>
    <row r="76" spans="1:26" s="28" customFormat="1" outlineLevel="1" collapsed="1" x14ac:dyDescent="0.25">
      <c r="A76" s="27"/>
      <c r="B76" s="14" t="str">
        <f>CONCATENATE("     ","Training                                          ")</f>
        <v xml:space="preserve">     Training                                          </v>
      </c>
      <c r="C76" s="14"/>
      <c r="D76" s="1">
        <f>SUM(OSRRefD22_15x_0)</f>
        <v>350</v>
      </c>
      <c r="E76" s="1"/>
      <c r="F76" s="5">
        <f t="shared" si="44"/>
        <v>7.4992907813575338E-3</v>
      </c>
      <c r="G76" s="1"/>
      <c r="H76" s="1">
        <f>SUM(OSRRefH22_15x_0)</f>
        <v>0</v>
      </c>
      <c r="I76" s="1"/>
      <c r="J76" s="5">
        <f t="shared" si="45"/>
        <v>0</v>
      </c>
      <c r="K76" s="1"/>
      <c r="L76" s="1">
        <f t="shared" si="46"/>
        <v>350</v>
      </c>
      <c r="M76" s="1"/>
      <c r="N76" s="5">
        <f t="shared" si="47"/>
        <v>0</v>
      </c>
      <c r="O76" s="14"/>
      <c r="P76" s="1">
        <f>SUM(OSRRefP22_15x_0)</f>
        <v>350</v>
      </c>
      <c r="Q76" s="1"/>
      <c r="R76" s="5">
        <f t="shared" si="48"/>
        <v>7.4992907813575338E-3</v>
      </c>
      <c r="S76" s="1"/>
      <c r="T76" s="1">
        <f>SUM(OSRRefT22_15x_0)</f>
        <v>494</v>
      </c>
      <c r="U76" s="1"/>
      <c r="V76" s="5">
        <f t="shared" si="49"/>
        <v>1.2303670222186603E-3</v>
      </c>
      <c r="W76" s="1"/>
      <c r="X76" s="1">
        <f t="shared" si="50"/>
        <v>-144</v>
      </c>
      <c r="Y76" s="1"/>
      <c r="Z76" s="5">
        <f t="shared" si="51"/>
        <v>-0.291497975708502</v>
      </c>
    </row>
    <row r="77" spans="1:26" s="24" customFormat="1" hidden="1" outlineLevel="2" x14ac:dyDescent="0.25">
      <c r="A77" s="29"/>
      <c r="B77" s="11" t="str">
        <f>CONCATENATE("          ", "6376", " - ", "TRAINING")</f>
        <v xml:space="preserve">          6376 - TRAINING</v>
      </c>
      <c r="C77" s="11"/>
      <c r="D77" s="7">
        <v>350</v>
      </c>
      <c r="E77" s="2"/>
      <c r="F77" s="6">
        <f t="shared" si="44"/>
        <v>7.4992907813575338E-3</v>
      </c>
      <c r="G77" s="2"/>
      <c r="H77" s="7"/>
      <c r="I77" s="2"/>
      <c r="J77" s="6">
        <f t="shared" si="45"/>
        <v>0</v>
      </c>
      <c r="K77" s="2"/>
      <c r="L77" s="7">
        <f t="shared" si="46"/>
        <v>350</v>
      </c>
      <c r="M77" s="2"/>
      <c r="N77" s="6">
        <f t="shared" si="47"/>
        <v>0</v>
      </c>
      <c r="O77" s="11"/>
      <c r="P77" s="7">
        <v>350</v>
      </c>
      <c r="Q77" s="2"/>
      <c r="R77" s="6">
        <f t="shared" si="48"/>
        <v>7.4992907813575338E-3</v>
      </c>
      <c r="S77" s="2"/>
      <c r="T77" s="7">
        <v>494</v>
      </c>
      <c r="U77" s="2"/>
      <c r="V77" s="6">
        <f t="shared" si="49"/>
        <v>1.2303670222186603E-3</v>
      </c>
      <c r="W77" s="2"/>
      <c r="X77" s="7">
        <f t="shared" si="50"/>
        <v>-144</v>
      </c>
      <c r="Y77" s="2"/>
      <c r="Z77" s="6">
        <f t="shared" si="51"/>
        <v>-0.291497975708502</v>
      </c>
    </row>
    <row r="78" spans="1:26" s="28" customFormat="1" outlineLevel="1" collapsed="1" x14ac:dyDescent="0.25">
      <c r="A78" s="27"/>
      <c r="B78" s="14" t="str">
        <f>CONCATENATE("     ","Travel                                            ")</f>
        <v xml:space="preserve">     Travel                                            </v>
      </c>
      <c r="C78" s="14"/>
      <c r="D78" s="1">
        <f>SUM(OSRRefD22_16x_0)</f>
        <v>0</v>
      </c>
      <c r="E78" s="1"/>
      <c r="F78" s="5">
        <f t="shared" si="44"/>
        <v>0</v>
      </c>
      <c r="G78" s="1"/>
      <c r="H78" s="1">
        <f>SUM(OSRRefH22_16x_0)</f>
        <v>0</v>
      </c>
      <c r="I78" s="1"/>
      <c r="J78" s="5">
        <f t="shared" si="45"/>
        <v>0</v>
      </c>
      <c r="K78" s="1"/>
      <c r="L78" s="1">
        <f t="shared" si="46"/>
        <v>0</v>
      </c>
      <c r="M78" s="1"/>
      <c r="N78" s="5">
        <f t="shared" si="47"/>
        <v>0</v>
      </c>
      <c r="O78" s="14"/>
      <c r="P78" s="1">
        <f>SUM(OSRRefP22_16x_0)</f>
        <v>0</v>
      </c>
      <c r="Q78" s="1"/>
      <c r="R78" s="5">
        <f t="shared" si="48"/>
        <v>0</v>
      </c>
      <c r="S78" s="1"/>
      <c r="T78" s="1">
        <f>SUM(OSRRefT22_16x_0)</f>
        <v>59.14</v>
      </c>
      <c r="U78" s="1"/>
      <c r="V78" s="5">
        <f t="shared" si="49"/>
        <v>1.4729535565589385E-4</v>
      </c>
      <c r="W78" s="1"/>
      <c r="X78" s="1">
        <f t="shared" si="50"/>
        <v>-59.14</v>
      </c>
      <c r="Y78" s="1"/>
      <c r="Z78" s="5">
        <f t="shared" si="51"/>
        <v>-1</v>
      </c>
    </row>
    <row r="79" spans="1:26" s="24" customFormat="1" hidden="1" outlineLevel="2" x14ac:dyDescent="0.25">
      <c r="A79" s="29"/>
      <c r="B79" s="11" t="str">
        <f>CONCATENATE("          ", "6292", " - ", "TRAVEL/CONFERENCE")</f>
        <v xml:space="preserve">          6292 - TRAVEL/CONFERENCE</v>
      </c>
      <c r="C79" s="11"/>
      <c r="D79" s="7"/>
      <c r="E79" s="2"/>
      <c r="F79" s="6">
        <f t="shared" si="44"/>
        <v>0</v>
      </c>
      <c r="G79" s="2"/>
      <c r="H79" s="7"/>
      <c r="I79" s="2"/>
      <c r="J79" s="6">
        <f t="shared" si="45"/>
        <v>0</v>
      </c>
      <c r="K79" s="2"/>
      <c r="L79" s="7">
        <f t="shared" si="46"/>
        <v>0</v>
      </c>
      <c r="M79" s="2"/>
      <c r="N79" s="6">
        <f t="shared" si="47"/>
        <v>0</v>
      </c>
      <c r="O79" s="11"/>
      <c r="P79" s="7"/>
      <c r="Q79" s="2"/>
      <c r="R79" s="6">
        <f t="shared" si="48"/>
        <v>0</v>
      </c>
      <c r="S79" s="2"/>
      <c r="T79" s="7">
        <v>59.14</v>
      </c>
      <c r="U79" s="2"/>
      <c r="V79" s="6">
        <f t="shared" si="49"/>
        <v>1.4729535565589385E-4</v>
      </c>
      <c r="W79" s="2"/>
      <c r="X79" s="7">
        <f t="shared" si="50"/>
        <v>-59.14</v>
      </c>
      <c r="Y79" s="2"/>
      <c r="Z79" s="6">
        <f t="shared" si="51"/>
        <v>-1</v>
      </c>
    </row>
    <row r="80" spans="1:26" s="52" customFormat="1" x14ac:dyDescent="0.25">
      <c r="A80" s="37"/>
      <c r="B80" s="37"/>
      <c r="C80" s="37"/>
      <c r="D80" s="1"/>
      <c r="E80" s="1"/>
      <c r="F80" s="5"/>
      <c r="G80" s="1"/>
      <c r="H80" s="1"/>
      <c r="I80" s="1"/>
      <c r="J80" s="5"/>
      <c r="K80" s="1"/>
      <c r="L80" s="1"/>
      <c r="M80" s="1"/>
      <c r="N80" s="5"/>
      <c r="O80" s="37"/>
      <c r="P80" s="1"/>
      <c r="Q80" s="1"/>
      <c r="R80" s="5"/>
      <c r="S80" s="1"/>
      <c r="T80" s="1"/>
      <c r="U80" s="1"/>
      <c r="V80" s="5"/>
      <c r="W80" s="1"/>
      <c r="X80" s="1"/>
      <c r="Y80" s="1"/>
      <c r="Z80" s="5"/>
    </row>
    <row r="81" spans="1:26" s="23" customFormat="1" x14ac:dyDescent="0.25">
      <c r="A81" s="10"/>
      <c r="B81" s="25" t="s">
        <v>0</v>
      </c>
      <c r="C81" s="10"/>
      <c r="D81" s="4">
        <f>SUM(0)</f>
        <v>0</v>
      </c>
      <c r="E81" s="4"/>
      <c r="F81" s="12">
        <f>IF(D$12=0,0,D81/D$12)</f>
        <v>0</v>
      </c>
      <c r="G81" s="4"/>
      <c r="H81" s="4">
        <f>SUM(0)</f>
        <v>0</v>
      </c>
      <c r="I81" s="4"/>
      <c r="J81" s="12">
        <f>IF(H$12=0,0,H81/H$12)</f>
        <v>0</v>
      </c>
      <c r="K81" s="4"/>
      <c r="L81" s="4">
        <f>+D81-H81</f>
        <v>0</v>
      </c>
      <c r="M81" s="4"/>
      <c r="N81" s="12">
        <f>IF(H81=0,0,L81/H81)</f>
        <v>0</v>
      </c>
      <c r="O81" s="10"/>
      <c r="P81" s="4">
        <f>SUM(0)</f>
        <v>0</v>
      </c>
      <c r="Q81" s="4"/>
      <c r="R81" s="12">
        <f>IF(P$12=0,0,P81/P$12)</f>
        <v>0</v>
      </c>
      <c r="S81" s="4"/>
      <c r="T81" s="4">
        <f>SUM(0)</f>
        <v>0</v>
      </c>
      <c r="U81" s="4"/>
      <c r="V81" s="12">
        <f>IF(T$12=0,0,T81/T$12)</f>
        <v>0</v>
      </c>
      <c r="W81" s="4"/>
      <c r="X81" s="4">
        <f>+P81-T81</f>
        <v>0</v>
      </c>
      <c r="Y81" s="4"/>
      <c r="Z81" s="12">
        <f>IF(T81=0,0,X81/T81)</f>
        <v>0</v>
      </c>
    </row>
    <row r="82" spans="1:26" x14ac:dyDescent="0.25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25">
      <c r="A83" s="10"/>
      <c r="B83" s="26" t="s">
        <v>3</v>
      </c>
      <c r="C83" s="26"/>
      <c r="D83" s="22">
        <f>+D21-D23+D81</f>
        <v>-80866.709999999977</v>
      </c>
      <c r="E83" s="13"/>
      <c r="F83" s="21">
        <f>IF(D$12=0,0,D83/D$12)</f>
        <v>-1.7326942080620371</v>
      </c>
      <c r="G83" s="13"/>
      <c r="H83" s="22">
        <f>+H21-H23+H81</f>
        <v>-7926.9599999999627</v>
      </c>
      <c r="I83" s="13"/>
      <c r="J83" s="21">
        <f>IF(H$12=0,0,H83/H$12)</f>
        <v>-4.279088216545069E-2</v>
      </c>
      <c r="K83" s="16"/>
      <c r="L83" s="22">
        <f>+D83-H83</f>
        <v>-72939.750000000015</v>
      </c>
      <c r="M83" s="16"/>
      <c r="N83" s="21">
        <f>IF(H83=0,0,L83/H83)</f>
        <v>9.2014782463895823</v>
      </c>
      <c r="O83" s="25"/>
      <c r="P83" s="22">
        <f>+P21-P23+P81</f>
        <v>-145419.55000000002</v>
      </c>
      <c r="Q83" s="13"/>
      <c r="R83" s="21">
        <f>IF(P$12=0,0,P83/P$12)</f>
        <v>-3.1158385449833177</v>
      </c>
      <c r="S83" s="13"/>
      <c r="T83" s="22">
        <f>+T21-T23+T81</f>
        <v>-21895.360000000102</v>
      </c>
      <c r="U83" s="13"/>
      <c r="V83" s="21">
        <f>IF(T$12=0,0,T83/T$12)</f>
        <v>-5.4533054420254433E-2</v>
      </c>
      <c r="W83" s="16"/>
      <c r="X83" s="22">
        <f>+P83-T83</f>
        <v>-123524.18999999992</v>
      </c>
      <c r="Y83" s="16"/>
      <c r="Z83" s="21">
        <f>IF(T83=0,0,X83/T83)</f>
        <v>5.6415692639901485</v>
      </c>
    </row>
    <row r="84" spans="1:26" x14ac:dyDescent="0.25">
      <c r="A84" s="9"/>
      <c r="B84" s="10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x14ac:dyDescent="0.25">
      <c r="A85" s="51"/>
      <c r="B85" s="10" t="s">
        <v>13</v>
      </c>
      <c r="C85" s="10"/>
      <c r="D85" s="4">
        <v>7879.78</v>
      </c>
      <c r="E85" s="4"/>
      <c r="F85" s="12">
        <f>IF(D$12=0,0,D85/D$12)</f>
        <v>0.16883646146607276</v>
      </c>
      <c r="G85" s="4"/>
      <c r="H85" s="4">
        <v>5094.21</v>
      </c>
      <c r="I85" s="4"/>
      <c r="J85" s="12">
        <f>IF(H$12=0,0,H85/H$12)</f>
        <v>2.7499285960325467E-2</v>
      </c>
      <c r="K85" s="4"/>
      <c r="L85" s="4">
        <f>+D85-H85</f>
        <v>2785.5699999999997</v>
      </c>
      <c r="M85" s="4"/>
      <c r="N85" s="12">
        <f>IF(H85=0,0,L85/H85)</f>
        <v>0.54681098737586387</v>
      </c>
      <c r="O85" s="10"/>
      <c r="P85" s="4">
        <v>7879.78</v>
      </c>
      <c r="Q85" s="4"/>
      <c r="R85" s="12">
        <f>IF(P$12=0,0,P85/P$12)</f>
        <v>0.16883646146607276</v>
      </c>
      <c r="S85" s="4"/>
      <c r="T85" s="4">
        <v>50060.5</v>
      </c>
      <c r="U85" s="4"/>
      <c r="V85" s="12">
        <f>IF(T$12=0,0,T85/T$12)</f>
        <v>0.12468175772424542</v>
      </c>
      <c r="W85" s="4"/>
      <c r="X85" s="4">
        <f>+P85-T85</f>
        <v>-42180.72</v>
      </c>
      <c r="Y85" s="4"/>
      <c r="Z85" s="12">
        <f>IF(T85=0,0,X85/T85)</f>
        <v>-0.84259486021913488</v>
      </c>
    </row>
    <row r="86" spans="1:26" x14ac:dyDescent="0.25">
      <c r="A86" s="9"/>
      <c r="B86" s="10"/>
      <c r="C86" s="10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O86" s="10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.75" thickBot="1" x14ac:dyDescent="0.3">
      <c r="A87" s="10"/>
      <c r="B87" s="26" t="s">
        <v>4</v>
      </c>
      <c r="C87" s="26"/>
      <c r="D87" s="36">
        <f>+D83-D85</f>
        <v>-88746.489999999976</v>
      </c>
      <c r="E87" s="13"/>
      <c r="F87" s="34">
        <f>IF(D$12=0,0,D87/D$12)</f>
        <v>-1.9015306695281098</v>
      </c>
      <c r="G87" s="13"/>
      <c r="H87" s="36">
        <f>+H83-H85</f>
        <v>-13021.169999999962</v>
      </c>
      <c r="I87" s="13"/>
      <c r="J87" s="34">
        <f>IF(H$12=0,0,H87/H$12)</f>
        <v>-7.0290168125776153E-2</v>
      </c>
      <c r="K87" s="16"/>
      <c r="L87" s="36">
        <f>D87-H87</f>
        <v>-75725.320000000007</v>
      </c>
      <c r="M87" s="16"/>
      <c r="N87" s="34">
        <f>IF(H87=0,0,L87/H87)</f>
        <v>5.8155542090303891</v>
      </c>
      <c r="O87" s="25"/>
      <c r="P87" s="36">
        <f>+P83-P85</f>
        <v>-153299.33000000002</v>
      </c>
      <c r="Q87" s="13"/>
      <c r="R87" s="34">
        <f>IF(P$12=0,0,P87/P$12)</f>
        <v>-3.2846750064493904</v>
      </c>
      <c r="S87" s="13"/>
      <c r="T87" s="36">
        <f>+T83-T85</f>
        <v>-71955.860000000102</v>
      </c>
      <c r="U87" s="13"/>
      <c r="V87" s="34">
        <f>IF(T$12=0,0,T87/T$12)</f>
        <v>-0.17921481214449986</v>
      </c>
      <c r="W87" s="16"/>
      <c r="X87" s="36">
        <f>P87-T87</f>
        <v>-81343.469999999914</v>
      </c>
      <c r="Y87" s="16"/>
      <c r="Z87" s="34">
        <f>IF(T87=0,0,X87/T87)</f>
        <v>1.1304634535672258</v>
      </c>
    </row>
    <row r="88" spans="1:26" ht="15.75" thickTop="1" x14ac:dyDescent="0.25">
      <c r="A88" s="9"/>
      <c r="B88" s="9"/>
      <c r="C88" s="9"/>
      <c r="D88" s="3"/>
      <c r="E88" s="3"/>
      <c r="F88" s="8"/>
      <c r="G88" s="3"/>
      <c r="H88" s="3"/>
      <c r="I88" s="3"/>
      <c r="J88" s="8"/>
      <c r="K88" s="3"/>
      <c r="L88" s="3"/>
      <c r="M88" s="3"/>
      <c r="N88" s="8"/>
      <c r="P88" s="3"/>
      <c r="Q88" s="3"/>
      <c r="R88" s="8"/>
      <c r="S88" s="3"/>
      <c r="T88" s="3"/>
      <c r="U88" s="3"/>
      <c r="V88" s="8"/>
      <c r="W88" s="3"/>
      <c r="X88" s="3"/>
      <c r="Y88" s="3"/>
      <c r="Z88" s="8"/>
    </row>
    <row r="89" spans="1:26" x14ac:dyDescent="0.25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.75" thickBot="1" x14ac:dyDescent="0.3">
      <c r="A90" s="10"/>
      <c r="B90" s="26" t="s">
        <v>5</v>
      </c>
      <c r="C90" s="26"/>
      <c r="D90" s="30">
        <f>SUM(D87:D89)</f>
        <v>-88746.489999999976</v>
      </c>
      <c r="E90" s="13"/>
      <c r="F90" s="31">
        <f>IF(D$12=0,0,D90/D$12)</f>
        <v>-1.9015306695281098</v>
      </c>
      <c r="G90" s="13"/>
      <c r="H90" s="30">
        <f>SUM(H87:H89)</f>
        <v>-13021.169999999962</v>
      </c>
      <c r="I90" s="13"/>
      <c r="J90" s="31">
        <f>IF(H$12=0,0,H90/H$12)</f>
        <v>-7.0290168125776153E-2</v>
      </c>
      <c r="K90" s="16"/>
      <c r="L90" s="30">
        <f>+D90-H90</f>
        <v>-75725.320000000007</v>
      </c>
      <c r="M90" s="16"/>
      <c r="N90" s="31">
        <f>IF(H90=0,0,L90/H90)</f>
        <v>5.8155542090303891</v>
      </c>
      <c r="O90" s="25"/>
      <c r="P90" s="30">
        <f>SUM(P87:P89)</f>
        <v>-153299.33000000002</v>
      </c>
      <c r="Q90" s="13"/>
      <c r="R90" s="31">
        <f>IF(P$12=0,0,P90/P$12)</f>
        <v>-3.2846750064493904</v>
      </c>
      <c r="S90" s="13"/>
      <c r="T90" s="30">
        <f>SUM(T87:T89)</f>
        <v>-71955.860000000102</v>
      </c>
      <c r="U90" s="13"/>
      <c r="V90" s="31">
        <f>IF(T$12=0,0,T90/T$12)</f>
        <v>-0.17921481214449986</v>
      </c>
      <c r="W90" s="16"/>
      <c r="X90" s="30">
        <f>+P90-T90</f>
        <v>-81343.469999999914</v>
      </c>
      <c r="Y90" s="16"/>
      <c r="Z90" s="31">
        <f>IF(T90=0,0,X90/T90)</f>
        <v>1.1304634535672258</v>
      </c>
    </row>
    <row r="91" spans="1:26" ht="15.75" thickTop="1" x14ac:dyDescent="0.25">
      <c r="A91" s="9"/>
      <c r="C91" s="9"/>
      <c r="D91" s="18"/>
      <c r="E91" s="18"/>
      <c r="G91" s="18"/>
      <c r="H91" s="18"/>
      <c r="I91" s="18"/>
      <c r="J91" s="43"/>
      <c r="K91" s="18"/>
      <c r="L91" s="18"/>
      <c r="M91" s="18"/>
      <c r="P91" s="18"/>
      <c r="Q91" s="18"/>
      <c r="R91" s="43"/>
      <c r="S91" s="18"/>
      <c r="T91" s="18"/>
      <c r="U91" s="18"/>
      <c r="V91" s="43"/>
      <c r="W91" s="18"/>
      <c r="X91" s="18"/>
    </row>
    <row r="92" spans="1:26" x14ac:dyDescent="0.25">
      <c r="A92" s="9"/>
      <c r="B92" s="61">
        <v>44113.696828784719</v>
      </c>
      <c r="D92" s="18"/>
      <c r="E92" s="18"/>
      <c r="G92" s="18"/>
      <c r="H92" s="18"/>
      <c r="I92" s="18"/>
      <c r="J92" s="43"/>
      <c r="K92" s="18"/>
      <c r="L92" s="18"/>
      <c r="M92" s="18"/>
      <c r="P92" s="18"/>
      <c r="Q92" s="18"/>
      <c r="R92" s="43"/>
      <c r="S92" s="18"/>
      <c r="T92" s="18"/>
      <c r="U92" s="18"/>
      <c r="V92" s="43"/>
      <c r="W92" s="18"/>
      <c r="X92" s="18"/>
    </row>
    <row r="93" spans="1:26" x14ac:dyDescent="0.25">
      <c r="A93" s="9"/>
      <c r="B93" s="56" t="s">
        <v>313</v>
      </c>
      <c r="D93" s="18"/>
      <c r="E93" s="18"/>
      <c r="G93" s="18"/>
      <c r="H93" s="18"/>
      <c r="I93" s="18"/>
      <c r="J93" s="43"/>
      <c r="K93" s="18"/>
      <c r="L93" s="18"/>
      <c r="M93" s="18"/>
      <c r="P93" s="18"/>
      <c r="Q93" s="18"/>
      <c r="R93" s="43"/>
      <c r="S93" s="18"/>
      <c r="T93" s="18"/>
      <c r="U93" s="18"/>
      <c r="V93" s="43"/>
      <c r="W93" s="18"/>
      <c r="X93" s="18"/>
    </row>
    <row r="94" spans="1:26" x14ac:dyDescent="0.25">
      <c r="A94" s="9"/>
      <c r="B94" s="58"/>
      <c r="D94" s="18"/>
      <c r="E94" s="18"/>
      <c r="G94" s="18"/>
      <c r="H94" s="18"/>
      <c r="I94" s="18"/>
      <c r="J94" s="43"/>
      <c r="K94" s="18"/>
      <c r="L94" s="18"/>
      <c r="M94" s="18"/>
      <c r="P94" s="18"/>
      <c r="Q94" s="18"/>
      <c r="R94" s="43"/>
      <c r="S94" s="18"/>
      <c r="T94" s="18"/>
      <c r="U94" s="18"/>
      <c r="V94" s="43"/>
      <c r="W94" s="18"/>
      <c r="X94" s="18"/>
    </row>
    <row r="95" spans="1:26" x14ac:dyDescent="0.25">
      <c r="D95" s="18"/>
      <c r="E95" s="18"/>
      <c r="G95" s="18"/>
      <c r="H95" s="18"/>
      <c r="I95" s="18"/>
      <c r="J95" s="43"/>
      <c r="K95" s="18"/>
      <c r="L95" s="18"/>
      <c r="M95" s="18"/>
      <c r="P95" s="18"/>
      <c r="Q95" s="18"/>
      <c r="R95" s="43"/>
      <c r="S95" s="18"/>
      <c r="T95" s="18"/>
      <c r="U95" s="18"/>
      <c r="V95" s="43"/>
      <c r="W95" s="18"/>
      <c r="X95" s="18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8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","450", " - ", "Beachside Dining Hall")</f>
        <v>Department 450 - Beachside Dining Hall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0</v>
      </c>
      <c r="E12" s="4"/>
      <c r="F12" s="12"/>
      <c r="G12" s="4"/>
      <c r="H12" s="4">
        <f>SUM(OSRRefH13x_0)</f>
        <v>79050.31</v>
      </c>
      <c r="I12" s="4"/>
      <c r="J12" s="12"/>
      <c r="K12" s="4"/>
      <c r="L12" s="4">
        <f t="shared" ref="L12:L14" si="0">+D12-H12</f>
        <v>-79050.31</v>
      </c>
      <c r="M12" s="4"/>
      <c r="N12" s="12">
        <f t="shared" ref="N12:N14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125727.15000000001</v>
      </c>
      <c r="U12" s="4"/>
      <c r="V12" s="12"/>
      <c r="W12" s="4"/>
      <c r="X12" s="4">
        <f t="shared" ref="X12:X14" si="2">+P12-T12</f>
        <v>-125727.15000000001</v>
      </c>
      <c r="Y12" s="4"/>
      <c r="Z12" s="12">
        <f t="shared" ref="Z12:Z14" si="3">IF(T12=0,0,X12/T12)</f>
        <v>-1</v>
      </c>
    </row>
    <row r="13" spans="1:26" s="24" customFormat="1" hidden="1" outlineLevel="1" x14ac:dyDescent="0.25">
      <c r="A13" s="44"/>
      <c r="B13" s="11" t="str">
        <f>CONCATENATE("          ", "4151", " - ", "NON-TAXABLE SALES-FOOD")</f>
        <v xml:space="preserve">          4151 - NON-TAXABLE SALES-FOOD</v>
      </c>
      <c r="C13" s="11"/>
      <c r="D13" s="2">
        <f t="shared" ref="D13:D14" si="4">0</f>
        <v>0</v>
      </c>
      <c r="E13" s="2"/>
      <c r="F13" s="19"/>
      <c r="G13" s="2"/>
      <c r="H13" s="2">
        <f>--79050.31</f>
        <v>79050.31</v>
      </c>
      <c r="I13" s="2"/>
      <c r="J13" s="19"/>
      <c r="K13" s="2"/>
      <c r="L13" s="2">
        <f t="shared" si="0"/>
        <v>-79050.31</v>
      </c>
      <c r="M13" s="2"/>
      <c r="N13" s="19">
        <f t="shared" si="1"/>
        <v>-1</v>
      </c>
      <c r="O13" s="11"/>
      <c r="P13" s="2">
        <f t="shared" ref="P13:P14" si="5">0</f>
        <v>0</v>
      </c>
      <c r="Q13" s="2"/>
      <c r="R13" s="19"/>
      <c r="S13" s="2"/>
      <c r="T13" s="2">
        <f>--125066.41</f>
        <v>125066.41</v>
      </c>
      <c r="U13" s="2"/>
      <c r="V13" s="19"/>
      <c r="W13" s="2"/>
      <c r="X13" s="2">
        <f t="shared" si="2"/>
        <v>-125066.41</v>
      </c>
      <c r="Y13" s="2"/>
      <c r="Z13" s="19">
        <f t="shared" si="3"/>
        <v>-1</v>
      </c>
    </row>
    <row r="14" spans="1:26" s="24" customFormat="1" hidden="1" outlineLevel="1" x14ac:dyDescent="0.25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 t="shared" si="4"/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5"/>
        <v>0</v>
      </c>
      <c r="Q14" s="2"/>
      <c r="R14" s="19"/>
      <c r="S14" s="2"/>
      <c r="T14" s="2">
        <f>--660.74</f>
        <v>660.74</v>
      </c>
      <c r="U14" s="2"/>
      <c r="V14" s="19"/>
      <c r="W14" s="2"/>
      <c r="X14" s="2">
        <f t="shared" si="2"/>
        <v>-660.74</v>
      </c>
      <c r="Y14" s="2"/>
      <c r="Z14" s="19">
        <f t="shared" si="3"/>
        <v>-1</v>
      </c>
    </row>
    <row r="15" spans="1:26" x14ac:dyDescent="0.25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25">
      <c r="A16" s="10"/>
      <c r="B16" s="25" t="s">
        <v>8</v>
      </c>
      <c r="C16" s="10"/>
      <c r="D16" s="4">
        <f>SUM(OSRRefD16x_0)</f>
        <v>0</v>
      </c>
      <c r="E16" s="4"/>
      <c r="F16" s="12">
        <f t="shared" ref="F16:F18" si="6">IF(D$12=0,0,D16/D$12)</f>
        <v>0</v>
      </c>
      <c r="G16" s="4"/>
      <c r="H16" s="4">
        <f>SUM(OSRRefH16x_0)</f>
        <v>32443.72</v>
      </c>
      <c r="I16" s="4"/>
      <c r="J16" s="12">
        <f t="shared" ref="J16:J18" si="7">IF(H$12=0,0,H16/H$12)</f>
        <v>0.4104186308693793</v>
      </c>
      <c r="K16" s="4"/>
      <c r="L16" s="4">
        <f t="shared" ref="L16:L18" si="8">+D16-H16</f>
        <v>-32443.72</v>
      </c>
      <c r="M16" s="4"/>
      <c r="N16" s="12">
        <f t="shared" ref="N16:N18" si="9">IF(H16=0,0,L16/H16)</f>
        <v>-1</v>
      </c>
      <c r="O16" s="10"/>
      <c r="P16" s="4">
        <f>SUM(OSRRefP16x_0)</f>
        <v>0</v>
      </c>
      <c r="Q16" s="4"/>
      <c r="R16" s="12">
        <f t="shared" ref="R16:R18" si="10">IF(P$12=0,0,P16/P$12)</f>
        <v>0</v>
      </c>
      <c r="S16" s="4"/>
      <c r="T16" s="4">
        <f>SUM(OSRRefT16x_0)</f>
        <v>40626.009999999995</v>
      </c>
      <c r="U16" s="4"/>
      <c r="V16" s="12">
        <f t="shared" ref="V16:V18" si="11">IF(T$12=0,0,T16/T$12)</f>
        <v>0.32312837760181468</v>
      </c>
      <c r="W16" s="4"/>
      <c r="X16" s="4">
        <f t="shared" ref="X16:X18" si="12">+P16-T16</f>
        <v>-40626.009999999995</v>
      </c>
      <c r="Y16" s="4"/>
      <c r="Z16" s="12">
        <f t="shared" ref="Z16:Z18" si="13">IF(T16=0,0,X16/T16)</f>
        <v>-1</v>
      </c>
    </row>
    <row r="17" spans="1:26" s="24" customFormat="1" hidden="1" outlineLevel="1" x14ac:dyDescent="0.25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6"/>
        <v>0</v>
      </c>
      <c r="G17" s="2"/>
      <c r="H17" s="2">
        <v>34542.720000000001</v>
      </c>
      <c r="I17" s="2"/>
      <c r="J17" s="19">
        <f t="shared" si="7"/>
        <v>0.43697134141535943</v>
      </c>
      <c r="K17" s="2"/>
      <c r="L17" s="2">
        <f t="shared" si="8"/>
        <v>-34542.720000000001</v>
      </c>
      <c r="M17" s="2"/>
      <c r="N17" s="19">
        <f t="shared" si="9"/>
        <v>-1</v>
      </c>
      <c r="O17" s="11"/>
      <c r="P17" s="2"/>
      <c r="Q17" s="2"/>
      <c r="R17" s="19">
        <f t="shared" si="10"/>
        <v>0</v>
      </c>
      <c r="S17" s="2"/>
      <c r="T17" s="2">
        <v>41763.009999999995</v>
      </c>
      <c r="U17" s="2"/>
      <c r="V17" s="19">
        <f t="shared" si="11"/>
        <v>0.33217177037736073</v>
      </c>
      <c r="W17" s="2"/>
      <c r="X17" s="2">
        <f t="shared" si="12"/>
        <v>-41763.009999999995</v>
      </c>
      <c r="Y17" s="2"/>
      <c r="Z17" s="19">
        <f t="shared" si="13"/>
        <v>-1</v>
      </c>
    </row>
    <row r="18" spans="1:26" s="24" customFormat="1" hidden="1" outlineLevel="1" x14ac:dyDescent="0.25">
      <c r="A18" s="44"/>
      <c r="B18" s="11" t="str">
        <f>CONCATENATE("          ", "5059", " - ", "PURCHASES @ COST-FOOD")</f>
        <v xml:space="preserve">          5059 - PURCHASES @ COST-FOOD</v>
      </c>
      <c r="C18" s="11"/>
      <c r="D18" s="2"/>
      <c r="E18" s="2"/>
      <c r="F18" s="19">
        <f t="shared" si="6"/>
        <v>0</v>
      </c>
      <c r="G18" s="2"/>
      <c r="H18" s="2">
        <v>-2099</v>
      </c>
      <c r="I18" s="2"/>
      <c r="J18" s="19">
        <f t="shared" si="7"/>
        <v>-2.655271054598015E-2</v>
      </c>
      <c r="K18" s="2"/>
      <c r="L18" s="2">
        <f t="shared" si="8"/>
        <v>2099</v>
      </c>
      <c r="M18" s="2"/>
      <c r="N18" s="19">
        <f t="shared" si="9"/>
        <v>-1</v>
      </c>
      <c r="O18" s="11"/>
      <c r="P18" s="2"/>
      <c r="Q18" s="2"/>
      <c r="R18" s="19">
        <f t="shared" si="10"/>
        <v>0</v>
      </c>
      <c r="S18" s="2"/>
      <c r="T18" s="2">
        <v>-1137</v>
      </c>
      <c r="U18" s="2"/>
      <c r="V18" s="19">
        <f t="shared" si="11"/>
        <v>-9.0433927755460934E-3</v>
      </c>
      <c r="W18" s="2"/>
      <c r="X18" s="2">
        <f t="shared" si="12"/>
        <v>1137</v>
      </c>
      <c r="Y18" s="2"/>
      <c r="Z18" s="19">
        <f t="shared" si="13"/>
        <v>-1</v>
      </c>
    </row>
    <row r="19" spans="1:26" x14ac:dyDescent="0.25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25">
      <c r="A20" s="10"/>
      <c r="B20" s="26" t="s">
        <v>6</v>
      </c>
      <c r="C20" s="26"/>
      <c r="D20" s="22">
        <f>D12-D16</f>
        <v>0</v>
      </c>
      <c r="E20" s="13"/>
      <c r="F20" s="21">
        <f>IF(D$12=0,0,D20/D$12)</f>
        <v>0</v>
      </c>
      <c r="G20" s="13"/>
      <c r="H20" s="22">
        <f>H12-H16</f>
        <v>46606.59</v>
      </c>
      <c r="I20" s="13"/>
      <c r="J20" s="21">
        <f>IF(H$12=0,0,H20/H$12)</f>
        <v>0.58958136913062076</v>
      </c>
      <c r="K20" s="16"/>
      <c r="L20" s="22">
        <f>+D20-H20</f>
        <v>-46606.59</v>
      </c>
      <c r="M20" s="16"/>
      <c r="N20" s="21">
        <f>IF(H20=0,0,L20/H20)</f>
        <v>-1</v>
      </c>
      <c r="O20" s="25"/>
      <c r="P20" s="22">
        <f>P12-P16</f>
        <v>0</v>
      </c>
      <c r="Q20" s="13"/>
      <c r="R20" s="21">
        <f>IF(P$12=0,0,P20/P$12)</f>
        <v>0</v>
      </c>
      <c r="S20" s="13"/>
      <c r="T20" s="22">
        <f>T12-T16</f>
        <v>85101.140000000014</v>
      </c>
      <c r="U20" s="13"/>
      <c r="V20" s="21">
        <f>IF(T$12=0,0,T20/T$12)</f>
        <v>0.67687162239818532</v>
      </c>
      <c r="W20" s="16"/>
      <c r="X20" s="22">
        <f>+P20-T20</f>
        <v>-85101.140000000014</v>
      </c>
      <c r="Y20" s="16"/>
      <c r="Z20" s="21">
        <f>IF(T20=0,0,X20/T20)</f>
        <v>-1</v>
      </c>
    </row>
    <row r="21" spans="1:26" x14ac:dyDescent="0.25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25">
      <c r="A22" s="10"/>
      <c r="B22" s="25" t="s">
        <v>9</v>
      </c>
      <c r="C22" s="10"/>
      <c r="D22" s="20">
        <f>SUM(OSRRefD22x_0)</f>
        <v>38261.779999999992</v>
      </c>
      <c r="E22" s="20"/>
      <c r="F22" s="35">
        <f t="shared" ref="F22:F32" si="14">IF(D$12=0,0,D22/D$12)</f>
        <v>0</v>
      </c>
      <c r="G22" s="20"/>
      <c r="H22" s="20">
        <f>SUM(OSRRefH22x_0)</f>
        <v>96311.659999999974</v>
      </c>
      <c r="I22" s="20"/>
      <c r="J22" s="35">
        <f t="shared" ref="J22:J32" si="15">IF(H$12=0,0,H22/H$12)</f>
        <v>1.2183590424882582</v>
      </c>
      <c r="K22" s="4"/>
      <c r="L22" s="20">
        <f t="shared" ref="L22:L32" si="16">+D22-H22</f>
        <v>-58049.879999999983</v>
      </c>
      <c r="M22" s="4"/>
      <c r="N22" s="35">
        <f t="shared" ref="N22:N32" si="17">IF(H22=0,0,L22/H22)</f>
        <v>-0.60272951374734896</v>
      </c>
      <c r="O22" s="10"/>
      <c r="P22" s="20">
        <f>SUM(OSRRefP22x_0)</f>
        <v>78621.920000000013</v>
      </c>
      <c r="Q22" s="20"/>
      <c r="R22" s="35">
        <f t="shared" ref="R22:R32" si="18">IF(P$12=0,0,P22/P$12)</f>
        <v>0</v>
      </c>
      <c r="S22" s="20"/>
      <c r="T22" s="20">
        <f>SUM(OSRRefT22x_0)</f>
        <v>184823.53999999998</v>
      </c>
      <c r="U22" s="20"/>
      <c r="V22" s="35">
        <f t="shared" ref="V22:V32" si="19">IF(T$12=0,0,T22/T$12)</f>
        <v>1.4700368218002235</v>
      </c>
      <c r="W22" s="4"/>
      <c r="X22" s="20">
        <f t="shared" ref="X22:X32" si="20">+P22-T22</f>
        <v>-106201.61999999997</v>
      </c>
      <c r="Y22" s="4"/>
      <c r="Z22" s="35">
        <f t="shared" ref="Z22:Z32" si="21">IF(T22=0,0,X22/T22)</f>
        <v>-0.57461089642585561</v>
      </c>
    </row>
    <row r="23" spans="1:26" s="28" customFormat="1" outlineLevel="1" collapsed="1" x14ac:dyDescent="0.25">
      <c r="A23" s="27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18954.719999999998</v>
      </c>
      <c r="E23" s="1"/>
      <c r="F23" s="5">
        <f t="shared" si="14"/>
        <v>0</v>
      </c>
      <c r="G23" s="1"/>
      <c r="H23" s="1">
        <f>SUM(OSRRefH22_0x_0)</f>
        <v>24480.83</v>
      </c>
      <c r="I23" s="1"/>
      <c r="J23" s="5">
        <f t="shared" si="15"/>
        <v>0.30968670458091818</v>
      </c>
      <c r="K23" s="1"/>
      <c r="L23" s="1">
        <f t="shared" si="16"/>
        <v>-5526.1100000000042</v>
      </c>
      <c r="M23" s="1"/>
      <c r="N23" s="5">
        <f t="shared" si="17"/>
        <v>-0.22573213408205539</v>
      </c>
      <c r="O23" s="14"/>
      <c r="P23" s="1">
        <f>SUM(OSRRefP22_0x_0)</f>
        <v>38134.450000000004</v>
      </c>
      <c r="Q23" s="1"/>
      <c r="R23" s="5">
        <f t="shared" si="18"/>
        <v>0</v>
      </c>
      <c r="S23" s="1"/>
      <c r="T23" s="1">
        <f>SUM(OSRRefT22_0x_0)</f>
        <v>50666.739999999991</v>
      </c>
      <c r="U23" s="1"/>
      <c r="V23" s="5">
        <f t="shared" si="19"/>
        <v>0.40298964861607051</v>
      </c>
      <c r="W23" s="1"/>
      <c r="X23" s="1">
        <f t="shared" si="20"/>
        <v>-12532.289999999986</v>
      </c>
      <c r="Y23" s="1"/>
      <c r="Z23" s="5">
        <f t="shared" si="21"/>
        <v>-0.24734747094444973</v>
      </c>
    </row>
    <row r="24" spans="1:26" s="24" customFormat="1" hidden="1" outlineLevel="2" x14ac:dyDescent="0.25">
      <c r="A24" s="29"/>
      <c r="B24" s="11" t="str">
        <f>CONCATENATE("          ", "6111", " - ", "F.I.C.A.")</f>
        <v xml:space="preserve">          6111 - F.I.C.A.</v>
      </c>
      <c r="C24" s="11"/>
      <c r="D24" s="7">
        <v>1597.77</v>
      </c>
      <c r="E24" s="2"/>
      <c r="F24" s="6">
        <f t="shared" si="14"/>
        <v>0</v>
      </c>
      <c r="G24" s="2"/>
      <c r="H24" s="7">
        <v>2737.33</v>
      </c>
      <c r="I24" s="2"/>
      <c r="J24" s="6">
        <f t="shared" si="15"/>
        <v>3.4627694692152378E-2</v>
      </c>
      <c r="K24" s="2"/>
      <c r="L24" s="7">
        <f t="shared" si="16"/>
        <v>-1139.56</v>
      </c>
      <c r="M24" s="2"/>
      <c r="N24" s="6">
        <f t="shared" si="17"/>
        <v>-0.41630347820686581</v>
      </c>
      <c r="O24" s="11"/>
      <c r="P24" s="7">
        <v>2925.18</v>
      </c>
      <c r="Q24" s="2"/>
      <c r="R24" s="6">
        <f t="shared" si="18"/>
        <v>0</v>
      </c>
      <c r="S24" s="2"/>
      <c r="T24" s="7">
        <v>5203.24</v>
      </c>
      <c r="U24" s="2"/>
      <c r="V24" s="6">
        <f t="shared" si="19"/>
        <v>4.1385174164848243E-2</v>
      </c>
      <c r="W24" s="2"/>
      <c r="X24" s="7">
        <f t="shared" si="20"/>
        <v>-2278.06</v>
      </c>
      <c r="Y24" s="2"/>
      <c r="Z24" s="6">
        <f t="shared" si="21"/>
        <v>-0.4378156686987339</v>
      </c>
    </row>
    <row r="25" spans="1:26" s="24" customFormat="1" hidden="1" outlineLevel="2" x14ac:dyDescent="0.25">
      <c r="A25" s="29"/>
      <c r="B25" s="11" t="str">
        <f>CONCATENATE("          ", "6112", " - ", "COMPENSATION INSURANCE")</f>
        <v xml:space="preserve">          6112 - COMPENSATION INSURANCE</v>
      </c>
      <c r="C25" s="11"/>
      <c r="D25" s="7">
        <v>805.48</v>
      </c>
      <c r="E25" s="2"/>
      <c r="F25" s="6">
        <f t="shared" si="14"/>
        <v>0</v>
      </c>
      <c r="G25" s="2"/>
      <c r="H25" s="7">
        <v>1610.45</v>
      </c>
      <c r="I25" s="2"/>
      <c r="J25" s="6">
        <f t="shared" si="15"/>
        <v>2.0372469127572051E-2</v>
      </c>
      <c r="K25" s="2"/>
      <c r="L25" s="7">
        <f t="shared" si="16"/>
        <v>-804.97</v>
      </c>
      <c r="M25" s="2"/>
      <c r="N25" s="6">
        <f t="shared" si="17"/>
        <v>-0.4998416591635878</v>
      </c>
      <c r="O25" s="11"/>
      <c r="P25" s="7">
        <v>1533.11</v>
      </c>
      <c r="Q25" s="2"/>
      <c r="R25" s="6">
        <f t="shared" si="18"/>
        <v>0</v>
      </c>
      <c r="S25" s="2"/>
      <c r="T25" s="7">
        <v>3117.02</v>
      </c>
      <c r="U25" s="2"/>
      <c r="V25" s="6">
        <f t="shared" si="19"/>
        <v>2.4791940324742905E-2</v>
      </c>
      <c r="W25" s="2"/>
      <c r="X25" s="7">
        <f t="shared" si="20"/>
        <v>-1583.91</v>
      </c>
      <c r="Y25" s="2"/>
      <c r="Z25" s="6">
        <f t="shared" si="21"/>
        <v>-0.50814880879814694</v>
      </c>
    </row>
    <row r="26" spans="1:26" s="24" customFormat="1" hidden="1" outlineLevel="2" x14ac:dyDescent="0.25">
      <c r="A26" s="29"/>
      <c r="B26" s="11" t="str">
        <f>CONCATENATE("          ", "6113", " - ", "GROUP INSURANCE")</f>
        <v xml:space="preserve">          6113 - GROUP INSURANCE</v>
      </c>
      <c r="C26" s="11"/>
      <c r="D26" s="7">
        <v>12616.93</v>
      </c>
      <c r="E26" s="2"/>
      <c r="F26" s="6">
        <f t="shared" si="14"/>
        <v>0</v>
      </c>
      <c r="G26" s="2"/>
      <c r="H26" s="7">
        <v>14138.69</v>
      </c>
      <c r="I26" s="2"/>
      <c r="J26" s="6">
        <f t="shared" si="15"/>
        <v>0.17885685710783425</v>
      </c>
      <c r="K26" s="2"/>
      <c r="L26" s="7">
        <f t="shared" si="16"/>
        <v>-1521.7600000000002</v>
      </c>
      <c r="M26" s="2"/>
      <c r="N26" s="6">
        <f t="shared" si="17"/>
        <v>-0.10763090498483241</v>
      </c>
      <c r="O26" s="11"/>
      <c r="P26" s="7">
        <v>25233.89</v>
      </c>
      <c r="Q26" s="2"/>
      <c r="R26" s="6">
        <f t="shared" si="18"/>
        <v>0</v>
      </c>
      <c r="S26" s="2"/>
      <c r="T26" s="7">
        <v>25241.88</v>
      </c>
      <c r="U26" s="2"/>
      <c r="V26" s="6">
        <f t="shared" si="19"/>
        <v>0.20076713740826863</v>
      </c>
      <c r="W26" s="2"/>
      <c r="X26" s="7">
        <f t="shared" si="20"/>
        <v>-7.9900000000016007</v>
      </c>
      <c r="Y26" s="2"/>
      <c r="Z26" s="6">
        <f t="shared" si="21"/>
        <v>-3.1653743698970124E-4</v>
      </c>
    </row>
    <row r="27" spans="1:26" s="24" customFormat="1" hidden="1" outlineLevel="2" x14ac:dyDescent="0.25">
      <c r="A27" s="29"/>
      <c r="B27" s="11" t="str">
        <f>CONCATENATE("          ", "6114", " - ", "STATE UNEMPLOYMENT INSURANCE")</f>
        <v xml:space="preserve">          6114 - STATE UNEMPLOYMENT INSURANCE</v>
      </c>
      <c r="C27" s="11"/>
      <c r="D27" s="7">
        <v>53.46</v>
      </c>
      <c r="E27" s="2"/>
      <c r="F27" s="6">
        <f t="shared" si="14"/>
        <v>0</v>
      </c>
      <c r="G27" s="2"/>
      <c r="H27" s="7">
        <v>107.9</v>
      </c>
      <c r="I27" s="2"/>
      <c r="J27" s="6">
        <f t="shared" si="15"/>
        <v>1.3649535340215619E-3</v>
      </c>
      <c r="K27" s="2"/>
      <c r="L27" s="7">
        <f t="shared" si="16"/>
        <v>-54.440000000000005</v>
      </c>
      <c r="M27" s="2"/>
      <c r="N27" s="6">
        <f t="shared" si="17"/>
        <v>-0.50454124189063954</v>
      </c>
      <c r="O27" s="11"/>
      <c r="P27" s="7">
        <v>101.59</v>
      </c>
      <c r="Q27" s="2"/>
      <c r="R27" s="6">
        <f t="shared" si="18"/>
        <v>0</v>
      </c>
      <c r="S27" s="2"/>
      <c r="T27" s="7">
        <v>208.88</v>
      </c>
      <c r="U27" s="2"/>
      <c r="V27" s="6">
        <f t="shared" si="19"/>
        <v>1.6613754467511589E-3</v>
      </c>
      <c r="W27" s="2"/>
      <c r="X27" s="7">
        <f t="shared" si="20"/>
        <v>-107.28999999999999</v>
      </c>
      <c r="Y27" s="2"/>
      <c r="Z27" s="6">
        <f t="shared" si="21"/>
        <v>-0.51364419762543079</v>
      </c>
    </row>
    <row r="28" spans="1:26" s="24" customFormat="1" hidden="1" outlineLevel="2" x14ac:dyDescent="0.25">
      <c r="A28" s="29"/>
      <c r="B28" s="11" t="str">
        <f>CONCATENATE("          ", "6115", " - ", "P.E.R.S.")</f>
        <v xml:space="preserve">          6115 - P.E.R.S.</v>
      </c>
      <c r="C28" s="11"/>
      <c r="D28" s="7">
        <v>485.07</v>
      </c>
      <c r="E28" s="2"/>
      <c r="F28" s="6">
        <f t="shared" si="14"/>
        <v>0</v>
      </c>
      <c r="G28" s="2"/>
      <c r="H28" s="7">
        <v>1212.42</v>
      </c>
      <c r="I28" s="2"/>
      <c r="J28" s="6">
        <f t="shared" si="15"/>
        <v>1.5337321257816701E-2</v>
      </c>
      <c r="K28" s="2"/>
      <c r="L28" s="7">
        <f t="shared" si="16"/>
        <v>-727.35000000000014</v>
      </c>
      <c r="M28" s="2"/>
      <c r="N28" s="6">
        <f t="shared" si="17"/>
        <v>-0.59991587073786323</v>
      </c>
      <c r="O28" s="11"/>
      <c r="P28" s="7">
        <v>1212.67</v>
      </c>
      <c r="Q28" s="2"/>
      <c r="R28" s="6">
        <f t="shared" si="18"/>
        <v>0</v>
      </c>
      <c r="S28" s="2"/>
      <c r="T28" s="7">
        <v>2172.06</v>
      </c>
      <c r="U28" s="2"/>
      <c r="V28" s="6">
        <f t="shared" si="19"/>
        <v>1.7275982156598632E-2</v>
      </c>
      <c r="W28" s="2"/>
      <c r="X28" s="7">
        <f t="shared" si="20"/>
        <v>-959.38999999999987</v>
      </c>
      <c r="Y28" s="2"/>
      <c r="Z28" s="6">
        <f t="shared" si="21"/>
        <v>-0.44169590158651229</v>
      </c>
    </row>
    <row r="29" spans="1:26" s="24" customFormat="1" hidden="1" outlineLevel="2" x14ac:dyDescent="0.25">
      <c r="A29" s="29"/>
      <c r="B29" s="11" t="str">
        <f>CONCATENATE("          ", "6117", " - ", "RETIREMENT STAFF HOURLY")</f>
        <v xml:space="preserve">          6117 - RETIREMENT STAFF HOURLY</v>
      </c>
      <c r="C29" s="11"/>
      <c r="D29" s="7">
        <v>533.82000000000005</v>
      </c>
      <c r="E29" s="2"/>
      <c r="F29" s="6">
        <f t="shared" si="14"/>
        <v>0</v>
      </c>
      <c r="G29" s="2"/>
      <c r="H29" s="7">
        <v>294.31</v>
      </c>
      <c r="I29" s="2"/>
      <c r="J29" s="6">
        <f t="shared" si="15"/>
        <v>3.7230720537338819E-3</v>
      </c>
      <c r="K29" s="2"/>
      <c r="L29" s="7">
        <f t="shared" si="16"/>
        <v>239.51000000000005</v>
      </c>
      <c r="M29" s="2"/>
      <c r="N29" s="6">
        <f t="shared" si="17"/>
        <v>0.81380177364003958</v>
      </c>
      <c r="O29" s="11"/>
      <c r="P29" s="7">
        <v>1225.68</v>
      </c>
      <c r="Q29" s="2"/>
      <c r="R29" s="6">
        <f t="shared" si="18"/>
        <v>0</v>
      </c>
      <c r="S29" s="2"/>
      <c r="T29" s="7">
        <v>552.28</v>
      </c>
      <c r="U29" s="2"/>
      <c r="V29" s="6">
        <f t="shared" si="19"/>
        <v>4.3926868619864516E-3</v>
      </c>
      <c r="W29" s="2"/>
      <c r="X29" s="7">
        <f t="shared" si="20"/>
        <v>673.40000000000009</v>
      </c>
      <c r="Y29" s="2"/>
      <c r="Z29" s="6">
        <f t="shared" si="21"/>
        <v>1.2193090461360181</v>
      </c>
    </row>
    <row r="30" spans="1:26" s="24" customFormat="1" hidden="1" outlineLevel="2" x14ac:dyDescent="0.25">
      <c r="A30" s="29"/>
      <c r="B30" s="11" t="str">
        <f>CONCATENATE("          ", "6118", " - ", "VACATION")</f>
        <v xml:space="preserve">          6118 - VACATION</v>
      </c>
      <c r="C30" s="11"/>
      <c r="D30" s="7">
        <v>1220.8699999999999</v>
      </c>
      <c r="E30" s="2"/>
      <c r="F30" s="6">
        <f t="shared" si="14"/>
        <v>0</v>
      </c>
      <c r="G30" s="2"/>
      <c r="H30" s="7">
        <v>1999.34</v>
      </c>
      <c r="I30" s="2"/>
      <c r="J30" s="6">
        <f t="shared" si="15"/>
        <v>2.529199442734633E-2</v>
      </c>
      <c r="K30" s="2"/>
      <c r="L30" s="7">
        <f t="shared" si="16"/>
        <v>-778.47</v>
      </c>
      <c r="M30" s="2"/>
      <c r="N30" s="6">
        <f t="shared" si="17"/>
        <v>-0.38936348995168407</v>
      </c>
      <c r="O30" s="11"/>
      <c r="P30" s="7">
        <v>2420.4899999999998</v>
      </c>
      <c r="Q30" s="2"/>
      <c r="R30" s="6">
        <f t="shared" si="18"/>
        <v>0</v>
      </c>
      <c r="S30" s="2"/>
      <c r="T30" s="7">
        <v>4811.95</v>
      </c>
      <c r="U30" s="2"/>
      <c r="V30" s="6">
        <f t="shared" si="19"/>
        <v>3.8272958545548831E-2</v>
      </c>
      <c r="W30" s="2"/>
      <c r="X30" s="7">
        <f t="shared" si="20"/>
        <v>-2391.46</v>
      </c>
      <c r="Y30" s="2"/>
      <c r="Z30" s="6">
        <f t="shared" si="21"/>
        <v>-0.49698355136690947</v>
      </c>
    </row>
    <row r="31" spans="1:26" s="24" customFormat="1" hidden="1" outlineLevel="2" x14ac:dyDescent="0.25">
      <c r="A31" s="29"/>
      <c r="B31" s="11" t="str">
        <f>CONCATENATE("          ", "6119", " - ", "SICK LEAVE")</f>
        <v xml:space="preserve">          6119 - SICK LEAVE</v>
      </c>
      <c r="C31" s="11"/>
      <c r="D31" s="7">
        <v>946.52</v>
      </c>
      <c r="E31" s="2"/>
      <c r="F31" s="6">
        <f t="shared" si="14"/>
        <v>0</v>
      </c>
      <c r="G31" s="2"/>
      <c r="H31" s="7">
        <v>1353.62</v>
      </c>
      <c r="I31" s="2"/>
      <c r="J31" s="6">
        <f t="shared" si="15"/>
        <v>1.7123525511791162E-2</v>
      </c>
      <c r="K31" s="2"/>
      <c r="L31" s="7">
        <f t="shared" si="16"/>
        <v>-407.09999999999991</v>
      </c>
      <c r="M31" s="2"/>
      <c r="N31" s="6">
        <f t="shared" si="17"/>
        <v>-0.3007491024068793</v>
      </c>
      <c r="O31" s="11"/>
      <c r="P31" s="7">
        <v>1893.04</v>
      </c>
      <c r="Q31" s="2"/>
      <c r="R31" s="6">
        <f t="shared" si="18"/>
        <v>0</v>
      </c>
      <c r="S31" s="2"/>
      <c r="T31" s="7">
        <v>7323.75</v>
      </c>
      <c r="U31" s="2"/>
      <c r="V31" s="6">
        <f t="shared" si="19"/>
        <v>5.8251141459899472E-2</v>
      </c>
      <c r="W31" s="2"/>
      <c r="X31" s="7">
        <f t="shared" si="20"/>
        <v>-5430.71</v>
      </c>
      <c r="Y31" s="2"/>
      <c r="Z31" s="6">
        <f t="shared" si="21"/>
        <v>-0.74152039597200892</v>
      </c>
    </row>
    <row r="32" spans="1:26" s="24" customFormat="1" hidden="1" outlineLevel="2" x14ac:dyDescent="0.25">
      <c r="A32" s="29"/>
      <c r="B32" s="11" t="str">
        <f>CONCATENATE("          ", "6156", " - ", "EMPLOYEE MEALS")</f>
        <v xml:space="preserve">          6156 - EMPLOYEE MEALS</v>
      </c>
      <c r="C32" s="11"/>
      <c r="D32" s="7">
        <v>694.8</v>
      </c>
      <c r="E32" s="2"/>
      <c r="F32" s="6">
        <f t="shared" si="14"/>
        <v>0</v>
      </c>
      <c r="G32" s="2"/>
      <c r="H32" s="7">
        <v>1026.77</v>
      </c>
      <c r="I32" s="2"/>
      <c r="J32" s="6">
        <f t="shared" si="15"/>
        <v>1.2988816868649852E-2</v>
      </c>
      <c r="K32" s="2"/>
      <c r="L32" s="7">
        <f t="shared" si="16"/>
        <v>-331.97</v>
      </c>
      <c r="M32" s="2"/>
      <c r="N32" s="6">
        <f t="shared" si="17"/>
        <v>-0.32331486116657093</v>
      </c>
      <c r="O32" s="11"/>
      <c r="P32" s="7">
        <v>1588.8</v>
      </c>
      <c r="Q32" s="2"/>
      <c r="R32" s="6">
        <f t="shared" si="18"/>
        <v>0</v>
      </c>
      <c r="S32" s="2"/>
      <c r="T32" s="7">
        <v>2035.68</v>
      </c>
      <c r="U32" s="2"/>
      <c r="V32" s="6">
        <f t="shared" si="19"/>
        <v>1.619125224742627E-2</v>
      </c>
      <c r="W32" s="2"/>
      <c r="X32" s="7">
        <f t="shared" si="20"/>
        <v>-446.88000000000011</v>
      </c>
      <c r="Y32" s="2"/>
      <c r="Z32" s="6">
        <f t="shared" si="21"/>
        <v>-0.21952369724121673</v>
      </c>
    </row>
    <row r="33" spans="1:26" s="28" customFormat="1" outlineLevel="1" collapsed="1" x14ac:dyDescent="0.25">
      <c r="A33" s="27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18830.21</v>
      </c>
      <c r="E33" s="1"/>
      <c r="F33" s="5">
        <f t="shared" ref="F33:F39" si="22">IF(D$12=0,0,D33/D$12)</f>
        <v>0</v>
      </c>
      <c r="G33" s="1"/>
      <c r="H33" s="1">
        <f>SUM(OSRRefH22_1x_0)</f>
        <v>48230.320000000007</v>
      </c>
      <c r="I33" s="1"/>
      <c r="J33" s="5">
        <f t="shared" ref="J33:J39" si="23">IF(H$12=0,0,H33/H$12)</f>
        <v>0.61012183253930319</v>
      </c>
      <c r="K33" s="1"/>
      <c r="L33" s="1">
        <f t="shared" ref="L33:L39" si="24">+D33-H33</f>
        <v>-29400.110000000008</v>
      </c>
      <c r="M33" s="1"/>
      <c r="N33" s="5">
        <f t="shared" ref="N33:N39" si="25">IF(H33=0,0,L33/H33)</f>
        <v>-0.60957733641410639</v>
      </c>
      <c r="O33" s="14"/>
      <c r="P33" s="1">
        <f>SUM(OSRRefP22_1x_0)</f>
        <v>37573.51</v>
      </c>
      <c r="Q33" s="1"/>
      <c r="R33" s="5">
        <f t="shared" ref="R33:R39" si="26">IF(P$12=0,0,P33/P$12)</f>
        <v>0</v>
      </c>
      <c r="S33" s="1"/>
      <c r="T33" s="1">
        <f>SUM(OSRRefT22_1x_0)</f>
        <v>84716.24</v>
      </c>
      <c r="U33" s="1"/>
      <c r="V33" s="5">
        <f t="shared" ref="V33:V39" si="27">IF(T$12=0,0,T33/T$12)</f>
        <v>0.67381023112350835</v>
      </c>
      <c r="W33" s="1"/>
      <c r="X33" s="1">
        <f t="shared" ref="X33:X39" si="28">+P33-T33</f>
        <v>-47142.73</v>
      </c>
      <c r="Y33" s="1"/>
      <c r="Z33" s="5">
        <f t="shared" ref="Z33:Z39" si="29">IF(T33=0,0,X33/T33)</f>
        <v>-0.55647807315338826</v>
      </c>
    </row>
    <row r="34" spans="1:26" s="24" customFormat="1" hidden="1" outlineLevel="2" x14ac:dyDescent="0.25">
      <c r="A34" s="29"/>
      <c r="B34" s="11" t="str">
        <f>CONCATENATE("          ", "6002", " - ", "STAFF SALARIES")</f>
        <v xml:space="preserve">          6002 - STAFF SALARIES</v>
      </c>
      <c r="C34" s="11"/>
      <c r="D34" s="7">
        <v>4397.32</v>
      </c>
      <c r="E34" s="2"/>
      <c r="F34" s="6">
        <f t="shared" si="22"/>
        <v>0</v>
      </c>
      <c r="G34" s="2"/>
      <c r="H34" s="7">
        <v>9388.57</v>
      </c>
      <c r="I34" s="2"/>
      <c r="J34" s="6">
        <f t="shared" si="23"/>
        <v>0.11876702317802422</v>
      </c>
      <c r="K34" s="2"/>
      <c r="L34" s="7">
        <f t="shared" si="24"/>
        <v>-4991.25</v>
      </c>
      <c r="M34" s="2"/>
      <c r="N34" s="6">
        <f t="shared" si="25"/>
        <v>-0.53163048259745627</v>
      </c>
      <c r="O34" s="11"/>
      <c r="P34" s="7">
        <v>9234.0400000000009</v>
      </c>
      <c r="Q34" s="2"/>
      <c r="R34" s="6">
        <f t="shared" si="26"/>
        <v>0</v>
      </c>
      <c r="S34" s="2"/>
      <c r="T34" s="7">
        <v>20625.28</v>
      </c>
      <c r="U34" s="2"/>
      <c r="V34" s="6">
        <f t="shared" si="27"/>
        <v>0.16404794032156139</v>
      </c>
      <c r="W34" s="2"/>
      <c r="X34" s="7">
        <f t="shared" si="28"/>
        <v>-11391.239999999998</v>
      </c>
      <c r="Y34" s="2"/>
      <c r="Z34" s="6">
        <f t="shared" si="29"/>
        <v>-0.55229504763086845</v>
      </c>
    </row>
    <row r="35" spans="1:26" s="24" customFormat="1" hidden="1" outlineLevel="2" x14ac:dyDescent="0.25">
      <c r="A35" s="29"/>
      <c r="B35" s="11" t="str">
        <f>CONCATENATE("          ", "6004", " - ", "STAFF HOURLY")</f>
        <v xml:space="preserve">          6004 - STAFF HOURLY</v>
      </c>
      <c r="C35" s="11"/>
      <c r="D35" s="7">
        <v>15222.889999999998</v>
      </c>
      <c r="E35" s="2"/>
      <c r="F35" s="6">
        <f t="shared" si="22"/>
        <v>0</v>
      </c>
      <c r="G35" s="2"/>
      <c r="H35" s="7">
        <v>13261.68</v>
      </c>
      <c r="I35" s="2"/>
      <c r="J35" s="6">
        <f t="shared" si="23"/>
        <v>0.16776252996351312</v>
      </c>
      <c r="K35" s="2"/>
      <c r="L35" s="7">
        <f t="shared" si="24"/>
        <v>1961.2099999999973</v>
      </c>
      <c r="M35" s="2"/>
      <c r="N35" s="6">
        <f t="shared" si="25"/>
        <v>0.14788548660501516</v>
      </c>
      <c r="O35" s="11"/>
      <c r="P35" s="7">
        <v>25716.47</v>
      </c>
      <c r="Q35" s="2"/>
      <c r="R35" s="6">
        <f t="shared" si="26"/>
        <v>0</v>
      </c>
      <c r="S35" s="2"/>
      <c r="T35" s="7">
        <v>27162.880000000001</v>
      </c>
      <c r="U35" s="2"/>
      <c r="V35" s="6">
        <f t="shared" si="27"/>
        <v>0.21604625572121852</v>
      </c>
      <c r="W35" s="2"/>
      <c r="X35" s="7">
        <f t="shared" si="28"/>
        <v>-1446.4099999999999</v>
      </c>
      <c r="Y35" s="2"/>
      <c r="Z35" s="6">
        <f t="shared" si="29"/>
        <v>-5.3249508152301957E-2</v>
      </c>
    </row>
    <row r="36" spans="1:26" s="24" customFormat="1" hidden="1" outlineLevel="2" x14ac:dyDescent="0.25">
      <c r="A36" s="29"/>
      <c r="B36" s="11" t="str">
        <f>CONCATENATE("          ", "6005", " - ", "TEMPORARY WAGES-HOURLY")</f>
        <v xml:space="preserve">          6005 - TEMPORARY WAGES-HOURLY</v>
      </c>
      <c r="C36" s="11"/>
      <c r="D36" s="7"/>
      <c r="E36" s="2"/>
      <c r="F36" s="6">
        <f t="shared" si="22"/>
        <v>0</v>
      </c>
      <c r="G36" s="2"/>
      <c r="H36" s="7">
        <v>3559.51</v>
      </c>
      <c r="I36" s="2"/>
      <c r="J36" s="6">
        <f t="shared" si="23"/>
        <v>4.5028412918304818E-2</v>
      </c>
      <c r="K36" s="2"/>
      <c r="L36" s="7">
        <f t="shared" si="24"/>
        <v>-3559.51</v>
      </c>
      <c r="M36" s="2"/>
      <c r="N36" s="6">
        <f t="shared" si="25"/>
        <v>-1</v>
      </c>
      <c r="O36" s="11"/>
      <c r="P36" s="7"/>
      <c r="Q36" s="2"/>
      <c r="R36" s="6">
        <f t="shared" si="26"/>
        <v>0</v>
      </c>
      <c r="S36" s="2"/>
      <c r="T36" s="7">
        <v>5887.08</v>
      </c>
      <c r="U36" s="2"/>
      <c r="V36" s="6">
        <f t="shared" si="27"/>
        <v>4.6824253949922505E-2</v>
      </c>
      <c r="W36" s="2"/>
      <c r="X36" s="7">
        <f t="shared" si="28"/>
        <v>-5887.08</v>
      </c>
      <c r="Y36" s="2"/>
      <c r="Z36" s="6">
        <f t="shared" si="29"/>
        <v>-1</v>
      </c>
    </row>
    <row r="37" spans="1:26" s="24" customFormat="1" hidden="1" outlineLevel="2" x14ac:dyDescent="0.25">
      <c r="A37" s="29"/>
      <c r="B37" s="11" t="str">
        <f>CONCATENATE("          ", "6006", " - ", "TEMPORARY PART TIME")</f>
        <v xml:space="preserve">          6006 - TEMPORARY PART TIME</v>
      </c>
      <c r="C37" s="11"/>
      <c r="D37" s="7"/>
      <c r="E37" s="2"/>
      <c r="F37" s="6">
        <f t="shared" si="22"/>
        <v>0</v>
      </c>
      <c r="G37" s="2"/>
      <c r="H37" s="7">
        <v>674.81</v>
      </c>
      <c r="I37" s="2"/>
      <c r="J37" s="6">
        <f t="shared" si="23"/>
        <v>8.5364624123548654E-3</v>
      </c>
      <c r="K37" s="2"/>
      <c r="L37" s="7">
        <f t="shared" si="24"/>
        <v>-674.81</v>
      </c>
      <c r="M37" s="2"/>
      <c r="N37" s="6">
        <f t="shared" si="25"/>
        <v>-1</v>
      </c>
      <c r="O37" s="11"/>
      <c r="P37" s="7"/>
      <c r="Q37" s="2"/>
      <c r="R37" s="6">
        <f t="shared" si="26"/>
        <v>0</v>
      </c>
      <c r="S37" s="2"/>
      <c r="T37" s="7">
        <v>1286.81</v>
      </c>
      <c r="U37" s="2"/>
      <c r="V37" s="6">
        <f t="shared" si="27"/>
        <v>1.0234941299472706E-2</v>
      </c>
      <c r="W37" s="2"/>
      <c r="X37" s="7">
        <f t="shared" si="28"/>
        <v>-1286.81</v>
      </c>
      <c r="Y37" s="2"/>
      <c r="Z37" s="6">
        <f t="shared" si="29"/>
        <v>-1</v>
      </c>
    </row>
    <row r="38" spans="1:26" s="24" customFormat="1" hidden="1" outlineLevel="2" x14ac:dyDescent="0.25">
      <c r="A38" s="29"/>
      <c r="B38" s="11" t="str">
        <f>CONCATENATE("          ", "6007", " - ", "STUDENT HOURLY")</f>
        <v xml:space="preserve">          6007 - STUDENT HOURLY</v>
      </c>
      <c r="C38" s="11"/>
      <c r="D38" s="7">
        <v>-790</v>
      </c>
      <c r="E38" s="2"/>
      <c r="F38" s="6">
        <f t="shared" si="22"/>
        <v>0</v>
      </c>
      <c r="G38" s="2"/>
      <c r="H38" s="7">
        <v>18662.25</v>
      </c>
      <c r="I38" s="2"/>
      <c r="J38" s="6">
        <f t="shared" si="23"/>
        <v>0.23608066812135209</v>
      </c>
      <c r="K38" s="2"/>
      <c r="L38" s="7">
        <f t="shared" si="24"/>
        <v>-19452.25</v>
      </c>
      <c r="M38" s="2"/>
      <c r="N38" s="6">
        <f t="shared" si="25"/>
        <v>-1.0423314444935632</v>
      </c>
      <c r="O38" s="11"/>
      <c r="P38" s="7">
        <v>2623</v>
      </c>
      <c r="Q38" s="2"/>
      <c r="R38" s="6">
        <f t="shared" si="26"/>
        <v>0</v>
      </c>
      <c r="S38" s="2"/>
      <c r="T38" s="7">
        <v>24985.69</v>
      </c>
      <c r="U38" s="2"/>
      <c r="V38" s="6">
        <f t="shared" si="27"/>
        <v>0.19872947092175394</v>
      </c>
      <c r="W38" s="2"/>
      <c r="X38" s="7">
        <f t="shared" si="28"/>
        <v>-22362.69</v>
      </c>
      <c r="Y38" s="2"/>
      <c r="Z38" s="6">
        <f t="shared" si="29"/>
        <v>-0.89501990939613829</v>
      </c>
    </row>
    <row r="39" spans="1:26" s="24" customFormat="1" hidden="1" outlineLevel="2" x14ac:dyDescent="0.25">
      <c r="A39" s="29"/>
      <c r="B39" s="11" t="str">
        <f>CONCATENATE("          ", "6008", " - ", "STUDENT HOURLY-FICA EXEMPT")</f>
        <v xml:space="preserve">          6008 - STUDENT HOURLY-FICA EXEMPT</v>
      </c>
      <c r="C39" s="11"/>
      <c r="D39" s="7"/>
      <c r="E39" s="2"/>
      <c r="F39" s="6">
        <f t="shared" si="22"/>
        <v>0</v>
      </c>
      <c r="G39" s="2"/>
      <c r="H39" s="7">
        <v>2683.5</v>
      </c>
      <c r="I39" s="2"/>
      <c r="J39" s="6">
        <f t="shared" si="23"/>
        <v>3.3946735945754043E-2</v>
      </c>
      <c r="K39" s="2"/>
      <c r="L39" s="7">
        <f t="shared" si="24"/>
        <v>-2683.5</v>
      </c>
      <c r="M39" s="2"/>
      <c r="N39" s="6">
        <f t="shared" si="25"/>
        <v>-1</v>
      </c>
      <c r="O39" s="11"/>
      <c r="P39" s="7"/>
      <c r="Q39" s="2"/>
      <c r="R39" s="6">
        <f t="shared" si="26"/>
        <v>0</v>
      </c>
      <c r="S39" s="2"/>
      <c r="T39" s="7">
        <v>4768.5</v>
      </c>
      <c r="U39" s="2"/>
      <c r="V39" s="6">
        <f t="shared" si="27"/>
        <v>3.7927368909579193E-2</v>
      </c>
      <c r="W39" s="2"/>
      <c r="X39" s="7">
        <f t="shared" si="28"/>
        <v>-4768.5</v>
      </c>
      <c r="Y39" s="2"/>
      <c r="Z39" s="6">
        <f t="shared" si="29"/>
        <v>-1</v>
      </c>
    </row>
    <row r="40" spans="1:26" s="28" customFormat="1" outlineLevel="1" collapsed="1" x14ac:dyDescent="0.25">
      <c r="A40" s="27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9" si="30">IF(D$12=0,0,D40/D$12)</f>
        <v>0</v>
      </c>
      <c r="G40" s="1"/>
      <c r="H40" s="1">
        <f>SUM(OSRRefH22_2x_0)</f>
        <v>2229.12</v>
      </c>
      <c r="I40" s="1"/>
      <c r="J40" s="5">
        <f t="shared" ref="J40:J59" si="31">IF(H$12=0,0,H40/H$12)</f>
        <v>2.8198750896739049E-2</v>
      </c>
      <c r="K40" s="1"/>
      <c r="L40" s="1">
        <f t="shared" ref="L40:L59" si="32">+D40-H40</f>
        <v>-2229.12</v>
      </c>
      <c r="M40" s="1"/>
      <c r="N40" s="5">
        <f t="shared" ref="N40:N59" si="33">IF(H40=0,0,L40/H40)</f>
        <v>-1</v>
      </c>
      <c r="O40" s="14"/>
      <c r="P40" s="1">
        <f>SUM(OSRRefP22_2x_0)</f>
        <v>0</v>
      </c>
      <c r="Q40" s="1"/>
      <c r="R40" s="5">
        <f t="shared" ref="R40:R59" si="34">IF(P$12=0,0,P40/P$12)</f>
        <v>0</v>
      </c>
      <c r="S40" s="1"/>
      <c r="T40" s="1">
        <f>SUM(OSRRefT22_2x_0)</f>
        <v>2651.81</v>
      </c>
      <c r="U40" s="1"/>
      <c r="V40" s="5">
        <f t="shared" ref="V40:V59" si="35">IF(T$12=0,0,T40/T$12)</f>
        <v>2.1091784869059705E-2</v>
      </c>
      <c r="W40" s="1"/>
      <c r="X40" s="1">
        <f t="shared" ref="X40:X59" si="36">+P40-T40</f>
        <v>-2651.81</v>
      </c>
      <c r="Y40" s="1"/>
      <c r="Z40" s="5">
        <f t="shared" ref="Z40:Z59" si="37">IF(T40=0,0,X40/T40)</f>
        <v>-1</v>
      </c>
    </row>
    <row r="41" spans="1:26" s="24" customFormat="1" hidden="1" outlineLevel="2" x14ac:dyDescent="0.25">
      <c r="A41" s="29"/>
      <c r="B41" s="11" t="str">
        <f>CONCATENATE("          ", "6362", " - ", "ADVERTISING EXPENSE")</f>
        <v xml:space="preserve">          6362 - ADVERTISING EXPENSE</v>
      </c>
      <c r="C41" s="11"/>
      <c r="D41" s="7"/>
      <c r="E41" s="2"/>
      <c r="F41" s="6">
        <f t="shared" si="30"/>
        <v>0</v>
      </c>
      <c r="G41" s="2"/>
      <c r="H41" s="7">
        <v>2229.12</v>
      </c>
      <c r="I41" s="2"/>
      <c r="J41" s="6">
        <f t="shared" si="31"/>
        <v>2.8198750896739049E-2</v>
      </c>
      <c r="K41" s="2"/>
      <c r="L41" s="7">
        <f t="shared" si="32"/>
        <v>-2229.12</v>
      </c>
      <c r="M41" s="2"/>
      <c r="N41" s="6">
        <f t="shared" si="33"/>
        <v>-1</v>
      </c>
      <c r="O41" s="11"/>
      <c r="P41" s="7"/>
      <c r="Q41" s="2"/>
      <c r="R41" s="6">
        <f t="shared" si="34"/>
        <v>0</v>
      </c>
      <c r="S41" s="2"/>
      <c r="T41" s="7">
        <v>2651.81</v>
      </c>
      <c r="U41" s="2"/>
      <c r="V41" s="6">
        <f t="shared" si="35"/>
        <v>2.1091784869059705E-2</v>
      </c>
      <c r="W41" s="2"/>
      <c r="X41" s="7">
        <f t="shared" si="36"/>
        <v>-2651.81</v>
      </c>
      <c r="Y41" s="2"/>
      <c r="Z41" s="6">
        <f t="shared" si="37"/>
        <v>-1</v>
      </c>
    </row>
    <row r="42" spans="1:26" s="28" customFormat="1" outlineLevel="1" collapsed="1" x14ac:dyDescent="0.25">
      <c r="A42" s="27"/>
      <c r="B42" s="14" t="str">
        <f>CONCATENATE("     ","Bank/card Fees                                    ")</f>
        <v xml:space="preserve">     Bank/card Fees                                    </v>
      </c>
      <c r="C42" s="14"/>
      <c r="D42" s="1">
        <f>SUM(OSRRefD22_3x_0)</f>
        <v>0</v>
      </c>
      <c r="E42" s="1"/>
      <c r="F42" s="5">
        <f t="shared" si="30"/>
        <v>0</v>
      </c>
      <c r="G42" s="1"/>
      <c r="H42" s="1">
        <f>SUM(OSRRefH22_3x_0)</f>
        <v>6.14</v>
      </c>
      <c r="I42" s="1"/>
      <c r="J42" s="5">
        <f t="shared" si="31"/>
        <v>7.7672054669994332E-5</v>
      </c>
      <c r="K42" s="1"/>
      <c r="L42" s="1">
        <f t="shared" si="32"/>
        <v>-6.14</v>
      </c>
      <c r="M42" s="1"/>
      <c r="N42" s="5">
        <f t="shared" si="33"/>
        <v>-1</v>
      </c>
      <c r="O42" s="14"/>
      <c r="P42" s="1">
        <f>SUM(OSRRefP22_3x_0)</f>
        <v>0</v>
      </c>
      <c r="Q42" s="1"/>
      <c r="R42" s="5">
        <f t="shared" si="34"/>
        <v>0</v>
      </c>
      <c r="S42" s="1"/>
      <c r="T42" s="1">
        <f>SUM(OSRRefT22_3x_0)</f>
        <v>6.34</v>
      </c>
      <c r="U42" s="1"/>
      <c r="V42" s="5">
        <f t="shared" si="35"/>
        <v>5.0426658044821658E-5</v>
      </c>
      <c r="W42" s="1"/>
      <c r="X42" s="1">
        <f t="shared" si="36"/>
        <v>-6.34</v>
      </c>
      <c r="Y42" s="1"/>
      <c r="Z42" s="5">
        <f t="shared" si="37"/>
        <v>-1</v>
      </c>
    </row>
    <row r="43" spans="1:26" s="24" customFormat="1" hidden="1" outlineLevel="2" x14ac:dyDescent="0.25">
      <c r="A43" s="29"/>
      <c r="B43" s="11" t="str">
        <f>CONCATENATE("          ", "6381", " - ", "BANK/CREDIT CARD FEES")</f>
        <v xml:space="preserve">          6381 - BANK/CREDIT CARD FEES</v>
      </c>
      <c r="C43" s="11"/>
      <c r="D43" s="7"/>
      <c r="E43" s="2"/>
      <c r="F43" s="6">
        <f t="shared" si="30"/>
        <v>0</v>
      </c>
      <c r="G43" s="2"/>
      <c r="H43" s="7">
        <v>6.14</v>
      </c>
      <c r="I43" s="2"/>
      <c r="J43" s="6">
        <f t="shared" si="31"/>
        <v>7.7672054669994332E-5</v>
      </c>
      <c r="K43" s="2"/>
      <c r="L43" s="7">
        <f t="shared" si="32"/>
        <v>-6.14</v>
      </c>
      <c r="M43" s="2"/>
      <c r="N43" s="6">
        <f t="shared" si="33"/>
        <v>-1</v>
      </c>
      <c r="O43" s="11"/>
      <c r="P43" s="7"/>
      <c r="Q43" s="2"/>
      <c r="R43" s="6">
        <f t="shared" si="34"/>
        <v>0</v>
      </c>
      <c r="S43" s="2"/>
      <c r="T43" s="7">
        <v>6.34</v>
      </c>
      <c r="U43" s="2"/>
      <c r="V43" s="6">
        <f t="shared" si="35"/>
        <v>5.0426658044821658E-5</v>
      </c>
      <c r="W43" s="2"/>
      <c r="X43" s="7">
        <f t="shared" si="36"/>
        <v>-6.34</v>
      </c>
      <c r="Y43" s="2"/>
      <c r="Z43" s="6">
        <f t="shared" si="37"/>
        <v>-1</v>
      </c>
    </row>
    <row r="44" spans="1:26" s="28" customFormat="1" outlineLevel="1" collapsed="1" x14ac:dyDescent="0.25">
      <c r="A44" s="27"/>
      <c r="B44" s="14" t="str">
        <f>CONCATENATE("     ","Depreciation                                      ")</f>
        <v xml:space="preserve">     Depreciation                                      </v>
      </c>
      <c r="C44" s="14"/>
      <c r="D44" s="1">
        <f>SUM(OSRRefD22_4x_0)</f>
        <v>213.02</v>
      </c>
      <c r="E44" s="1"/>
      <c r="F44" s="5">
        <f t="shared" si="30"/>
        <v>0</v>
      </c>
      <c r="G44" s="1"/>
      <c r="H44" s="1">
        <f>SUM(OSRRefH22_4x_0)</f>
        <v>0</v>
      </c>
      <c r="I44" s="1"/>
      <c r="J44" s="5">
        <f t="shared" si="31"/>
        <v>0</v>
      </c>
      <c r="K44" s="1"/>
      <c r="L44" s="1">
        <f t="shared" si="32"/>
        <v>213.02</v>
      </c>
      <c r="M44" s="1"/>
      <c r="N44" s="5">
        <f t="shared" si="33"/>
        <v>0</v>
      </c>
      <c r="O44" s="14"/>
      <c r="P44" s="1">
        <f>SUM(OSRRefP22_4x_0)</f>
        <v>426.04</v>
      </c>
      <c r="Q44" s="1"/>
      <c r="R44" s="5">
        <f t="shared" si="34"/>
        <v>0</v>
      </c>
      <c r="S44" s="1"/>
      <c r="T44" s="1">
        <f>SUM(OSRRefT22_4x_0)</f>
        <v>0</v>
      </c>
      <c r="U44" s="1"/>
      <c r="V44" s="5">
        <f t="shared" si="35"/>
        <v>0</v>
      </c>
      <c r="W44" s="1"/>
      <c r="X44" s="1">
        <f t="shared" si="36"/>
        <v>426.04</v>
      </c>
      <c r="Y44" s="1"/>
      <c r="Z44" s="5">
        <f t="shared" si="37"/>
        <v>0</v>
      </c>
    </row>
    <row r="45" spans="1:26" s="24" customFormat="1" hidden="1" outlineLevel="2" x14ac:dyDescent="0.25">
      <c r="A45" s="29"/>
      <c r="B45" s="11" t="str">
        <f>CONCATENATE("          ", "6322", " - ", "EQUIPMENT DEPRECIATION EXPENSE")</f>
        <v xml:space="preserve">          6322 - EQUIPMENT DEPRECIATION EXPENSE</v>
      </c>
      <c r="C45" s="11"/>
      <c r="D45" s="7">
        <v>213.02</v>
      </c>
      <c r="E45" s="2"/>
      <c r="F45" s="6">
        <f t="shared" si="30"/>
        <v>0</v>
      </c>
      <c r="G45" s="2"/>
      <c r="H45" s="7"/>
      <c r="I45" s="2"/>
      <c r="J45" s="6">
        <f t="shared" si="31"/>
        <v>0</v>
      </c>
      <c r="K45" s="2"/>
      <c r="L45" s="7">
        <f t="shared" si="32"/>
        <v>213.02</v>
      </c>
      <c r="M45" s="2"/>
      <c r="N45" s="6">
        <f t="shared" si="33"/>
        <v>0</v>
      </c>
      <c r="O45" s="11"/>
      <c r="P45" s="7">
        <v>426.04</v>
      </c>
      <c r="Q45" s="2"/>
      <c r="R45" s="6">
        <f t="shared" si="34"/>
        <v>0</v>
      </c>
      <c r="S45" s="2"/>
      <c r="T45" s="7"/>
      <c r="U45" s="2"/>
      <c r="V45" s="6">
        <f t="shared" si="35"/>
        <v>0</v>
      </c>
      <c r="W45" s="2"/>
      <c r="X45" s="7">
        <f t="shared" si="36"/>
        <v>426.04</v>
      </c>
      <c r="Y45" s="2"/>
      <c r="Z45" s="6">
        <f t="shared" si="37"/>
        <v>0</v>
      </c>
    </row>
    <row r="46" spans="1:26" s="28" customFormat="1" outlineLevel="1" collapsed="1" x14ac:dyDescent="0.25">
      <c r="A46" s="27"/>
      <c r="B46" s="14" t="str">
        <f>CONCATENATE("     ","Donations                                         ")</f>
        <v xml:space="preserve">     Donations                                         </v>
      </c>
      <c r="C46" s="14"/>
      <c r="D46" s="1">
        <f>SUM(OSRRefD22_5x_0)</f>
        <v>0</v>
      </c>
      <c r="E46" s="1"/>
      <c r="F46" s="5">
        <f t="shared" si="30"/>
        <v>0</v>
      </c>
      <c r="G46" s="1"/>
      <c r="H46" s="1">
        <f>SUM(OSRRefH22_5x_0)</f>
        <v>1827.06</v>
      </c>
      <c r="I46" s="1"/>
      <c r="J46" s="5">
        <f t="shared" si="31"/>
        <v>2.3112622834749161E-2</v>
      </c>
      <c r="K46" s="1"/>
      <c r="L46" s="1">
        <f t="shared" si="32"/>
        <v>-1827.06</v>
      </c>
      <c r="M46" s="1"/>
      <c r="N46" s="5">
        <f t="shared" si="33"/>
        <v>-1</v>
      </c>
      <c r="O46" s="14"/>
      <c r="P46" s="1">
        <f>SUM(OSRRefP22_5x_0)</f>
        <v>0</v>
      </c>
      <c r="Q46" s="1"/>
      <c r="R46" s="5">
        <f t="shared" si="34"/>
        <v>0</v>
      </c>
      <c r="S46" s="1"/>
      <c r="T46" s="1">
        <f>SUM(OSRRefT22_5x_0)</f>
        <v>1827.06</v>
      </c>
      <c r="U46" s="1"/>
      <c r="V46" s="5">
        <f t="shared" si="35"/>
        <v>1.4531944770878841E-2</v>
      </c>
      <c r="W46" s="1"/>
      <c r="X46" s="1">
        <f t="shared" si="36"/>
        <v>-1827.06</v>
      </c>
      <c r="Y46" s="1"/>
      <c r="Z46" s="5">
        <f t="shared" si="37"/>
        <v>-1</v>
      </c>
    </row>
    <row r="47" spans="1:26" s="24" customFormat="1" hidden="1" outlineLevel="2" x14ac:dyDescent="0.25">
      <c r="A47" s="29"/>
      <c r="B47" s="11" t="str">
        <f>CONCATENATE("          ", "6399", " - ", "DONATION-ON CAMPUS")</f>
        <v xml:space="preserve">          6399 - DONATION-ON CAMPUS</v>
      </c>
      <c r="C47" s="11"/>
      <c r="D47" s="7"/>
      <c r="E47" s="2"/>
      <c r="F47" s="6">
        <f t="shared" si="30"/>
        <v>0</v>
      </c>
      <c r="G47" s="2"/>
      <c r="H47" s="7">
        <v>1827.06</v>
      </c>
      <c r="I47" s="2"/>
      <c r="J47" s="6">
        <f t="shared" si="31"/>
        <v>2.3112622834749161E-2</v>
      </c>
      <c r="K47" s="2"/>
      <c r="L47" s="7">
        <f t="shared" si="32"/>
        <v>-1827.06</v>
      </c>
      <c r="M47" s="2"/>
      <c r="N47" s="6">
        <f t="shared" si="33"/>
        <v>-1</v>
      </c>
      <c r="O47" s="11"/>
      <c r="P47" s="7"/>
      <c r="Q47" s="2"/>
      <c r="R47" s="6">
        <f t="shared" si="34"/>
        <v>0</v>
      </c>
      <c r="S47" s="2"/>
      <c r="T47" s="7">
        <v>1827.06</v>
      </c>
      <c r="U47" s="2"/>
      <c r="V47" s="6">
        <f t="shared" si="35"/>
        <v>1.4531944770878841E-2</v>
      </c>
      <c r="W47" s="2"/>
      <c r="X47" s="7">
        <f t="shared" si="36"/>
        <v>-1827.06</v>
      </c>
      <c r="Y47" s="2"/>
      <c r="Z47" s="6">
        <f t="shared" si="37"/>
        <v>-1</v>
      </c>
    </row>
    <row r="48" spans="1:26" s="28" customFormat="1" outlineLevel="1" collapsed="1" x14ac:dyDescent="0.25">
      <c r="A48" s="27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SUM(OSRRefD22_6x_0)</f>
        <v>20</v>
      </c>
      <c r="E48" s="1"/>
      <c r="F48" s="5">
        <f t="shared" si="30"/>
        <v>0</v>
      </c>
      <c r="G48" s="1"/>
      <c r="H48" s="1">
        <f>SUM(OSRRefH22_6x_0)</f>
        <v>732.61</v>
      </c>
      <c r="I48" s="1"/>
      <c r="J48" s="5">
        <f t="shared" si="31"/>
        <v>9.2676423406815242E-3</v>
      </c>
      <c r="K48" s="1"/>
      <c r="L48" s="1">
        <f t="shared" si="32"/>
        <v>-712.61</v>
      </c>
      <c r="M48" s="1"/>
      <c r="N48" s="5">
        <f t="shared" si="33"/>
        <v>-0.97270034534063143</v>
      </c>
      <c r="O48" s="14"/>
      <c r="P48" s="1">
        <f>SUM(OSRRefP22_6x_0)</f>
        <v>20</v>
      </c>
      <c r="Q48" s="1"/>
      <c r="R48" s="5">
        <f t="shared" si="34"/>
        <v>0</v>
      </c>
      <c r="S48" s="1"/>
      <c r="T48" s="1">
        <f>SUM(OSRRefT22_6x_0)</f>
        <v>732.61</v>
      </c>
      <c r="U48" s="1"/>
      <c r="V48" s="5">
        <f t="shared" si="35"/>
        <v>5.8269832729048576E-3</v>
      </c>
      <c r="W48" s="1"/>
      <c r="X48" s="1">
        <f t="shared" si="36"/>
        <v>-712.61</v>
      </c>
      <c r="Y48" s="1"/>
      <c r="Z48" s="5">
        <f t="shared" si="37"/>
        <v>-0.97270034534063143</v>
      </c>
    </row>
    <row r="49" spans="1:26" s="24" customFormat="1" hidden="1" outlineLevel="2" x14ac:dyDescent="0.25">
      <c r="A49" s="29"/>
      <c r="B49" s="11" t="str">
        <f>CONCATENATE("          ", "6351", " - ", "EQUIPMENT RENTAL")</f>
        <v xml:space="preserve">          6351 - EQUIPMENT RENTAL</v>
      </c>
      <c r="C49" s="11"/>
      <c r="D49" s="7">
        <v>20</v>
      </c>
      <c r="E49" s="2"/>
      <c r="F49" s="6">
        <f t="shared" si="30"/>
        <v>0</v>
      </c>
      <c r="G49" s="2"/>
      <c r="H49" s="7">
        <v>732.61</v>
      </c>
      <c r="I49" s="2"/>
      <c r="J49" s="6">
        <f t="shared" si="31"/>
        <v>9.2676423406815242E-3</v>
      </c>
      <c r="K49" s="2"/>
      <c r="L49" s="7">
        <f t="shared" si="32"/>
        <v>-712.61</v>
      </c>
      <c r="M49" s="2"/>
      <c r="N49" s="6">
        <f t="shared" si="33"/>
        <v>-0.97270034534063143</v>
      </c>
      <c r="O49" s="11"/>
      <c r="P49" s="7">
        <v>20</v>
      </c>
      <c r="Q49" s="2"/>
      <c r="R49" s="6">
        <f t="shared" si="34"/>
        <v>0</v>
      </c>
      <c r="S49" s="2"/>
      <c r="T49" s="7">
        <v>732.61</v>
      </c>
      <c r="U49" s="2"/>
      <c r="V49" s="6">
        <f t="shared" si="35"/>
        <v>5.8269832729048576E-3</v>
      </c>
      <c r="W49" s="2"/>
      <c r="X49" s="7">
        <f t="shared" si="36"/>
        <v>-712.61</v>
      </c>
      <c r="Y49" s="2"/>
      <c r="Z49" s="6">
        <f t="shared" si="37"/>
        <v>-0.97270034534063143</v>
      </c>
    </row>
    <row r="50" spans="1:26" s="28" customFormat="1" outlineLevel="1" collapsed="1" x14ac:dyDescent="0.25">
      <c r="A50" s="27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SUM(OSRRefD22_7x_0)</f>
        <v>0</v>
      </c>
      <c r="E50" s="1"/>
      <c r="F50" s="5">
        <f t="shared" si="30"/>
        <v>0</v>
      </c>
      <c r="G50" s="1"/>
      <c r="H50" s="1">
        <f>SUM(OSRRefH22_7x_0)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4"/>
      <c r="P50" s="1">
        <f>SUM(OSRRefP22_7x_0)</f>
        <v>1439.55</v>
      </c>
      <c r="Q50" s="1"/>
      <c r="R50" s="5">
        <f t="shared" si="34"/>
        <v>0</v>
      </c>
      <c r="S50" s="1"/>
      <c r="T50" s="1">
        <f>SUM(OSRRefT22_7x_0)</f>
        <v>1517.11</v>
      </c>
      <c r="U50" s="1"/>
      <c r="V50" s="5">
        <f t="shared" si="35"/>
        <v>1.2066685676085076E-2</v>
      </c>
      <c r="W50" s="1"/>
      <c r="X50" s="1">
        <f t="shared" si="36"/>
        <v>-77.559999999999945</v>
      </c>
      <c r="Y50" s="1"/>
      <c r="Z50" s="5">
        <f t="shared" si="37"/>
        <v>-5.1123517740967996E-2</v>
      </c>
    </row>
    <row r="51" spans="1:26" s="24" customFormat="1" hidden="1" outlineLevel="2" x14ac:dyDescent="0.25">
      <c r="A51" s="29"/>
      <c r="B51" s="11" t="str">
        <f>CONCATENATE("          ", "6279", " - ", "GENERAL EXPENSE")</f>
        <v xml:space="preserve">          6279 - GENERAL EXPENSE</v>
      </c>
      <c r="C51" s="11"/>
      <c r="D51" s="7"/>
      <c r="E51" s="2"/>
      <c r="F51" s="6">
        <f t="shared" si="30"/>
        <v>0</v>
      </c>
      <c r="G51" s="2"/>
      <c r="H51" s="7"/>
      <c r="I51" s="2"/>
      <c r="J51" s="6">
        <f t="shared" si="31"/>
        <v>0</v>
      </c>
      <c r="K51" s="2"/>
      <c r="L51" s="7">
        <f t="shared" si="32"/>
        <v>0</v>
      </c>
      <c r="M51" s="2"/>
      <c r="N51" s="6">
        <f t="shared" si="33"/>
        <v>0</v>
      </c>
      <c r="O51" s="11"/>
      <c r="P51" s="7">
        <v>1439.55</v>
      </c>
      <c r="Q51" s="2"/>
      <c r="R51" s="6">
        <f t="shared" si="34"/>
        <v>0</v>
      </c>
      <c r="S51" s="2"/>
      <c r="T51" s="7">
        <v>1517.11</v>
      </c>
      <c r="U51" s="2"/>
      <c r="V51" s="6">
        <f t="shared" si="35"/>
        <v>1.2066685676085076E-2</v>
      </c>
      <c r="W51" s="2"/>
      <c r="X51" s="7">
        <f t="shared" si="36"/>
        <v>-77.559999999999945</v>
      </c>
      <c r="Y51" s="2"/>
      <c r="Z51" s="6">
        <f t="shared" si="37"/>
        <v>-5.1123517740967996E-2</v>
      </c>
    </row>
    <row r="52" spans="1:26" s="28" customFormat="1" outlineLevel="1" collapsed="1" x14ac:dyDescent="0.25">
      <c r="A52" s="27"/>
      <c r="B52" s="14" t="str">
        <f>CONCATENATE("     ","Insurance                                         ")</f>
        <v xml:space="preserve">     Insurance                                         </v>
      </c>
      <c r="C52" s="14"/>
      <c r="D52" s="1">
        <f>SUM(OSRRefD22_8x_0)</f>
        <v>5.9</v>
      </c>
      <c r="E52" s="1"/>
      <c r="F52" s="5">
        <f t="shared" si="30"/>
        <v>0</v>
      </c>
      <c r="G52" s="1"/>
      <c r="H52" s="1">
        <f>SUM(OSRRefH22_8x_0)</f>
        <v>5.9</v>
      </c>
      <c r="I52" s="1"/>
      <c r="J52" s="5">
        <f t="shared" si="31"/>
        <v>7.4636013445108574E-5</v>
      </c>
      <c r="K52" s="1"/>
      <c r="L52" s="1">
        <f t="shared" si="32"/>
        <v>0</v>
      </c>
      <c r="M52" s="1"/>
      <c r="N52" s="5">
        <f t="shared" si="33"/>
        <v>0</v>
      </c>
      <c r="O52" s="14"/>
      <c r="P52" s="1">
        <f>SUM(OSRRefP22_8x_0)</f>
        <v>11.8</v>
      </c>
      <c r="Q52" s="1"/>
      <c r="R52" s="5">
        <f t="shared" si="34"/>
        <v>0</v>
      </c>
      <c r="S52" s="1"/>
      <c r="T52" s="1">
        <f>SUM(OSRRefT22_8x_0)</f>
        <v>11.8</v>
      </c>
      <c r="U52" s="1"/>
      <c r="V52" s="5">
        <f t="shared" si="35"/>
        <v>9.3854032323169653E-5</v>
      </c>
      <c r="W52" s="1"/>
      <c r="X52" s="1">
        <f t="shared" si="36"/>
        <v>0</v>
      </c>
      <c r="Y52" s="1"/>
      <c r="Z52" s="5">
        <f t="shared" si="37"/>
        <v>0</v>
      </c>
    </row>
    <row r="53" spans="1:26" s="24" customFormat="1" hidden="1" outlineLevel="2" x14ac:dyDescent="0.25">
      <c r="A53" s="29"/>
      <c r="B53" s="11" t="str">
        <f>CONCATENATE("          ", "6314", " - ", "LIABILITY INSURANCE")</f>
        <v xml:space="preserve">          6314 - LIABILITY INSURANCE</v>
      </c>
      <c r="C53" s="11"/>
      <c r="D53" s="7">
        <v>5.9</v>
      </c>
      <c r="E53" s="2"/>
      <c r="F53" s="6">
        <f t="shared" si="30"/>
        <v>0</v>
      </c>
      <c r="G53" s="2"/>
      <c r="H53" s="7">
        <v>5.9</v>
      </c>
      <c r="I53" s="2"/>
      <c r="J53" s="6">
        <f t="shared" si="31"/>
        <v>7.4636013445108574E-5</v>
      </c>
      <c r="K53" s="2"/>
      <c r="L53" s="7">
        <f t="shared" si="32"/>
        <v>0</v>
      </c>
      <c r="M53" s="2"/>
      <c r="N53" s="6">
        <f t="shared" si="33"/>
        <v>0</v>
      </c>
      <c r="O53" s="11"/>
      <c r="P53" s="7">
        <v>11.8</v>
      </c>
      <c r="Q53" s="2"/>
      <c r="R53" s="6">
        <f t="shared" si="34"/>
        <v>0</v>
      </c>
      <c r="S53" s="2"/>
      <c r="T53" s="7">
        <v>11.8</v>
      </c>
      <c r="U53" s="2"/>
      <c r="V53" s="6">
        <f t="shared" si="35"/>
        <v>9.3854032323169653E-5</v>
      </c>
      <c r="W53" s="2"/>
      <c r="X53" s="7">
        <f t="shared" si="36"/>
        <v>0</v>
      </c>
      <c r="Y53" s="2"/>
      <c r="Z53" s="6">
        <f t="shared" si="37"/>
        <v>0</v>
      </c>
    </row>
    <row r="54" spans="1:26" s="28" customFormat="1" outlineLevel="1" collapsed="1" x14ac:dyDescent="0.25">
      <c r="A54" s="27"/>
      <c r="B54" s="14" t="str">
        <f>CONCATENATE("     ","R/H Commissions                                   ")</f>
        <v xml:space="preserve">     R/H Commissions                                   </v>
      </c>
      <c r="C54" s="14"/>
      <c r="D54" s="1">
        <f>SUM(OSRRefD22_9x_0)</f>
        <v>0</v>
      </c>
      <c r="E54" s="1"/>
      <c r="F54" s="5">
        <f t="shared" si="30"/>
        <v>0</v>
      </c>
      <c r="G54" s="1"/>
      <c r="H54" s="1">
        <f>SUM(OSRRefH22_9x_0)</f>
        <v>6259.91</v>
      </c>
      <c r="I54" s="1"/>
      <c r="J54" s="5">
        <f t="shared" si="31"/>
        <v>7.9188936766977885E-2</v>
      </c>
      <c r="K54" s="1"/>
      <c r="L54" s="1">
        <f t="shared" si="32"/>
        <v>-6259.91</v>
      </c>
      <c r="M54" s="1"/>
      <c r="N54" s="5">
        <f t="shared" si="33"/>
        <v>-1</v>
      </c>
      <c r="O54" s="14"/>
      <c r="P54" s="1">
        <f>SUM(OSRRefP22_9x_0)</f>
        <v>0</v>
      </c>
      <c r="Q54" s="1"/>
      <c r="R54" s="5">
        <f t="shared" si="34"/>
        <v>0</v>
      </c>
      <c r="S54" s="1"/>
      <c r="T54" s="1">
        <f>SUM(OSRRefT22_9x_0)</f>
        <v>9941.2000000000007</v>
      </c>
      <c r="U54" s="1"/>
      <c r="V54" s="5">
        <f t="shared" si="35"/>
        <v>7.9069636112804598E-2</v>
      </c>
      <c r="W54" s="1"/>
      <c r="X54" s="1">
        <f t="shared" si="36"/>
        <v>-9941.2000000000007</v>
      </c>
      <c r="Y54" s="1"/>
      <c r="Z54" s="5">
        <f t="shared" si="37"/>
        <v>-1</v>
      </c>
    </row>
    <row r="55" spans="1:26" s="24" customFormat="1" hidden="1" outlineLevel="2" x14ac:dyDescent="0.25">
      <c r="A55" s="29"/>
      <c r="B55" s="11" t="str">
        <f>CONCATENATE("          ", "6387", " - ", "COMMISSION DUE HOUSING")</f>
        <v xml:space="preserve">          6387 - COMMISSION DUE HOUSING</v>
      </c>
      <c r="C55" s="11"/>
      <c r="D55" s="7"/>
      <c r="E55" s="2"/>
      <c r="F55" s="6">
        <f t="shared" si="30"/>
        <v>0</v>
      </c>
      <c r="G55" s="2"/>
      <c r="H55" s="7">
        <v>6259.91</v>
      </c>
      <c r="I55" s="2"/>
      <c r="J55" s="6">
        <f t="shared" si="31"/>
        <v>7.9188936766977885E-2</v>
      </c>
      <c r="K55" s="2"/>
      <c r="L55" s="7">
        <f t="shared" si="32"/>
        <v>-6259.91</v>
      </c>
      <c r="M55" s="2"/>
      <c r="N55" s="6">
        <f t="shared" si="33"/>
        <v>-1</v>
      </c>
      <c r="O55" s="11"/>
      <c r="P55" s="7"/>
      <c r="Q55" s="2"/>
      <c r="R55" s="6">
        <f t="shared" si="34"/>
        <v>0</v>
      </c>
      <c r="S55" s="2"/>
      <c r="T55" s="7">
        <v>9941.2000000000007</v>
      </c>
      <c r="U55" s="2"/>
      <c r="V55" s="6">
        <f t="shared" si="35"/>
        <v>7.9069636112804598E-2</v>
      </c>
      <c r="W55" s="2"/>
      <c r="X55" s="7">
        <f t="shared" si="36"/>
        <v>-9941.2000000000007</v>
      </c>
      <c r="Y55" s="2"/>
      <c r="Z55" s="6">
        <f t="shared" si="37"/>
        <v>-1</v>
      </c>
    </row>
    <row r="56" spans="1:26" s="28" customFormat="1" outlineLevel="1" collapsed="1" x14ac:dyDescent="0.25">
      <c r="A56" s="27"/>
      <c r="B56" s="14" t="str">
        <f>CONCATENATE("     ","Services                                          ")</f>
        <v xml:space="preserve">     Services                                          </v>
      </c>
      <c r="C56" s="14"/>
      <c r="D56" s="1">
        <f>SUM(OSRRefD22_10x_0)</f>
        <v>71.77</v>
      </c>
      <c r="E56" s="1"/>
      <c r="F56" s="5">
        <f t="shared" si="30"/>
        <v>0</v>
      </c>
      <c r="G56" s="1"/>
      <c r="H56" s="1">
        <f>SUM(OSRRefH22_10x_0)</f>
        <v>6240.07</v>
      </c>
      <c r="I56" s="1"/>
      <c r="J56" s="5">
        <f t="shared" si="31"/>
        <v>7.8937957359053998E-2</v>
      </c>
      <c r="K56" s="1"/>
      <c r="L56" s="1">
        <f t="shared" si="32"/>
        <v>-6168.2999999999993</v>
      </c>
      <c r="M56" s="1"/>
      <c r="N56" s="5">
        <f t="shared" si="33"/>
        <v>-0.98849852645883773</v>
      </c>
      <c r="O56" s="14"/>
      <c r="P56" s="1">
        <f>SUM(OSRRefP22_10x_0)</f>
        <v>741.41</v>
      </c>
      <c r="Q56" s="1"/>
      <c r="R56" s="5">
        <f t="shared" si="34"/>
        <v>0</v>
      </c>
      <c r="S56" s="1"/>
      <c r="T56" s="1">
        <f>SUM(OSRRefT22_10x_0)</f>
        <v>13208.210000000001</v>
      </c>
      <c r="U56" s="1"/>
      <c r="V56" s="5">
        <f t="shared" si="35"/>
        <v>0.10505455663315362</v>
      </c>
      <c r="W56" s="1"/>
      <c r="X56" s="1">
        <f t="shared" si="36"/>
        <v>-12466.800000000001</v>
      </c>
      <c r="Y56" s="1"/>
      <c r="Z56" s="5">
        <f t="shared" si="37"/>
        <v>-0.94386748847875679</v>
      </c>
    </row>
    <row r="57" spans="1:26" s="24" customFormat="1" hidden="1" outlineLevel="2" x14ac:dyDescent="0.25">
      <c r="A57" s="29"/>
      <c r="B57" s="11" t="str">
        <f>CONCATENATE("          ", "6282", " - ", "JANITORIAL/EXTERMINATOR EXPENS")</f>
        <v xml:space="preserve">          6282 - JANITORIAL/EXTERMINATOR EXPENS</v>
      </c>
      <c r="C57" s="11"/>
      <c r="D57" s="7">
        <v>71.77</v>
      </c>
      <c r="E57" s="2"/>
      <c r="F57" s="6">
        <f t="shared" si="30"/>
        <v>0</v>
      </c>
      <c r="G57" s="2"/>
      <c r="H57" s="7">
        <v>819.64</v>
      </c>
      <c r="I57" s="2"/>
      <c r="J57" s="6">
        <f t="shared" si="31"/>
        <v>1.0368586789855727E-2</v>
      </c>
      <c r="K57" s="2"/>
      <c r="L57" s="7">
        <f t="shared" si="32"/>
        <v>-747.87</v>
      </c>
      <c r="M57" s="2"/>
      <c r="N57" s="6">
        <f t="shared" si="33"/>
        <v>-0.91243716753696746</v>
      </c>
      <c r="O57" s="11"/>
      <c r="P57" s="7">
        <v>741.41</v>
      </c>
      <c r="Q57" s="2"/>
      <c r="R57" s="6">
        <f t="shared" si="34"/>
        <v>0</v>
      </c>
      <c r="S57" s="2"/>
      <c r="T57" s="7">
        <v>1489.28</v>
      </c>
      <c r="U57" s="2"/>
      <c r="V57" s="6">
        <f t="shared" si="35"/>
        <v>1.1845333326970346E-2</v>
      </c>
      <c r="W57" s="2"/>
      <c r="X57" s="7">
        <f t="shared" si="36"/>
        <v>-747.87</v>
      </c>
      <c r="Y57" s="2"/>
      <c r="Z57" s="6">
        <f t="shared" si="37"/>
        <v>-0.50216883326171036</v>
      </c>
    </row>
    <row r="58" spans="1:26" s="24" customFormat="1" hidden="1" outlineLevel="2" x14ac:dyDescent="0.25">
      <c r="A58" s="29"/>
      <c r="B58" s="11" t="str">
        <f>CONCATENATE("          ", "6285", " - ", "JANITORIAL SERVICES")</f>
        <v xml:space="preserve">          6285 - JANITORIAL SERVICES</v>
      </c>
      <c r="C58" s="11"/>
      <c r="D58" s="7"/>
      <c r="E58" s="2"/>
      <c r="F58" s="6">
        <f t="shared" si="30"/>
        <v>0</v>
      </c>
      <c r="G58" s="2"/>
      <c r="H58" s="7">
        <v>3639.27</v>
      </c>
      <c r="I58" s="2"/>
      <c r="J58" s="6">
        <f t="shared" si="31"/>
        <v>4.6037390618708519E-2</v>
      </c>
      <c r="K58" s="2"/>
      <c r="L58" s="7">
        <f t="shared" si="32"/>
        <v>-3639.27</v>
      </c>
      <c r="M58" s="2"/>
      <c r="N58" s="6">
        <f t="shared" si="33"/>
        <v>-1</v>
      </c>
      <c r="O58" s="11"/>
      <c r="P58" s="7"/>
      <c r="Q58" s="2"/>
      <c r="R58" s="6">
        <f t="shared" si="34"/>
        <v>0</v>
      </c>
      <c r="S58" s="2"/>
      <c r="T58" s="7">
        <v>8664.0400000000009</v>
      </c>
      <c r="U58" s="2"/>
      <c r="V58" s="6">
        <f t="shared" si="35"/>
        <v>6.891144832281651E-2</v>
      </c>
      <c r="W58" s="2"/>
      <c r="X58" s="7">
        <f t="shared" si="36"/>
        <v>-8664.0400000000009</v>
      </c>
      <c r="Y58" s="2"/>
      <c r="Z58" s="6">
        <f t="shared" si="37"/>
        <v>-1</v>
      </c>
    </row>
    <row r="59" spans="1:26" s="24" customFormat="1" hidden="1" outlineLevel="2" x14ac:dyDescent="0.25">
      <c r="A59" s="29"/>
      <c r="B59" s="11" t="str">
        <f>CONCATENATE("          ", "6286", " - ", "LAUNDRY EXPENSE")</f>
        <v xml:space="preserve">          6286 - LAUNDRY EXPENSE</v>
      </c>
      <c r="C59" s="11"/>
      <c r="D59" s="7"/>
      <c r="E59" s="2"/>
      <c r="F59" s="6">
        <f t="shared" si="30"/>
        <v>0</v>
      </c>
      <c r="G59" s="2"/>
      <c r="H59" s="7">
        <v>1781.16</v>
      </c>
      <c r="I59" s="2"/>
      <c r="J59" s="6">
        <f t="shared" si="31"/>
        <v>2.253197995048976E-2</v>
      </c>
      <c r="K59" s="2"/>
      <c r="L59" s="7">
        <f t="shared" si="32"/>
        <v>-1781.16</v>
      </c>
      <c r="M59" s="2"/>
      <c r="N59" s="6">
        <f t="shared" si="33"/>
        <v>-1</v>
      </c>
      <c r="O59" s="11"/>
      <c r="P59" s="7"/>
      <c r="Q59" s="2"/>
      <c r="R59" s="6">
        <f t="shared" si="34"/>
        <v>0</v>
      </c>
      <c r="S59" s="2"/>
      <c r="T59" s="7">
        <v>3054.89</v>
      </c>
      <c r="U59" s="2"/>
      <c r="V59" s="6">
        <f t="shared" si="35"/>
        <v>2.4297774983366757E-2</v>
      </c>
      <c r="W59" s="2"/>
      <c r="X59" s="7">
        <f t="shared" si="36"/>
        <v>-3054.89</v>
      </c>
      <c r="Y59" s="2"/>
      <c r="Z59" s="6">
        <f t="shared" si="37"/>
        <v>-1</v>
      </c>
    </row>
    <row r="60" spans="1:26" s="28" customFormat="1" outlineLevel="1" collapsed="1" x14ac:dyDescent="0.25">
      <c r="A60" s="27"/>
      <c r="B60" s="14" t="str">
        <f>CONCATENATE("     ","Supplies                                          ")</f>
        <v xml:space="preserve">     Supplies                                          </v>
      </c>
      <c r="C60" s="14"/>
      <c r="D60" s="1">
        <f>SUM(OSRRefD22_11x_0)</f>
        <v>57.16</v>
      </c>
      <c r="E60" s="1"/>
      <c r="F60" s="5">
        <f t="shared" ref="F60:F66" si="38">IF(D$12=0,0,D60/D$12)</f>
        <v>0</v>
      </c>
      <c r="G60" s="1"/>
      <c r="H60" s="1">
        <f>SUM(OSRRefH22_11x_0)</f>
        <v>6107.07</v>
      </c>
      <c r="I60" s="1"/>
      <c r="J60" s="5">
        <f t="shared" ref="J60:J66" si="39">IF(H$12=0,0,H60/H$12)</f>
        <v>7.725548451359647E-2</v>
      </c>
      <c r="K60" s="1"/>
      <c r="L60" s="1">
        <f t="shared" ref="L60:L66" si="40">+D60-H60</f>
        <v>-6049.91</v>
      </c>
      <c r="M60" s="1"/>
      <c r="N60" s="5">
        <f t="shared" ref="N60:N66" si="41">IF(H60=0,0,L60/H60)</f>
        <v>-0.99064035617734858</v>
      </c>
      <c r="O60" s="14"/>
      <c r="P60" s="1">
        <f>SUM(OSRRefP22_11x_0)</f>
        <v>57.16</v>
      </c>
      <c r="Q60" s="1"/>
      <c r="R60" s="5">
        <f t="shared" ref="R60:R66" si="42">IF(P$12=0,0,P60/P$12)</f>
        <v>0</v>
      </c>
      <c r="S60" s="1"/>
      <c r="T60" s="1">
        <f>SUM(OSRRefT22_11x_0)</f>
        <v>18195.23</v>
      </c>
      <c r="U60" s="1"/>
      <c r="V60" s="5">
        <f t="shared" ref="V60:V66" si="43">IF(T$12=0,0,T60/T$12)</f>
        <v>0.14471997496165306</v>
      </c>
      <c r="W60" s="1"/>
      <c r="X60" s="1">
        <f t="shared" ref="X60:X66" si="44">+P60-T60</f>
        <v>-18138.07</v>
      </c>
      <c r="Y60" s="1"/>
      <c r="Z60" s="5">
        <f t="shared" ref="Z60:Z66" si="45">IF(T60=0,0,X60/T60)</f>
        <v>-0.99685851731470276</v>
      </c>
    </row>
    <row r="61" spans="1:26" s="24" customFormat="1" hidden="1" outlineLevel="2" x14ac:dyDescent="0.25">
      <c r="A61" s="29"/>
      <c r="B61" s="11" t="str">
        <f>CONCATENATE("          ", "6237", " - ", "JANITORIAL SUPPLIES")</f>
        <v xml:space="preserve">          6237 - JANITORIAL SUPPLIES</v>
      </c>
      <c r="C61" s="11"/>
      <c r="D61" s="7"/>
      <c r="E61" s="2"/>
      <c r="F61" s="6">
        <f t="shared" si="38"/>
        <v>0</v>
      </c>
      <c r="G61" s="2"/>
      <c r="H61" s="7">
        <v>2731.7</v>
      </c>
      <c r="I61" s="2"/>
      <c r="J61" s="6">
        <f t="shared" si="39"/>
        <v>3.4556474225085267E-2</v>
      </c>
      <c r="K61" s="2"/>
      <c r="L61" s="7">
        <f t="shared" si="40"/>
        <v>-2731.7</v>
      </c>
      <c r="M61" s="2"/>
      <c r="N61" s="6">
        <f t="shared" si="41"/>
        <v>-1</v>
      </c>
      <c r="O61" s="11"/>
      <c r="P61" s="7"/>
      <c r="Q61" s="2"/>
      <c r="R61" s="6">
        <f t="shared" si="42"/>
        <v>0</v>
      </c>
      <c r="S61" s="2"/>
      <c r="T61" s="7">
        <v>2731.7</v>
      </c>
      <c r="U61" s="2"/>
      <c r="V61" s="6">
        <f t="shared" si="43"/>
        <v>2.1727208482813773E-2</v>
      </c>
      <c r="W61" s="2"/>
      <c r="X61" s="7">
        <f t="shared" si="44"/>
        <v>-2731.7</v>
      </c>
      <c r="Y61" s="2"/>
      <c r="Z61" s="6">
        <f t="shared" si="45"/>
        <v>-1</v>
      </c>
    </row>
    <row r="62" spans="1:26" s="24" customFormat="1" hidden="1" outlineLevel="2" x14ac:dyDescent="0.25">
      <c r="A62" s="29"/>
      <c r="B62" s="11" t="str">
        <f>CONCATENATE("          ", "6239", " - ", "KITCHEN SUPPLIES")</f>
        <v xml:space="preserve">          6239 - KITCHEN SUPPLIES</v>
      </c>
      <c r="C62" s="11"/>
      <c r="D62" s="7"/>
      <c r="E62" s="2"/>
      <c r="F62" s="6">
        <f t="shared" si="38"/>
        <v>0</v>
      </c>
      <c r="G62" s="2"/>
      <c r="H62" s="7">
        <v>1261.48</v>
      </c>
      <c r="I62" s="2"/>
      <c r="J62" s="6">
        <f t="shared" si="39"/>
        <v>1.5957938684870433E-2</v>
      </c>
      <c r="K62" s="2"/>
      <c r="L62" s="7">
        <f t="shared" si="40"/>
        <v>-1261.48</v>
      </c>
      <c r="M62" s="2"/>
      <c r="N62" s="6">
        <f t="shared" si="41"/>
        <v>-1</v>
      </c>
      <c r="O62" s="11"/>
      <c r="P62" s="7"/>
      <c r="Q62" s="2"/>
      <c r="R62" s="6">
        <f t="shared" si="42"/>
        <v>0</v>
      </c>
      <c r="S62" s="2"/>
      <c r="T62" s="7">
        <v>1739.72</v>
      </c>
      <c r="U62" s="2"/>
      <c r="V62" s="6">
        <f t="shared" si="43"/>
        <v>1.3837265857056332E-2</v>
      </c>
      <c r="W62" s="2"/>
      <c r="X62" s="7">
        <f t="shared" si="44"/>
        <v>-1739.72</v>
      </c>
      <c r="Y62" s="2"/>
      <c r="Z62" s="6">
        <f t="shared" si="45"/>
        <v>-1</v>
      </c>
    </row>
    <row r="63" spans="1:26" s="24" customFormat="1" hidden="1" outlineLevel="2" x14ac:dyDescent="0.25">
      <c r="A63" s="29"/>
      <c r="B63" s="11" t="str">
        <f>CONCATENATE("          ", "6241", " - ", "OFFICE EXPENSE")</f>
        <v xml:space="preserve">          6241 - OFFICE EXPENSE</v>
      </c>
      <c r="C63" s="11"/>
      <c r="D63" s="7">
        <v>57.16</v>
      </c>
      <c r="E63" s="2"/>
      <c r="F63" s="6">
        <f t="shared" si="38"/>
        <v>0</v>
      </c>
      <c r="G63" s="2"/>
      <c r="H63" s="7"/>
      <c r="I63" s="2"/>
      <c r="J63" s="6">
        <f t="shared" si="39"/>
        <v>0</v>
      </c>
      <c r="K63" s="2"/>
      <c r="L63" s="7">
        <f t="shared" si="40"/>
        <v>57.16</v>
      </c>
      <c r="M63" s="2"/>
      <c r="N63" s="6">
        <f t="shared" si="41"/>
        <v>0</v>
      </c>
      <c r="O63" s="11"/>
      <c r="P63" s="7">
        <v>57.16</v>
      </c>
      <c r="Q63" s="2"/>
      <c r="R63" s="6">
        <f t="shared" si="42"/>
        <v>0</v>
      </c>
      <c r="S63" s="2"/>
      <c r="T63" s="7">
        <v>19222.28</v>
      </c>
      <c r="U63" s="2"/>
      <c r="V63" s="6">
        <f t="shared" si="43"/>
        <v>0.15288885495296758</v>
      </c>
      <c r="W63" s="2"/>
      <c r="X63" s="7">
        <f t="shared" si="44"/>
        <v>-19165.12</v>
      </c>
      <c r="Y63" s="2"/>
      <c r="Z63" s="6">
        <f t="shared" si="45"/>
        <v>-0.9970263673195896</v>
      </c>
    </row>
    <row r="64" spans="1:26" s="24" customFormat="1" hidden="1" outlineLevel="2" x14ac:dyDescent="0.25">
      <c r="A64" s="29"/>
      <c r="B64" s="11" t="str">
        <f>CONCATENATE("          ", "6243", " - ", "PAPER SUPPLIES")</f>
        <v xml:space="preserve">          6243 - PAPER SUPPLIES</v>
      </c>
      <c r="C64" s="11"/>
      <c r="D64" s="7"/>
      <c r="E64" s="2"/>
      <c r="F64" s="6">
        <f t="shared" si="38"/>
        <v>0</v>
      </c>
      <c r="G64" s="2"/>
      <c r="H64" s="7">
        <v>1672.89</v>
      </c>
      <c r="I64" s="2"/>
      <c r="J64" s="6">
        <f t="shared" si="39"/>
        <v>2.1162345852913166E-2</v>
      </c>
      <c r="K64" s="2"/>
      <c r="L64" s="7">
        <f t="shared" si="40"/>
        <v>-1672.89</v>
      </c>
      <c r="M64" s="2"/>
      <c r="N64" s="6">
        <f t="shared" si="41"/>
        <v>-1</v>
      </c>
      <c r="O64" s="11"/>
      <c r="P64" s="7"/>
      <c r="Q64" s="2"/>
      <c r="R64" s="6">
        <f t="shared" si="42"/>
        <v>0</v>
      </c>
      <c r="S64" s="2"/>
      <c r="T64" s="7">
        <v>2120.15</v>
      </c>
      <c r="U64" s="2"/>
      <c r="V64" s="6">
        <f t="shared" si="43"/>
        <v>1.6863103951692215E-2</v>
      </c>
      <c r="W64" s="2"/>
      <c r="X64" s="7">
        <f t="shared" si="44"/>
        <v>-2120.15</v>
      </c>
      <c r="Y64" s="2"/>
      <c r="Z64" s="6">
        <f t="shared" si="45"/>
        <v>-1</v>
      </c>
    </row>
    <row r="65" spans="1:26" s="24" customFormat="1" hidden="1" outlineLevel="2" x14ac:dyDescent="0.25">
      <c r="A65" s="29"/>
      <c r="B65" s="11" t="str">
        <f>CONCATENATE("          ", "6245", " - ", "PRINTING")</f>
        <v xml:space="preserve">          6245 - PRINTING</v>
      </c>
      <c r="C65" s="11"/>
      <c r="D65" s="7"/>
      <c r="E65" s="2"/>
      <c r="F65" s="6">
        <f t="shared" si="38"/>
        <v>0</v>
      </c>
      <c r="G65" s="2"/>
      <c r="H65" s="7">
        <v>441</v>
      </c>
      <c r="I65" s="2"/>
      <c r="J65" s="6">
        <f t="shared" si="39"/>
        <v>5.5787257507276065E-3</v>
      </c>
      <c r="K65" s="2"/>
      <c r="L65" s="7">
        <f t="shared" si="40"/>
        <v>-441</v>
      </c>
      <c r="M65" s="2"/>
      <c r="N65" s="6">
        <f t="shared" si="41"/>
        <v>-1</v>
      </c>
      <c r="O65" s="11"/>
      <c r="P65" s="7"/>
      <c r="Q65" s="2"/>
      <c r="R65" s="6">
        <f t="shared" si="42"/>
        <v>0</v>
      </c>
      <c r="S65" s="2"/>
      <c r="T65" s="7">
        <v>441</v>
      </c>
      <c r="U65" s="2"/>
      <c r="V65" s="6">
        <f t="shared" si="43"/>
        <v>3.5075956147896455E-3</v>
      </c>
      <c r="W65" s="2"/>
      <c r="X65" s="7">
        <f t="shared" si="44"/>
        <v>-441</v>
      </c>
      <c r="Y65" s="2"/>
      <c r="Z65" s="6">
        <f t="shared" si="45"/>
        <v>-1</v>
      </c>
    </row>
    <row r="66" spans="1:26" s="24" customFormat="1" hidden="1" outlineLevel="2" x14ac:dyDescent="0.25">
      <c r="A66" s="29"/>
      <c r="B66" s="11" t="str">
        <f>CONCATENATE("          ", "6248", " - ", "UNIFORMS")</f>
        <v xml:space="preserve">          6248 - UNIFORMS</v>
      </c>
      <c r="C66" s="11"/>
      <c r="D66" s="7"/>
      <c r="E66" s="2"/>
      <c r="F66" s="6">
        <f t="shared" si="38"/>
        <v>0</v>
      </c>
      <c r="G66" s="2"/>
      <c r="H66" s="7"/>
      <c r="I66" s="2"/>
      <c r="J66" s="6">
        <f t="shared" si="39"/>
        <v>0</v>
      </c>
      <c r="K66" s="2"/>
      <c r="L66" s="7">
        <f t="shared" si="40"/>
        <v>0</v>
      </c>
      <c r="M66" s="2"/>
      <c r="N66" s="6">
        <f t="shared" si="41"/>
        <v>0</v>
      </c>
      <c r="O66" s="11"/>
      <c r="P66" s="7"/>
      <c r="Q66" s="2"/>
      <c r="R66" s="6">
        <f t="shared" si="42"/>
        <v>0</v>
      </c>
      <c r="S66" s="2"/>
      <c r="T66" s="7">
        <v>-8059.62</v>
      </c>
      <c r="U66" s="2"/>
      <c r="V66" s="6">
        <f t="shared" si="43"/>
        <v>-6.4104053897666491E-2</v>
      </c>
      <c r="W66" s="2"/>
      <c r="X66" s="7">
        <f t="shared" si="44"/>
        <v>8059.62</v>
      </c>
      <c r="Y66" s="2"/>
      <c r="Z66" s="6">
        <f t="shared" si="45"/>
        <v>-1</v>
      </c>
    </row>
    <row r="67" spans="1:26" s="28" customFormat="1" outlineLevel="1" collapsed="1" x14ac:dyDescent="0.25">
      <c r="A67" s="27"/>
      <c r="B67" s="14" t="str">
        <f>CONCATENATE("     ","Telephone/Data Lines                              ")</f>
        <v xml:space="preserve">     Telephone/Data Lines                              </v>
      </c>
      <c r="C67" s="14"/>
      <c r="D67" s="1">
        <f>SUM(OSRRefD22_12x_0)</f>
        <v>109</v>
      </c>
      <c r="E67" s="1"/>
      <c r="F67" s="5">
        <f t="shared" ref="F67:F72" si="46">IF(D$12=0,0,D67/D$12)</f>
        <v>0</v>
      </c>
      <c r="G67" s="1"/>
      <c r="H67" s="1">
        <f>SUM(OSRRefH22_12x_0)</f>
        <v>131.9</v>
      </c>
      <c r="I67" s="1"/>
      <c r="J67" s="5">
        <f t="shared" ref="J67:J72" si="47">IF(H$12=0,0,H67/H$12)</f>
        <v>1.668557656510139E-3</v>
      </c>
      <c r="K67" s="1"/>
      <c r="L67" s="1">
        <f t="shared" ref="L67:L72" si="48">+D67-H67</f>
        <v>-22.900000000000006</v>
      </c>
      <c r="M67" s="1"/>
      <c r="N67" s="5">
        <f t="shared" ref="N67:N72" si="49">IF(H67=0,0,L67/H67)</f>
        <v>-0.17361637604245644</v>
      </c>
      <c r="O67" s="14"/>
      <c r="P67" s="1">
        <f>SUM(OSRRefP22_12x_0)</f>
        <v>218</v>
      </c>
      <c r="Q67" s="1"/>
      <c r="R67" s="5">
        <f t="shared" ref="R67:R72" si="50">IF(P$12=0,0,P67/P$12)</f>
        <v>0</v>
      </c>
      <c r="S67" s="1"/>
      <c r="T67" s="1">
        <f>SUM(OSRRefT22_12x_0)</f>
        <v>161.9</v>
      </c>
      <c r="U67" s="1"/>
      <c r="V67" s="5">
        <f t="shared" ref="V67:V72" si="51">IF(T$12=0,0,T67/T$12)</f>
        <v>1.2877091384000988E-3</v>
      </c>
      <c r="W67" s="1"/>
      <c r="X67" s="1">
        <f t="shared" ref="X67:X72" si="52">+P67-T67</f>
        <v>56.099999999999994</v>
      </c>
      <c r="Y67" s="1"/>
      <c r="Z67" s="5">
        <f t="shared" ref="Z67:Z72" si="53">IF(T67=0,0,X67/T67)</f>
        <v>0.34651019147621986</v>
      </c>
    </row>
    <row r="68" spans="1:26" s="24" customFormat="1" hidden="1" outlineLevel="2" x14ac:dyDescent="0.25">
      <c r="A68" s="29"/>
      <c r="B68" s="11" t="str">
        <f>CONCATENATE("          ", "6309", " - ", "TELEPHONE")</f>
        <v xml:space="preserve">          6309 - TELEPHONE</v>
      </c>
      <c r="C68" s="11"/>
      <c r="D68" s="7">
        <v>109</v>
      </c>
      <c r="E68" s="2"/>
      <c r="F68" s="6">
        <f t="shared" si="46"/>
        <v>0</v>
      </c>
      <c r="G68" s="2"/>
      <c r="H68" s="7">
        <v>131.9</v>
      </c>
      <c r="I68" s="2"/>
      <c r="J68" s="6">
        <f t="shared" si="47"/>
        <v>1.668557656510139E-3</v>
      </c>
      <c r="K68" s="2"/>
      <c r="L68" s="7">
        <f t="shared" si="48"/>
        <v>-22.900000000000006</v>
      </c>
      <c r="M68" s="2"/>
      <c r="N68" s="6">
        <f t="shared" si="49"/>
        <v>-0.17361637604245644</v>
      </c>
      <c r="O68" s="11"/>
      <c r="P68" s="7">
        <v>218</v>
      </c>
      <c r="Q68" s="2"/>
      <c r="R68" s="6">
        <f t="shared" si="50"/>
        <v>0</v>
      </c>
      <c r="S68" s="2"/>
      <c r="T68" s="7">
        <v>161.9</v>
      </c>
      <c r="U68" s="2"/>
      <c r="V68" s="6">
        <f t="shared" si="51"/>
        <v>1.2877091384000988E-3</v>
      </c>
      <c r="W68" s="2"/>
      <c r="X68" s="7">
        <f t="shared" si="52"/>
        <v>56.099999999999994</v>
      </c>
      <c r="Y68" s="2"/>
      <c r="Z68" s="6">
        <f t="shared" si="53"/>
        <v>0.34651019147621986</v>
      </c>
    </row>
    <row r="69" spans="1:26" s="28" customFormat="1" outlineLevel="1" collapsed="1" x14ac:dyDescent="0.25">
      <c r="A69" s="27"/>
      <c r="B69" s="14" t="str">
        <f>CONCATENATE("     ","Training                                          ")</f>
        <v xml:space="preserve">     Training                                          </v>
      </c>
      <c r="C69" s="14"/>
      <c r="D69" s="1">
        <f>SUM(OSRRefD22_13x_0)</f>
        <v>0</v>
      </c>
      <c r="E69" s="1"/>
      <c r="F69" s="5">
        <f t="shared" si="46"/>
        <v>0</v>
      </c>
      <c r="G69" s="1"/>
      <c r="H69" s="1">
        <f>SUM(OSRRefH22_13x_0)</f>
        <v>60.73</v>
      </c>
      <c r="I69" s="1"/>
      <c r="J69" s="5">
        <f t="shared" si="47"/>
        <v>7.6824493161380385E-4</v>
      </c>
      <c r="K69" s="1"/>
      <c r="L69" s="1">
        <f t="shared" si="48"/>
        <v>-60.73</v>
      </c>
      <c r="M69" s="1"/>
      <c r="N69" s="5">
        <f t="shared" si="49"/>
        <v>-1</v>
      </c>
      <c r="O69" s="14"/>
      <c r="P69" s="1">
        <f>SUM(OSRRefP22_13x_0)</f>
        <v>0</v>
      </c>
      <c r="Q69" s="1"/>
      <c r="R69" s="5">
        <f t="shared" si="50"/>
        <v>0</v>
      </c>
      <c r="S69" s="1"/>
      <c r="T69" s="1">
        <f>SUM(OSRRefT22_13x_0)</f>
        <v>1107.78</v>
      </c>
      <c r="U69" s="1"/>
      <c r="V69" s="5">
        <f t="shared" si="51"/>
        <v>8.8109847395729558E-3</v>
      </c>
      <c r="W69" s="1"/>
      <c r="X69" s="1">
        <f t="shared" si="52"/>
        <v>-1107.78</v>
      </c>
      <c r="Y69" s="1"/>
      <c r="Z69" s="5">
        <f t="shared" si="53"/>
        <v>-1</v>
      </c>
    </row>
    <row r="70" spans="1:26" s="24" customFormat="1" hidden="1" outlineLevel="2" x14ac:dyDescent="0.25">
      <c r="A70" s="29"/>
      <c r="B70" s="11" t="str">
        <f>CONCATENATE("          ", "6376", " - ", "TRAINING")</f>
        <v xml:space="preserve">          6376 - TRAINING</v>
      </c>
      <c r="C70" s="11"/>
      <c r="D70" s="7"/>
      <c r="E70" s="2"/>
      <c r="F70" s="6">
        <f t="shared" si="46"/>
        <v>0</v>
      </c>
      <c r="G70" s="2"/>
      <c r="H70" s="7">
        <v>60.73</v>
      </c>
      <c r="I70" s="2"/>
      <c r="J70" s="6">
        <f t="shared" si="47"/>
        <v>7.6824493161380385E-4</v>
      </c>
      <c r="K70" s="2"/>
      <c r="L70" s="7">
        <f t="shared" si="48"/>
        <v>-60.73</v>
      </c>
      <c r="M70" s="2"/>
      <c r="N70" s="6">
        <f t="shared" si="49"/>
        <v>-1</v>
      </c>
      <c r="O70" s="11"/>
      <c r="P70" s="7"/>
      <c r="Q70" s="2"/>
      <c r="R70" s="6">
        <f t="shared" si="50"/>
        <v>0</v>
      </c>
      <c r="S70" s="2"/>
      <c r="T70" s="7">
        <v>1107.78</v>
      </c>
      <c r="U70" s="2"/>
      <c r="V70" s="6">
        <f t="shared" si="51"/>
        <v>8.8109847395729558E-3</v>
      </c>
      <c r="W70" s="2"/>
      <c r="X70" s="7">
        <f t="shared" si="52"/>
        <v>-1107.78</v>
      </c>
      <c r="Y70" s="2"/>
      <c r="Z70" s="6">
        <f t="shared" si="53"/>
        <v>-1</v>
      </c>
    </row>
    <row r="71" spans="1:26" s="28" customFormat="1" outlineLevel="1" collapsed="1" x14ac:dyDescent="0.25">
      <c r="A71" s="27"/>
      <c r="B71" s="14" t="str">
        <f>CONCATENATE("     ","Travel                                            ")</f>
        <v xml:space="preserve">     Travel                                            </v>
      </c>
      <c r="C71" s="14"/>
      <c r="D71" s="1">
        <f>SUM(OSRRefD22_14x_0)</f>
        <v>0</v>
      </c>
      <c r="E71" s="1"/>
      <c r="F71" s="5">
        <f t="shared" si="46"/>
        <v>0</v>
      </c>
      <c r="G71" s="1"/>
      <c r="H71" s="1">
        <f>SUM(OSRRefH22_14x_0)</f>
        <v>0</v>
      </c>
      <c r="I71" s="1"/>
      <c r="J71" s="5">
        <f t="shared" si="47"/>
        <v>0</v>
      </c>
      <c r="K71" s="1"/>
      <c r="L71" s="1">
        <f t="shared" si="48"/>
        <v>0</v>
      </c>
      <c r="M71" s="1"/>
      <c r="N71" s="5">
        <f t="shared" si="49"/>
        <v>0</v>
      </c>
      <c r="O71" s="14"/>
      <c r="P71" s="1">
        <f>SUM(OSRRefP22_14x_0)</f>
        <v>0</v>
      </c>
      <c r="Q71" s="1"/>
      <c r="R71" s="5">
        <f t="shared" si="50"/>
        <v>0</v>
      </c>
      <c r="S71" s="1"/>
      <c r="T71" s="1">
        <f>SUM(OSRRefT22_14x_0)</f>
        <v>79.510000000000005</v>
      </c>
      <c r="U71" s="1"/>
      <c r="V71" s="5">
        <f t="shared" si="51"/>
        <v>6.3240119576400168E-4</v>
      </c>
      <c r="W71" s="1"/>
      <c r="X71" s="1">
        <f t="shared" si="52"/>
        <v>-79.510000000000005</v>
      </c>
      <c r="Y71" s="1"/>
      <c r="Z71" s="5">
        <f t="shared" si="53"/>
        <v>-1</v>
      </c>
    </row>
    <row r="72" spans="1:26" s="24" customFormat="1" hidden="1" outlineLevel="2" x14ac:dyDescent="0.25">
      <c r="A72" s="29"/>
      <c r="B72" s="11" t="str">
        <f>CONCATENATE("          ", "6292", " - ", "TRAVEL/CONFERENCE")</f>
        <v xml:space="preserve">          6292 - TRAVEL/CONFERENCE</v>
      </c>
      <c r="C72" s="11"/>
      <c r="D72" s="7"/>
      <c r="E72" s="2"/>
      <c r="F72" s="6">
        <f t="shared" si="46"/>
        <v>0</v>
      </c>
      <c r="G72" s="2"/>
      <c r="H72" s="7"/>
      <c r="I72" s="2"/>
      <c r="J72" s="6">
        <f t="shared" si="47"/>
        <v>0</v>
      </c>
      <c r="K72" s="2"/>
      <c r="L72" s="7">
        <f t="shared" si="48"/>
        <v>0</v>
      </c>
      <c r="M72" s="2"/>
      <c r="N72" s="6">
        <f t="shared" si="49"/>
        <v>0</v>
      </c>
      <c r="O72" s="11"/>
      <c r="P72" s="7"/>
      <c r="Q72" s="2"/>
      <c r="R72" s="6">
        <f t="shared" si="50"/>
        <v>0</v>
      </c>
      <c r="S72" s="2"/>
      <c r="T72" s="7">
        <v>79.510000000000005</v>
      </c>
      <c r="U72" s="2"/>
      <c r="V72" s="6">
        <f t="shared" si="51"/>
        <v>6.3240119576400168E-4</v>
      </c>
      <c r="W72" s="2"/>
      <c r="X72" s="7">
        <f t="shared" si="52"/>
        <v>-79.510000000000005</v>
      </c>
      <c r="Y72" s="2"/>
      <c r="Z72" s="6">
        <f t="shared" si="53"/>
        <v>-1</v>
      </c>
    </row>
    <row r="73" spans="1:26" s="52" customFormat="1" x14ac:dyDescent="0.25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x14ac:dyDescent="0.25">
      <c r="A74" s="10"/>
      <c r="B74" s="25" t="s">
        <v>0</v>
      </c>
      <c r="C74" s="10"/>
      <c r="D74" s="4">
        <f>SUM(0)</f>
        <v>0</v>
      </c>
      <c r="E74" s="4"/>
      <c r="F74" s="12">
        <f>IF(D$12=0,0,D74/D$12)</f>
        <v>0</v>
      </c>
      <c r="G74" s="4"/>
      <c r="H74" s="4">
        <f>SUM(0)</f>
        <v>0</v>
      </c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>
        <f>SUM(0)</f>
        <v>0</v>
      </c>
      <c r="Q74" s="4"/>
      <c r="R74" s="12">
        <f>IF(P$12=0,0,P74/P$12)</f>
        <v>0</v>
      </c>
      <c r="S74" s="4"/>
      <c r="T74" s="4">
        <f>SUM(0)</f>
        <v>0</v>
      </c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25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x14ac:dyDescent="0.25">
      <c r="A76" s="10"/>
      <c r="B76" s="26" t="s">
        <v>3</v>
      </c>
      <c r="C76" s="26"/>
      <c r="D76" s="22">
        <f>+D20-D22+D74</f>
        <v>-38261.779999999992</v>
      </c>
      <c r="E76" s="13"/>
      <c r="F76" s="21">
        <f>IF(D$12=0,0,D76/D$12)</f>
        <v>0</v>
      </c>
      <c r="G76" s="13"/>
      <c r="H76" s="22">
        <f>+H20-H22+H74</f>
        <v>-49705.069999999978</v>
      </c>
      <c r="I76" s="13"/>
      <c r="J76" s="21">
        <f>IF(H$12=0,0,H76/H$12)</f>
        <v>-0.62877767335763746</v>
      </c>
      <c r="K76" s="16"/>
      <c r="L76" s="22">
        <f>+D76-H76</f>
        <v>11443.289999999986</v>
      </c>
      <c r="M76" s="16"/>
      <c r="N76" s="21">
        <f>IF(H76=0,0,L76/H76)</f>
        <v>-0.23022379809544563</v>
      </c>
      <c r="O76" s="25"/>
      <c r="P76" s="22">
        <f>+P20-P22+P74</f>
        <v>-78621.920000000013</v>
      </c>
      <c r="Q76" s="13"/>
      <c r="R76" s="21">
        <f>IF(P$12=0,0,P76/P$12)</f>
        <v>0</v>
      </c>
      <c r="S76" s="13"/>
      <c r="T76" s="22">
        <f>+T20-T22+T74</f>
        <v>-99722.399999999965</v>
      </c>
      <c r="U76" s="13"/>
      <c r="V76" s="21">
        <f>IF(T$12=0,0,T76/T$12)</f>
        <v>-0.79316519940203811</v>
      </c>
      <c r="W76" s="16"/>
      <c r="X76" s="22">
        <f>+P76-T76</f>
        <v>21100.479999999952</v>
      </c>
      <c r="Y76" s="16"/>
      <c r="Z76" s="21">
        <f>IF(T76=0,0,X76/T76)</f>
        <v>-0.21159217989137807</v>
      </c>
    </row>
    <row r="77" spans="1:26" x14ac:dyDescent="0.25">
      <c r="A77" s="9"/>
      <c r="B77" s="10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x14ac:dyDescent="0.25">
      <c r="A78" s="51"/>
      <c r="B78" s="10" t="s">
        <v>13</v>
      </c>
      <c r="C78" s="10"/>
      <c r="D78" s="4"/>
      <c r="E78" s="4"/>
      <c r="F78" s="12">
        <f>IF(D$12=0,0,D78/D$12)</f>
        <v>0</v>
      </c>
      <c r="G78" s="4"/>
      <c r="H78" s="4">
        <v>5970.36</v>
      </c>
      <c r="I78" s="4"/>
      <c r="J78" s="12">
        <f>IF(H$12=0,0,H78/H$12)</f>
        <v>7.5526079530870913E-2</v>
      </c>
      <c r="K78" s="4"/>
      <c r="L78" s="4">
        <f>+D78-H78</f>
        <v>-5970.36</v>
      </c>
      <c r="M78" s="4"/>
      <c r="N78" s="12">
        <f>IF(H78=0,0,L78/H78)</f>
        <v>-1</v>
      </c>
      <c r="O78" s="10"/>
      <c r="P78" s="4"/>
      <c r="Q78" s="4"/>
      <c r="R78" s="12">
        <f>IF(P$12=0,0,P78/P$12)</f>
        <v>0</v>
      </c>
      <c r="S78" s="4"/>
      <c r="T78" s="4">
        <v>15675.849999999999</v>
      </c>
      <c r="U78" s="4"/>
      <c r="V78" s="12">
        <f>IF(T$12=0,0,T78/T$12)</f>
        <v>0.12468150276213211</v>
      </c>
      <c r="W78" s="4"/>
      <c r="X78" s="4">
        <f>+P78-T78</f>
        <v>-15675.849999999999</v>
      </c>
      <c r="Y78" s="4"/>
      <c r="Z78" s="12">
        <f>IF(T78=0,0,X78/T78)</f>
        <v>-1</v>
      </c>
    </row>
    <row r="79" spans="1:26" x14ac:dyDescent="0.25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ht="15.75" thickBot="1" x14ac:dyDescent="0.3">
      <c r="A80" s="10"/>
      <c r="B80" s="26" t="s">
        <v>4</v>
      </c>
      <c r="C80" s="26"/>
      <c r="D80" s="36">
        <f>+D76-D78</f>
        <v>-38261.779999999992</v>
      </c>
      <c r="E80" s="13"/>
      <c r="F80" s="34">
        <f>IF(D$12=0,0,D80/D$12)</f>
        <v>0</v>
      </c>
      <c r="G80" s="13"/>
      <c r="H80" s="36">
        <f>+H76-H78</f>
        <v>-55675.429999999978</v>
      </c>
      <c r="I80" s="13"/>
      <c r="J80" s="34">
        <f>IF(H$12=0,0,H80/H$12)</f>
        <v>-0.70430375288850833</v>
      </c>
      <c r="K80" s="16"/>
      <c r="L80" s="36">
        <f>D80-H80</f>
        <v>17413.649999999987</v>
      </c>
      <c r="M80" s="16"/>
      <c r="N80" s="34">
        <f>IF(H80=0,0,L80/H80)</f>
        <v>-0.3127708218867819</v>
      </c>
      <c r="O80" s="25"/>
      <c r="P80" s="36">
        <f>+P76-P78</f>
        <v>-78621.920000000013</v>
      </c>
      <c r="Q80" s="13"/>
      <c r="R80" s="34">
        <f>IF(P$12=0,0,P80/P$12)</f>
        <v>0</v>
      </c>
      <c r="S80" s="13"/>
      <c r="T80" s="36">
        <f>+T76-T78</f>
        <v>-115398.24999999997</v>
      </c>
      <c r="U80" s="13"/>
      <c r="V80" s="34">
        <f>IF(T$12=0,0,T80/T$12)</f>
        <v>-0.9178467021641703</v>
      </c>
      <c r="W80" s="16"/>
      <c r="X80" s="36">
        <f>P80-T80</f>
        <v>36776.329999999958</v>
      </c>
      <c r="Y80" s="16"/>
      <c r="Z80" s="34">
        <f>IF(T80=0,0,X80/T80)</f>
        <v>-0.31869053473514519</v>
      </c>
    </row>
    <row r="81" spans="1:26" ht="15.75" thickTop="1" x14ac:dyDescent="0.25">
      <c r="A81" s="9"/>
      <c r="B81" s="9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x14ac:dyDescent="0.25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.75" thickBot="1" x14ac:dyDescent="0.3">
      <c r="A83" s="10"/>
      <c r="B83" s="26" t="s">
        <v>5</v>
      </c>
      <c r="C83" s="26"/>
      <c r="D83" s="30">
        <f>SUM(D80:D82)</f>
        <v>-38261.779999999992</v>
      </c>
      <c r="E83" s="13"/>
      <c r="F83" s="31">
        <f>IF(D$12=0,0,D83/D$12)</f>
        <v>0</v>
      </c>
      <c r="G83" s="13"/>
      <c r="H83" s="30">
        <f>SUM(H80:H82)</f>
        <v>-55675.429999999978</v>
      </c>
      <c r="I83" s="13"/>
      <c r="J83" s="31">
        <f>IF(H$12=0,0,H83/H$12)</f>
        <v>-0.70430375288850833</v>
      </c>
      <c r="K83" s="16"/>
      <c r="L83" s="30">
        <f>+D83-H83</f>
        <v>17413.649999999987</v>
      </c>
      <c r="M83" s="16"/>
      <c r="N83" s="31">
        <f>IF(H83=0,0,L83/H83)</f>
        <v>-0.3127708218867819</v>
      </c>
      <c r="O83" s="25"/>
      <c r="P83" s="30">
        <f>SUM(P80:P82)</f>
        <v>-78621.920000000013</v>
      </c>
      <c r="Q83" s="13"/>
      <c r="R83" s="31">
        <f>IF(P$12=0,0,P83/P$12)</f>
        <v>0</v>
      </c>
      <c r="S83" s="13"/>
      <c r="T83" s="30">
        <f>SUM(T80:T82)</f>
        <v>-115398.24999999997</v>
      </c>
      <c r="U83" s="13"/>
      <c r="V83" s="31">
        <f>IF(T$12=0,0,T83/T$12)</f>
        <v>-0.9178467021641703</v>
      </c>
      <c r="W83" s="16"/>
      <c r="X83" s="30">
        <f>+P83-T83</f>
        <v>36776.329999999958</v>
      </c>
      <c r="Y83" s="16"/>
      <c r="Z83" s="31">
        <f>IF(T83=0,0,X83/T83)</f>
        <v>-0.31869053473514519</v>
      </c>
    </row>
    <row r="84" spans="1:26" ht="15.75" thickTop="1" x14ac:dyDescent="0.25">
      <c r="A84" s="9"/>
      <c r="C84" s="9"/>
      <c r="D84" s="18"/>
      <c r="E84" s="18"/>
      <c r="G84" s="18"/>
      <c r="H84" s="18"/>
      <c r="I84" s="18"/>
      <c r="J84" s="43"/>
      <c r="K84" s="18"/>
      <c r="L84" s="18"/>
      <c r="M84" s="18"/>
      <c r="P84" s="18"/>
      <c r="Q84" s="18"/>
      <c r="R84" s="43"/>
      <c r="S84" s="18"/>
      <c r="T84" s="18"/>
      <c r="U84" s="18"/>
      <c r="V84" s="43"/>
      <c r="W84" s="18"/>
      <c r="X84" s="18"/>
    </row>
    <row r="85" spans="1:26" x14ac:dyDescent="0.25">
      <c r="A85" s="9"/>
      <c r="B85" s="61">
        <v>44113.696860613425</v>
      </c>
      <c r="D85" s="18"/>
      <c r="E85" s="18"/>
      <c r="G85" s="18"/>
      <c r="H85" s="18"/>
      <c r="I85" s="18"/>
      <c r="J85" s="43"/>
      <c r="K85" s="18"/>
      <c r="L85" s="18"/>
      <c r="M85" s="18"/>
      <c r="P85" s="18"/>
      <c r="Q85" s="18"/>
      <c r="R85" s="43"/>
      <c r="S85" s="18"/>
      <c r="T85" s="18"/>
      <c r="U85" s="18"/>
      <c r="V85" s="43"/>
      <c r="W85" s="18"/>
      <c r="X85" s="18"/>
    </row>
    <row r="86" spans="1:26" x14ac:dyDescent="0.25">
      <c r="A86" s="9"/>
      <c r="B86" s="56" t="s">
        <v>313</v>
      </c>
      <c r="D86" s="18"/>
      <c r="E86" s="18"/>
      <c r="G86" s="18"/>
      <c r="H86" s="18"/>
      <c r="I86" s="18"/>
      <c r="J86" s="43"/>
      <c r="K86" s="18"/>
      <c r="L86" s="18"/>
      <c r="M86" s="18"/>
      <c r="P86" s="18"/>
      <c r="Q86" s="18"/>
      <c r="R86" s="43"/>
      <c r="S86" s="18"/>
      <c r="T86" s="18"/>
      <c r="U86" s="18"/>
      <c r="V86" s="43"/>
      <c r="W86" s="18"/>
      <c r="X86" s="18"/>
    </row>
    <row r="87" spans="1:26" x14ac:dyDescent="0.25">
      <c r="A87" s="9"/>
      <c r="B87" s="58"/>
      <c r="D87" s="18"/>
      <c r="E87" s="18"/>
      <c r="G87" s="18"/>
      <c r="H87" s="18"/>
      <c r="I87" s="18"/>
      <c r="J87" s="43"/>
      <c r="K87" s="18"/>
      <c r="L87" s="18"/>
      <c r="M87" s="18"/>
      <c r="P87" s="18"/>
      <c r="Q87" s="18"/>
      <c r="R87" s="43"/>
      <c r="S87" s="18"/>
      <c r="T87" s="18"/>
      <c r="U87" s="18"/>
      <c r="V87" s="43"/>
      <c r="W87" s="18"/>
      <c r="X87" s="18"/>
    </row>
    <row r="88" spans="1:26" x14ac:dyDescent="0.25">
      <c r="D88" s="18"/>
      <c r="E88" s="18"/>
      <c r="G88" s="18"/>
      <c r="H88" s="18"/>
      <c r="I88" s="18"/>
      <c r="J88" s="43"/>
      <c r="K88" s="18"/>
      <c r="L88" s="18"/>
      <c r="M88" s="18"/>
      <c r="P88" s="18"/>
      <c r="Q88" s="18"/>
      <c r="R88" s="43"/>
      <c r="S88" s="18"/>
      <c r="T88" s="18"/>
      <c r="U88" s="18"/>
      <c r="V88" s="43"/>
      <c r="W88" s="18"/>
      <c r="X88" s="18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outlinePr summaryBelow="0" summaryRight="0"/>
  </sheetPr>
  <dimension ref="A2:Z6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">
        <v>296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66861</v>
      </c>
      <c r="E12" s="4"/>
      <c r="F12" s="12"/>
      <c r="G12" s="4"/>
      <c r="H12" s="4">
        <f>SUM(OSRRefH13x_0)</f>
        <v>30975</v>
      </c>
      <c r="I12" s="4"/>
      <c r="J12" s="12"/>
      <c r="K12" s="4"/>
      <c r="L12" s="4">
        <f t="shared" ref="L12:L13" si="0">+D12-H12</f>
        <v>35886</v>
      </c>
      <c r="M12" s="4"/>
      <c r="N12" s="12">
        <f t="shared" ref="N12:N13" si="1">IF(H12=0,0,L12/H12)</f>
        <v>1.1585472154963681</v>
      </c>
      <c r="O12" s="10"/>
      <c r="P12" s="4">
        <f>SUM(OSRRefP13x_0)</f>
        <v>87832</v>
      </c>
      <c r="Q12" s="4"/>
      <c r="R12" s="12"/>
      <c r="S12" s="4"/>
      <c r="T12" s="4">
        <f>SUM(OSRRefT13x_0)</f>
        <v>67886</v>
      </c>
      <c r="U12" s="4"/>
      <c r="V12" s="12"/>
      <c r="W12" s="4"/>
      <c r="X12" s="4">
        <f t="shared" ref="X12:X13" si="2">+P12-T12</f>
        <v>19946</v>
      </c>
      <c r="Y12" s="4"/>
      <c r="Z12" s="12">
        <f t="shared" ref="Z12:Z13" si="3">IF(T12=0,0,X12/T12)</f>
        <v>0.29381610346757797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--66861</f>
        <v>66861</v>
      </c>
      <c r="E13" s="2"/>
      <c r="F13" s="19"/>
      <c r="G13" s="2"/>
      <c r="H13" s="2">
        <f>--30975</f>
        <v>30975</v>
      </c>
      <c r="I13" s="2"/>
      <c r="J13" s="19"/>
      <c r="K13" s="2"/>
      <c r="L13" s="2">
        <f t="shared" si="0"/>
        <v>35886</v>
      </c>
      <c r="M13" s="2"/>
      <c r="N13" s="19">
        <f t="shared" si="1"/>
        <v>1.1585472154963681</v>
      </c>
      <c r="O13" s="11"/>
      <c r="P13" s="2">
        <f>--87832</f>
        <v>87832</v>
      </c>
      <c r="Q13" s="2"/>
      <c r="R13" s="19"/>
      <c r="S13" s="2"/>
      <c r="T13" s="2">
        <f>--67886</f>
        <v>67886</v>
      </c>
      <c r="U13" s="2"/>
      <c r="V13" s="19"/>
      <c r="W13" s="2"/>
      <c r="X13" s="2">
        <f t="shared" si="2"/>
        <v>19946</v>
      </c>
      <c r="Y13" s="2"/>
      <c r="Z13" s="19">
        <f t="shared" si="3"/>
        <v>0.29381610346757797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2">
        <f>D12-D15</f>
        <v>66861</v>
      </c>
      <c r="E17" s="13"/>
      <c r="F17" s="21">
        <f>IF(D$12=0,0,D17/D$12)</f>
        <v>1</v>
      </c>
      <c r="G17" s="13"/>
      <c r="H17" s="22">
        <f>H12-H15</f>
        <v>30975</v>
      </c>
      <c r="I17" s="13"/>
      <c r="J17" s="21">
        <f>IF(H$12=0,0,H17/H$12)</f>
        <v>1</v>
      </c>
      <c r="K17" s="16"/>
      <c r="L17" s="22">
        <f>+D17-H17</f>
        <v>35886</v>
      </c>
      <c r="M17" s="16"/>
      <c r="N17" s="21">
        <f>IF(H17=0,0,L17/H17)</f>
        <v>1.1585472154963681</v>
      </c>
      <c r="O17" s="25"/>
      <c r="P17" s="22">
        <f>P12-P15</f>
        <v>87832</v>
      </c>
      <c r="Q17" s="13"/>
      <c r="R17" s="21">
        <f>IF(P$12=0,0,P17/P$12)</f>
        <v>1</v>
      </c>
      <c r="S17" s="13"/>
      <c r="T17" s="22">
        <f>T12-T15</f>
        <v>67886</v>
      </c>
      <c r="U17" s="13"/>
      <c r="V17" s="21">
        <f>IF(T$12=0,0,T17/T$12)</f>
        <v>1</v>
      </c>
      <c r="W17" s="16"/>
      <c r="X17" s="22">
        <f>+P17-T17</f>
        <v>19946</v>
      </c>
      <c r="Y17" s="16"/>
      <c r="Z17" s="21">
        <f>IF(T17=0,0,X17/T17)</f>
        <v>0.29381610346757797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0">
        <f>SUM(OSRRefD22x_0)</f>
        <v>57099.96</v>
      </c>
      <c r="E19" s="20"/>
      <c r="F19" s="35">
        <f t="shared" ref="F19:F29" si="4">IF(D$12=0,0,D19/D$12)</f>
        <v>0.85400996096379056</v>
      </c>
      <c r="G19" s="20"/>
      <c r="H19" s="20">
        <f>SUM(OSRRefH22x_0)</f>
        <v>26838.589999999997</v>
      </c>
      <c r="I19" s="20"/>
      <c r="J19" s="35">
        <f t="shared" ref="J19:J29" si="5">IF(H$12=0,0,H19/H$12)</f>
        <v>0.86645972558514917</v>
      </c>
      <c r="K19" s="4"/>
      <c r="L19" s="20">
        <f t="shared" ref="L19:L29" si="6">+D19-H19</f>
        <v>30261.370000000003</v>
      </c>
      <c r="M19" s="4"/>
      <c r="N19" s="35">
        <f t="shared" ref="N19:N29" si="7">IF(H19=0,0,L19/H19)</f>
        <v>1.1275320350286659</v>
      </c>
      <c r="O19" s="10"/>
      <c r="P19" s="20">
        <f>SUM(OSRRefP22x_0)</f>
        <v>78235.819999999992</v>
      </c>
      <c r="Q19" s="20"/>
      <c r="R19" s="35">
        <f t="shared" ref="R19:R29" si="8">IF(P$12=0,0,P19/P$12)</f>
        <v>0.89074392021131243</v>
      </c>
      <c r="S19" s="20"/>
      <c r="T19" s="20">
        <f>SUM(OSRRefT22x_0)</f>
        <v>64600.19999999999</v>
      </c>
      <c r="U19" s="20"/>
      <c r="V19" s="35">
        <f t="shared" ref="V19:V29" si="9">IF(T$12=0,0,T19/T$12)</f>
        <v>0.95159826768405842</v>
      </c>
      <c r="W19" s="4"/>
      <c r="X19" s="20">
        <f t="shared" ref="X19:X29" si="10">+P19-T19</f>
        <v>13635.620000000003</v>
      </c>
      <c r="Y19" s="4"/>
      <c r="Z19" s="35">
        <f t="shared" ref="Z19:Z29" si="11">IF(T19=0,0,X19/T19)</f>
        <v>0.21107705548899236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4075.21</v>
      </c>
      <c r="E20" s="1"/>
      <c r="F20" s="5">
        <f t="shared" si="4"/>
        <v>6.0950479352686916E-2</v>
      </c>
      <c r="G20" s="1"/>
      <c r="H20" s="1">
        <f>SUM(OSRRefH22_0x_0)</f>
        <v>4226.13</v>
      </c>
      <c r="I20" s="1"/>
      <c r="J20" s="5">
        <f t="shared" si="5"/>
        <v>0.13643680387409202</v>
      </c>
      <c r="K20" s="1"/>
      <c r="L20" s="1">
        <f t="shared" si="6"/>
        <v>-150.92000000000007</v>
      </c>
      <c r="M20" s="1"/>
      <c r="N20" s="5">
        <f t="shared" si="7"/>
        <v>-3.5711158908978205E-2</v>
      </c>
      <c r="O20" s="14"/>
      <c r="P20" s="1">
        <f>SUM(OSRRefP22_0x_0)</f>
        <v>8283.0300000000007</v>
      </c>
      <c r="Q20" s="1"/>
      <c r="R20" s="5">
        <f t="shared" si="8"/>
        <v>9.4305378449767746E-2</v>
      </c>
      <c r="S20" s="1"/>
      <c r="T20" s="1">
        <f>SUM(OSRRefT22_0x_0)</f>
        <v>8625.48</v>
      </c>
      <c r="U20" s="1"/>
      <c r="V20" s="5">
        <f t="shared" si="9"/>
        <v>0.12705830362666823</v>
      </c>
      <c r="W20" s="1"/>
      <c r="X20" s="1">
        <f t="shared" si="10"/>
        <v>-342.44999999999891</v>
      </c>
      <c r="Y20" s="1"/>
      <c r="Z20" s="5">
        <f t="shared" si="11"/>
        <v>-3.9702138315780559E-2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1161.71</v>
      </c>
      <c r="E21" s="2"/>
      <c r="F21" s="6">
        <f t="shared" si="4"/>
        <v>1.7375001869550263E-2</v>
      </c>
      <c r="G21" s="2"/>
      <c r="H21" s="7">
        <v>1291.28</v>
      </c>
      <c r="I21" s="2"/>
      <c r="J21" s="6">
        <f t="shared" si="5"/>
        <v>4.1687812752219534E-2</v>
      </c>
      <c r="K21" s="2"/>
      <c r="L21" s="7">
        <f t="shared" si="6"/>
        <v>-129.56999999999994</v>
      </c>
      <c r="M21" s="2"/>
      <c r="N21" s="6">
        <f t="shared" si="7"/>
        <v>-0.10034229601635582</v>
      </c>
      <c r="O21" s="11"/>
      <c r="P21" s="7">
        <v>2168.29</v>
      </c>
      <c r="Q21" s="2"/>
      <c r="R21" s="6">
        <f t="shared" si="8"/>
        <v>2.4686788414245379E-2</v>
      </c>
      <c r="S21" s="2"/>
      <c r="T21" s="7">
        <v>2357.21</v>
      </c>
      <c r="U21" s="2"/>
      <c r="V21" s="6">
        <f t="shared" si="9"/>
        <v>3.4723065138614735E-2</v>
      </c>
      <c r="W21" s="2"/>
      <c r="X21" s="7">
        <f t="shared" si="10"/>
        <v>-188.92000000000007</v>
      </c>
      <c r="Y21" s="2"/>
      <c r="Z21" s="6">
        <f t="shared" si="11"/>
        <v>-8.0145595852724225E-2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84.22</v>
      </c>
      <c r="E22" s="2"/>
      <c r="F22" s="6">
        <f t="shared" si="4"/>
        <v>1.2596281838440945E-3</v>
      </c>
      <c r="G22" s="2"/>
      <c r="H22" s="7">
        <v>60.78</v>
      </c>
      <c r="I22" s="2"/>
      <c r="J22" s="6">
        <f t="shared" si="5"/>
        <v>1.9622276029055692E-3</v>
      </c>
      <c r="K22" s="2"/>
      <c r="L22" s="7">
        <f t="shared" si="6"/>
        <v>23.439999999999998</v>
      </c>
      <c r="M22" s="2"/>
      <c r="N22" s="6">
        <f t="shared" si="7"/>
        <v>0.38565317538664029</v>
      </c>
      <c r="O22" s="11"/>
      <c r="P22" s="7">
        <v>162.09</v>
      </c>
      <c r="Q22" s="2"/>
      <c r="R22" s="6">
        <f t="shared" si="8"/>
        <v>1.8454549594680754E-3</v>
      </c>
      <c r="S22" s="2"/>
      <c r="T22" s="7">
        <v>109.78</v>
      </c>
      <c r="U22" s="2"/>
      <c r="V22" s="6">
        <f t="shared" si="9"/>
        <v>1.6171228235571399E-3</v>
      </c>
      <c r="W22" s="2"/>
      <c r="X22" s="7">
        <f t="shared" si="10"/>
        <v>52.31</v>
      </c>
      <c r="Y22" s="2"/>
      <c r="Z22" s="6">
        <f t="shared" si="11"/>
        <v>0.47649845144835129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1230.45</v>
      </c>
      <c r="E23" s="2"/>
      <c r="F23" s="6">
        <f t="shared" si="4"/>
        <v>1.8403104949073452E-2</v>
      </c>
      <c r="G23" s="2"/>
      <c r="H23" s="7">
        <v>1243.31</v>
      </c>
      <c r="I23" s="2"/>
      <c r="J23" s="6">
        <f t="shared" si="5"/>
        <v>4.0139144471347858E-2</v>
      </c>
      <c r="K23" s="2"/>
      <c r="L23" s="7">
        <f t="shared" si="6"/>
        <v>-12.8599999999999</v>
      </c>
      <c r="M23" s="2"/>
      <c r="N23" s="6">
        <f t="shared" si="7"/>
        <v>-1.0343357650143489E-2</v>
      </c>
      <c r="O23" s="11"/>
      <c r="P23" s="7">
        <v>2460.9</v>
      </c>
      <c r="Q23" s="2"/>
      <c r="R23" s="6">
        <f t="shared" si="8"/>
        <v>2.8018262136806631E-2</v>
      </c>
      <c r="S23" s="2"/>
      <c r="T23" s="7">
        <v>2486.62</v>
      </c>
      <c r="U23" s="2"/>
      <c r="V23" s="6">
        <f t="shared" si="9"/>
        <v>3.6629349203075742E-2</v>
      </c>
      <c r="W23" s="2"/>
      <c r="X23" s="7">
        <f t="shared" si="10"/>
        <v>-25.7199999999998</v>
      </c>
      <c r="Y23" s="2"/>
      <c r="Z23" s="6">
        <f t="shared" si="11"/>
        <v>-1.0343357650143489E-2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39.200000000000003</v>
      </c>
      <c r="E24" s="2"/>
      <c r="F24" s="6">
        <f t="shared" si="4"/>
        <v>5.8629096184621829E-4</v>
      </c>
      <c r="G24" s="2"/>
      <c r="H24" s="7">
        <v>46.48</v>
      </c>
      <c r="I24" s="2"/>
      <c r="J24" s="6">
        <f t="shared" si="5"/>
        <v>1.5005649717514124E-3</v>
      </c>
      <c r="K24" s="2"/>
      <c r="L24" s="7">
        <f t="shared" si="6"/>
        <v>-7.279999999999994</v>
      </c>
      <c r="M24" s="2"/>
      <c r="N24" s="6">
        <f t="shared" si="7"/>
        <v>-0.15662650602409628</v>
      </c>
      <c r="O24" s="11"/>
      <c r="P24" s="7">
        <v>73.400000000000006</v>
      </c>
      <c r="Q24" s="2"/>
      <c r="R24" s="6">
        <f t="shared" si="8"/>
        <v>8.3568631022861838E-4</v>
      </c>
      <c r="S24" s="2"/>
      <c r="T24" s="7">
        <v>83.95</v>
      </c>
      <c r="U24" s="2"/>
      <c r="V24" s="6">
        <f t="shared" si="9"/>
        <v>1.2366320007070677E-3</v>
      </c>
      <c r="W24" s="2"/>
      <c r="X24" s="7">
        <f t="shared" si="10"/>
        <v>-10.549999999999997</v>
      </c>
      <c r="Y24" s="2"/>
      <c r="Z24" s="6">
        <f t="shared" si="11"/>
        <v>-0.12567004169148299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9.5773320769955584E-3</v>
      </c>
      <c r="G25" s="2"/>
      <c r="H25" s="7">
        <v>609.02</v>
      </c>
      <c r="I25" s="2"/>
      <c r="J25" s="6">
        <f t="shared" si="5"/>
        <v>1.9661662631154157E-2</v>
      </c>
      <c r="K25" s="2"/>
      <c r="L25" s="7">
        <f t="shared" si="6"/>
        <v>31.330000000000041</v>
      </c>
      <c r="M25" s="2"/>
      <c r="N25" s="6">
        <f t="shared" si="7"/>
        <v>5.1443302354602545E-2</v>
      </c>
      <c r="O25" s="11"/>
      <c r="P25" s="7">
        <v>1579.79</v>
      </c>
      <c r="Q25" s="2"/>
      <c r="R25" s="6">
        <f t="shared" si="8"/>
        <v>1.7986496948720284E-2</v>
      </c>
      <c r="S25" s="2"/>
      <c r="T25" s="7">
        <v>1218.04</v>
      </c>
      <c r="U25" s="2"/>
      <c r="V25" s="6">
        <f t="shared" si="9"/>
        <v>1.7942432902218426E-2</v>
      </c>
      <c r="W25" s="2"/>
      <c r="X25" s="7">
        <f t="shared" si="10"/>
        <v>361.75</v>
      </c>
      <c r="Y25" s="2"/>
      <c r="Z25" s="6">
        <f t="shared" si="11"/>
        <v>0.2969935305901284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100</v>
      </c>
      <c r="E26" s="2"/>
      <c r="F26" s="6">
        <f t="shared" si="4"/>
        <v>1.4956402087913732E-3</v>
      </c>
      <c r="G26" s="2"/>
      <c r="H26" s="7"/>
      <c r="I26" s="2"/>
      <c r="J26" s="6">
        <f t="shared" si="5"/>
        <v>0</v>
      </c>
      <c r="K26" s="2"/>
      <c r="L26" s="7">
        <f t="shared" si="6"/>
        <v>100</v>
      </c>
      <c r="M26" s="2"/>
      <c r="N26" s="6">
        <f t="shared" si="7"/>
        <v>0</v>
      </c>
      <c r="O26" s="11"/>
      <c r="P26" s="7">
        <v>200</v>
      </c>
      <c r="Q26" s="2"/>
      <c r="R26" s="6">
        <f t="shared" si="8"/>
        <v>2.2770744147918754E-3</v>
      </c>
      <c r="S26" s="2"/>
      <c r="T26" s="7"/>
      <c r="U26" s="2"/>
      <c r="V26" s="6">
        <f t="shared" si="9"/>
        <v>0</v>
      </c>
      <c r="W26" s="2"/>
      <c r="X26" s="7">
        <f t="shared" si="10"/>
        <v>200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520.02</v>
      </c>
      <c r="E27" s="2"/>
      <c r="F27" s="6">
        <f t="shared" si="4"/>
        <v>7.7776282137568984E-3</v>
      </c>
      <c r="G27" s="2"/>
      <c r="H27" s="7">
        <v>550.41999999999996</v>
      </c>
      <c r="I27" s="2"/>
      <c r="J27" s="6">
        <f t="shared" si="5"/>
        <v>1.7769814366424535E-2</v>
      </c>
      <c r="K27" s="2"/>
      <c r="L27" s="7">
        <f t="shared" si="6"/>
        <v>-30.399999999999977</v>
      </c>
      <c r="M27" s="2"/>
      <c r="N27" s="6">
        <f t="shared" si="7"/>
        <v>-5.523055121543545E-2</v>
      </c>
      <c r="O27" s="11"/>
      <c r="P27" s="7">
        <v>1040.04</v>
      </c>
      <c r="Q27" s="2"/>
      <c r="R27" s="6">
        <f t="shared" si="8"/>
        <v>1.184124237180071E-2</v>
      </c>
      <c r="S27" s="2"/>
      <c r="T27" s="7">
        <v>1393.78</v>
      </c>
      <c r="U27" s="2"/>
      <c r="V27" s="6">
        <f t="shared" si="9"/>
        <v>2.0531184633061309E-2</v>
      </c>
      <c r="W27" s="2"/>
      <c r="X27" s="7">
        <f t="shared" si="10"/>
        <v>-353.74</v>
      </c>
      <c r="Y27" s="2"/>
      <c r="Z27" s="6">
        <f t="shared" si="11"/>
        <v>-0.25379902136635624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299.26</v>
      </c>
      <c r="E28" s="2"/>
      <c r="F28" s="6">
        <f t="shared" si="4"/>
        <v>4.4758528888290631E-3</v>
      </c>
      <c r="G28" s="2"/>
      <c r="H28" s="7">
        <v>274.83999999999997</v>
      </c>
      <c r="I28" s="2"/>
      <c r="J28" s="6">
        <f t="shared" si="5"/>
        <v>8.8729620661824049E-3</v>
      </c>
      <c r="K28" s="2"/>
      <c r="L28" s="7">
        <f t="shared" si="6"/>
        <v>24.420000000000016</v>
      </c>
      <c r="M28" s="2"/>
      <c r="N28" s="6">
        <f t="shared" si="7"/>
        <v>8.8851695531945926E-2</v>
      </c>
      <c r="O28" s="11"/>
      <c r="P28" s="7">
        <v>598.52</v>
      </c>
      <c r="Q28" s="2"/>
      <c r="R28" s="6">
        <f t="shared" si="8"/>
        <v>6.8143728937061663E-3</v>
      </c>
      <c r="S28" s="2"/>
      <c r="T28" s="7">
        <v>693.22</v>
      </c>
      <c r="U28" s="2"/>
      <c r="V28" s="6">
        <f t="shared" si="9"/>
        <v>1.0211531096249594E-2</v>
      </c>
      <c r="W28" s="2"/>
      <c r="X28" s="7">
        <f t="shared" si="10"/>
        <v>-94.700000000000045</v>
      </c>
      <c r="Y28" s="2"/>
      <c r="Z28" s="6">
        <f t="shared" si="11"/>
        <v>-0.13660886875739309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4"/>
        <v>0</v>
      </c>
      <c r="G29" s="2"/>
      <c r="H29" s="7">
        <v>150</v>
      </c>
      <c r="I29" s="2"/>
      <c r="J29" s="6">
        <f t="shared" si="5"/>
        <v>4.8426150121065378E-3</v>
      </c>
      <c r="K29" s="2"/>
      <c r="L29" s="7">
        <f t="shared" si="6"/>
        <v>-150</v>
      </c>
      <c r="M29" s="2"/>
      <c r="N29" s="6">
        <f t="shared" si="7"/>
        <v>-1</v>
      </c>
      <c r="O29" s="11"/>
      <c r="P29" s="7"/>
      <c r="Q29" s="2"/>
      <c r="R29" s="6">
        <f t="shared" si="8"/>
        <v>0</v>
      </c>
      <c r="S29" s="2"/>
      <c r="T29" s="7">
        <v>282.88</v>
      </c>
      <c r="U29" s="2"/>
      <c r="V29" s="6">
        <f t="shared" si="9"/>
        <v>4.1669858291842202E-3</v>
      </c>
      <c r="W29" s="2"/>
      <c r="X29" s="7">
        <f t="shared" si="10"/>
        <v>-282.88</v>
      </c>
      <c r="Y29" s="2"/>
      <c r="Z29" s="6">
        <f t="shared" si="11"/>
        <v>-1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16843.640000000003</v>
      </c>
      <c r="E30" s="1"/>
      <c r="F30" s="5">
        <f t="shared" ref="F30:F35" si="12">IF(D$12=0,0,D30/D$12)</f>
        <v>0.2519202524640673</v>
      </c>
      <c r="G30" s="1"/>
      <c r="H30" s="1">
        <f>SUM(OSRRefH22_1x_0)</f>
        <v>18951.8</v>
      </c>
      <c r="I30" s="1"/>
      <c r="J30" s="5">
        <f t="shared" ref="J30:J35" si="13">IF(H$12=0,0,H30/H$12)</f>
        <v>0.61184180790960452</v>
      </c>
      <c r="K30" s="1"/>
      <c r="L30" s="1">
        <f t="shared" ref="L30:L35" si="14">+D30-H30</f>
        <v>-2108.1599999999962</v>
      </c>
      <c r="M30" s="1"/>
      <c r="N30" s="5">
        <f t="shared" ref="N30:N35" si="15">IF(H30=0,0,L30/H30)</f>
        <v>-0.11123798267183045</v>
      </c>
      <c r="O30" s="14"/>
      <c r="P30" s="1">
        <f>SUM(OSRRefP22_1x_0)</f>
        <v>32448.820000000003</v>
      </c>
      <c r="Q30" s="1"/>
      <c r="R30" s="5">
        <f t="shared" ref="R30:R35" si="16">IF(P$12=0,0,P30/P$12)</f>
        <v>0.36944188906093456</v>
      </c>
      <c r="S30" s="1"/>
      <c r="T30" s="1">
        <f>SUM(OSRRefT22_1x_0)</f>
        <v>36772.49</v>
      </c>
      <c r="U30" s="1"/>
      <c r="V30" s="5">
        <f t="shared" ref="V30:V35" si="17">IF(T$12=0,0,T30/T$12)</f>
        <v>0.54168002239047808</v>
      </c>
      <c r="W30" s="1"/>
      <c r="X30" s="1">
        <f t="shared" ref="X30:X35" si="18">+P30-T30</f>
        <v>-4323.6699999999946</v>
      </c>
      <c r="Y30" s="1"/>
      <c r="Z30" s="5">
        <f t="shared" ref="Z30:Z35" si="19">IF(T30=0,0,X30/T30)</f>
        <v>-0.11757892924846794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4205.72</v>
      </c>
      <c r="E31" s="2"/>
      <c r="F31" s="6">
        <f t="shared" si="12"/>
        <v>6.2902439389180539E-2</v>
      </c>
      <c r="G31" s="2"/>
      <c r="H31" s="7"/>
      <c r="I31" s="2"/>
      <c r="J31" s="6">
        <f t="shared" si="13"/>
        <v>0</v>
      </c>
      <c r="K31" s="2"/>
      <c r="L31" s="7">
        <f t="shared" si="14"/>
        <v>4205.72</v>
      </c>
      <c r="M31" s="2"/>
      <c r="N31" s="6">
        <f t="shared" si="15"/>
        <v>0</v>
      </c>
      <c r="O31" s="11"/>
      <c r="P31" s="7">
        <v>9463.44</v>
      </c>
      <c r="Q31" s="2"/>
      <c r="R31" s="6">
        <f t="shared" si="16"/>
        <v>0.10774478549959013</v>
      </c>
      <c r="S31" s="2"/>
      <c r="T31" s="7"/>
      <c r="U31" s="2"/>
      <c r="V31" s="6">
        <f t="shared" si="17"/>
        <v>0</v>
      </c>
      <c r="W31" s="2"/>
      <c r="X31" s="7">
        <f t="shared" si="18"/>
        <v>9463.44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2625.07</v>
      </c>
      <c r="E32" s="2"/>
      <c r="F32" s="6">
        <f t="shared" si="12"/>
        <v>3.9261602428919705E-2</v>
      </c>
      <c r="G32" s="2"/>
      <c r="H32" s="7">
        <v>5660.58</v>
      </c>
      <c r="I32" s="2"/>
      <c r="J32" s="6">
        <f t="shared" si="13"/>
        <v>0.18274673123486682</v>
      </c>
      <c r="K32" s="2"/>
      <c r="L32" s="7">
        <f t="shared" si="14"/>
        <v>-3035.5099999999998</v>
      </c>
      <c r="M32" s="2"/>
      <c r="N32" s="6">
        <f t="shared" si="15"/>
        <v>-0.53625423543170481</v>
      </c>
      <c r="O32" s="11"/>
      <c r="P32" s="7">
        <v>4679.1400000000003</v>
      </c>
      <c r="Q32" s="2"/>
      <c r="R32" s="6">
        <f t="shared" si="16"/>
        <v>5.3273749886146284E-2</v>
      </c>
      <c r="S32" s="2"/>
      <c r="T32" s="7">
        <v>12215.31</v>
      </c>
      <c r="U32" s="2"/>
      <c r="V32" s="6">
        <f t="shared" si="17"/>
        <v>0.17993857349085229</v>
      </c>
      <c r="W32" s="2"/>
      <c r="X32" s="7">
        <f t="shared" si="18"/>
        <v>-7536.1699999999992</v>
      </c>
      <c r="Y32" s="2"/>
      <c r="Z32" s="6">
        <f t="shared" si="19"/>
        <v>-0.61694463750817619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>
        <v>7904.97</v>
      </c>
      <c r="E33" s="2"/>
      <c r="F33" s="6">
        <f t="shared" si="12"/>
        <v>0.11822990981289541</v>
      </c>
      <c r="G33" s="2"/>
      <c r="H33" s="7">
        <v>7838.45</v>
      </c>
      <c r="I33" s="2"/>
      <c r="J33" s="6">
        <f t="shared" si="13"/>
        <v>0.25305730427764328</v>
      </c>
      <c r="K33" s="2"/>
      <c r="L33" s="7">
        <f t="shared" si="14"/>
        <v>66.520000000000437</v>
      </c>
      <c r="M33" s="2"/>
      <c r="N33" s="6">
        <f t="shared" si="15"/>
        <v>8.4863716678680659E-3</v>
      </c>
      <c r="O33" s="11"/>
      <c r="P33" s="7">
        <v>14642.36</v>
      </c>
      <c r="Q33" s="2"/>
      <c r="R33" s="6">
        <f t="shared" si="16"/>
        <v>0.16670871664085982</v>
      </c>
      <c r="S33" s="2"/>
      <c r="T33" s="7">
        <v>13194.39</v>
      </c>
      <c r="U33" s="2"/>
      <c r="V33" s="6">
        <f t="shared" si="17"/>
        <v>0.19436098753793124</v>
      </c>
      <c r="W33" s="2"/>
      <c r="X33" s="7">
        <f t="shared" si="18"/>
        <v>1447.9700000000012</v>
      </c>
      <c r="Y33" s="2"/>
      <c r="Z33" s="6">
        <f t="shared" si="19"/>
        <v>0.10974133703793819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7">
        <v>2107.88</v>
      </c>
      <c r="E34" s="2"/>
      <c r="F34" s="6">
        <f t="shared" si="12"/>
        <v>3.1526300833071598E-2</v>
      </c>
      <c r="G34" s="2"/>
      <c r="H34" s="7">
        <v>4633.58</v>
      </c>
      <c r="I34" s="2"/>
      <c r="J34" s="6">
        <f t="shared" si="13"/>
        <v>0.14959096045197739</v>
      </c>
      <c r="K34" s="2"/>
      <c r="L34" s="7">
        <f t="shared" si="14"/>
        <v>-2525.6999999999998</v>
      </c>
      <c r="M34" s="2"/>
      <c r="N34" s="6">
        <f t="shared" si="15"/>
        <v>-0.54508608894202748</v>
      </c>
      <c r="O34" s="11"/>
      <c r="P34" s="7">
        <v>3663.88</v>
      </c>
      <c r="Q34" s="2"/>
      <c r="R34" s="6">
        <f t="shared" si="16"/>
        <v>4.1714637034338281E-2</v>
      </c>
      <c r="S34" s="2"/>
      <c r="T34" s="7">
        <v>10062.290000000001</v>
      </c>
      <c r="U34" s="2"/>
      <c r="V34" s="6">
        <f t="shared" si="17"/>
        <v>0.14822334501959167</v>
      </c>
      <c r="W34" s="2"/>
      <c r="X34" s="7">
        <f t="shared" si="18"/>
        <v>-6398.4100000000008</v>
      </c>
      <c r="Y34" s="2"/>
      <c r="Z34" s="6">
        <f t="shared" si="19"/>
        <v>-0.63588010283941332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12"/>
        <v>0</v>
      </c>
      <c r="G35" s="2"/>
      <c r="H35" s="7">
        <v>819.19</v>
      </c>
      <c r="I35" s="2"/>
      <c r="J35" s="6">
        <f t="shared" si="13"/>
        <v>2.644681194511703E-2</v>
      </c>
      <c r="K35" s="2"/>
      <c r="L35" s="7">
        <f t="shared" si="14"/>
        <v>-819.19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1300.5</v>
      </c>
      <c r="U35" s="2"/>
      <c r="V35" s="6">
        <f t="shared" si="17"/>
        <v>1.9157116342102938E-2</v>
      </c>
      <c r="W35" s="2"/>
      <c r="X35" s="7">
        <f t="shared" si="18"/>
        <v>-1300.5</v>
      </c>
      <c r="Y35" s="2"/>
      <c r="Z35" s="6">
        <f t="shared" si="19"/>
        <v>-1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8" si="20">IF(D$12=0,0,D36/D$12)</f>
        <v>0</v>
      </c>
      <c r="G36" s="1"/>
      <c r="H36" s="1">
        <f>SUM(OSRRefH22_2x_0)</f>
        <v>38</v>
      </c>
      <c r="I36" s="1"/>
      <c r="J36" s="5">
        <f t="shared" ref="J36:J48" si="21">IF(H$12=0,0,H36/H$12)</f>
        <v>1.2267958030669896E-3</v>
      </c>
      <c r="K36" s="1"/>
      <c r="L36" s="1">
        <f t="shared" ref="L36:L48" si="22">+D36-H36</f>
        <v>-38</v>
      </c>
      <c r="M36" s="1"/>
      <c r="N36" s="5">
        <f t="shared" ref="N36:N48" si="23">IF(H36=0,0,L36/H36)</f>
        <v>-1</v>
      </c>
      <c r="O36" s="14"/>
      <c r="P36" s="1">
        <f>SUM(OSRRefP22_2x_0)</f>
        <v>0</v>
      </c>
      <c r="Q36" s="1"/>
      <c r="R36" s="5">
        <f t="shared" ref="R36:R48" si="24">IF(P$12=0,0,P36/P$12)</f>
        <v>0</v>
      </c>
      <c r="S36" s="1"/>
      <c r="T36" s="1">
        <f>SUM(OSRRefT22_2x_0)</f>
        <v>38</v>
      </c>
      <c r="U36" s="1"/>
      <c r="V36" s="5">
        <f t="shared" ref="V36:V48" si="25">IF(T$12=0,0,T36/T$12)</f>
        <v>5.5976195386383057E-4</v>
      </c>
      <c r="W36" s="1"/>
      <c r="X36" s="1">
        <f t="shared" ref="X36:X48" si="26">+P36-T36</f>
        <v>-38</v>
      </c>
      <c r="Y36" s="1"/>
      <c r="Z36" s="5">
        <f t="shared" ref="Z36:Z48" si="27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>
        <v>38</v>
      </c>
      <c r="I37" s="2"/>
      <c r="J37" s="6">
        <f t="shared" si="21"/>
        <v>1.2267958030669896E-3</v>
      </c>
      <c r="K37" s="2"/>
      <c r="L37" s="7">
        <f t="shared" si="22"/>
        <v>-38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38</v>
      </c>
      <c r="U37" s="2"/>
      <c r="V37" s="6">
        <f t="shared" si="25"/>
        <v>5.5976195386383057E-4</v>
      </c>
      <c r="W37" s="2"/>
      <c r="X37" s="7">
        <f t="shared" si="26"/>
        <v>-38</v>
      </c>
      <c r="Y37" s="2"/>
      <c r="Z37" s="6">
        <f t="shared" si="27"/>
        <v>-1</v>
      </c>
    </row>
    <row r="38" spans="1:26" s="28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124.1</v>
      </c>
      <c r="E38" s="1"/>
      <c r="F38" s="5">
        <f t="shared" si="20"/>
        <v>1.856089499110094E-3</v>
      </c>
      <c r="G38" s="1"/>
      <c r="H38" s="1">
        <f>SUM(OSRRefH22_3x_0)</f>
        <v>2174.79</v>
      </c>
      <c r="I38" s="1"/>
      <c r="J38" s="5">
        <f t="shared" si="21"/>
        <v>7.0211138014527844E-2</v>
      </c>
      <c r="K38" s="1"/>
      <c r="L38" s="1">
        <f t="shared" si="22"/>
        <v>-2050.69</v>
      </c>
      <c r="M38" s="1"/>
      <c r="N38" s="5">
        <f t="shared" si="23"/>
        <v>-0.94293701920645212</v>
      </c>
      <c r="O38" s="14"/>
      <c r="P38" s="1">
        <f>SUM(OSRRefP22_3x_0)</f>
        <v>370.43</v>
      </c>
      <c r="Q38" s="1"/>
      <c r="R38" s="5">
        <f t="shared" si="24"/>
        <v>4.2174833773567719E-3</v>
      </c>
      <c r="S38" s="1"/>
      <c r="T38" s="1">
        <f>SUM(OSRRefT22_3x_0)</f>
        <v>2494.4899999999998</v>
      </c>
      <c r="U38" s="1"/>
      <c r="V38" s="5">
        <f t="shared" si="25"/>
        <v>3.6745278849836485E-2</v>
      </c>
      <c r="W38" s="1"/>
      <c r="X38" s="1">
        <f t="shared" si="26"/>
        <v>-2124.06</v>
      </c>
      <c r="Y38" s="1"/>
      <c r="Z38" s="5">
        <f t="shared" si="27"/>
        <v>-0.85150070755946106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7">
        <v>124.1</v>
      </c>
      <c r="E39" s="2"/>
      <c r="F39" s="6">
        <f t="shared" si="20"/>
        <v>1.856089499110094E-3</v>
      </c>
      <c r="G39" s="2"/>
      <c r="H39" s="7">
        <v>2174.79</v>
      </c>
      <c r="I39" s="2"/>
      <c r="J39" s="6">
        <f t="shared" si="21"/>
        <v>7.0211138014527844E-2</v>
      </c>
      <c r="K39" s="2"/>
      <c r="L39" s="7">
        <f t="shared" si="22"/>
        <v>-2050.69</v>
      </c>
      <c r="M39" s="2"/>
      <c r="N39" s="6">
        <f t="shared" si="23"/>
        <v>-0.94293701920645212</v>
      </c>
      <c r="O39" s="11"/>
      <c r="P39" s="7">
        <v>370.43</v>
      </c>
      <c r="Q39" s="2"/>
      <c r="R39" s="6">
        <f t="shared" si="24"/>
        <v>4.2174833773567719E-3</v>
      </c>
      <c r="S39" s="2"/>
      <c r="T39" s="7">
        <v>2494.4899999999998</v>
      </c>
      <c r="U39" s="2"/>
      <c r="V39" s="6">
        <f t="shared" si="25"/>
        <v>3.6745278849836485E-2</v>
      </c>
      <c r="W39" s="2"/>
      <c r="X39" s="7">
        <f t="shared" si="26"/>
        <v>-2124.06</v>
      </c>
      <c r="Y39" s="2"/>
      <c r="Z39" s="6">
        <f t="shared" si="27"/>
        <v>-0.85150070755946106</v>
      </c>
    </row>
    <row r="40" spans="1:26" s="28" customFormat="1" outlineLevel="1" collapsed="1" x14ac:dyDescent="0.25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0.28999999999999998</v>
      </c>
      <c r="E40" s="1"/>
      <c r="F40" s="5">
        <f t="shared" si="20"/>
        <v>4.3373566054949817E-6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0.28999999999999998</v>
      </c>
      <c r="M40" s="1"/>
      <c r="N40" s="5">
        <f t="shared" si="23"/>
        <v>0</v>
      </c>
      <c r="O40" s="14"/>
      <c r="P40" s="1">
        <f>SUM(OSRRefP22_4x_0)</f>
        <v>0.28999999999999998</v>
      </c>
      <c r="Q40" s="1"/>
      <c r="R40" s="5">
        <f t="shared" si="24"/>
        <v>3.3017579014482193E-6</v>
      </c>
      <c r="S40" s="1"/>
      <c r="T40" s="1">
        <f>SUM(OSRRefT22_4x_0)</f>
        <v>0</v>
      </c>
      <c r="U40" s="1"/>
      <c r="V40" s="5">
        <f t="shared" si="25"/>
        <v>0</v>
      </c>
      <c r="W40" s="1"/>
      <c r="X40" s="1">
        <f t="shared" si="26"/>
        <v>0.28999999999999998</v>
      </c>
      <c r="Y40" s="1"/>
      <c r="Z40" s="5">
        <f t="shared" si="27"/>
        <v>0</v>
      </c>
    </row>
    <row r="41" spans="1:26" s="24" customFormat="1" hidden="1" outlineLevel="2" x14ac:dyDescent="0.25">
      <c r="A41" s="29"/>
      <c r="B41" s="11" t="str">
        <f>CONCATENATE("          ", "6305", " - ", "FREIGHT OUT")</f>
        <v xml:space="preserve">          6305 - FREIGHT OUT</v>
      </c>
      <c r="C41" s="11"/>
      <c r="D41" s="7">
        <v>0.28999999999999998</v>
      </c>
      <c r="E41" s="2"/>
      <c r="F41" s="6">
        <f t="shared" si="20"/>
        <v>4.3373566054949817E-6</v>
      </c>
      <c r="G41" s="2"/>
      <c r="H41" s="7"/>
      <c r="I41" s="2"/>
      <c r="J41" s="6">
        <f t="shared" si="21"/>
        <v>0</v>
      </c>
      <c r="K41" s="2"/>
      <c r="L41" s="7">
        <f t="shared" si="22"/>
        <v>0.28999999999999998</v>
      </c>
      <c r="M41" s="2"/>
      <c r="N41" s="6">
        <f t="shared" si="23"/>
        <v>0</v>
      </c>
      <c r="O41" s="11"/>
      <c r="P41" s="7">
        <v>0.28999999999999998</v>
      </c>
      <c r="Q41" s="2"/>
      <c r="R41" s="6">
        <f t="shared" si="24"/>
        <v>3.3017579014482193E-6</v>
      </c>
      <c r="S41" s="2"/>
      <c r="T41" s="7"/>
      <c r="U41" s="2"/>
      <c r="V41" s="6">
        <f t="shared" si="25"/>
        <v>0</v>
      </c>
      <c r="W41" s="2"/>
      <c r="X41" s="7">
        <f t="shared" si="26"/>
        <v>0.28999999999999998</v>
      </c>
      <c r="Y41" s="2"/>
      <c r="Z41" s="6">
        <f t="shared" si="27"/>
        <v>0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SUM(OSRRefD22_5x_0)</f>
        <v>29.01</v>
      </c>
      <c r="E42" s="1"/>
      <c r="F42" s="5">
        <f t="shared" si="20"/>
        <v>4.3388522457037739E-4</v>
      </c>
      <c r="G42" s="1"/>
      <c r="H42" s="1">
        <f>SUM(OSRRefH22_5x_0)</f>
        <v>29.01</v>
      </c>
      <c r="I42" s="1"/>
      <c r="J42" s="5">
        <f t="shared" si="21"/>
        <v>9.3656174334140441E-4</v>
      </c>
      <c r="K42" s="1"/>
      <c r="L42" s="1">
        <f t="shared" si="22"/>
        <v>0</v>
      </c>
      <c r="M42" s="1"/>
      <c r="N42" s="5">
        <f t="shared" si="23"/>
        <v>0</v>
      </c>
      <c r="O42" s="14"/>
      <c r="P42" s="1">
        <f>SUM(OSRRefP22_5x_0)</f>
        <v>58.02</v>
      </c>
      <c r="Q42" s="1"/>
      <c r="R42" s="5">
        <f t="shared" si="24"/>
        <v>6.6057928773112311E-4</v>
      </c>
      <c r="S42" s="1"/>
      <c r="T42" s="1">
        <f>SUM(OSRRefT22_5x_0)</f>
        <v>58.02</v>
      </c>
      <c r="U42" s="1"/>
      <c r="V42" s="5">
        <f t="shared" si="25"/>
        <v>8.5466812008366973E-4</v>
      </c>
      <c r="W42" s="1"/>
      <c r="X42" s="1">
        <f t="shared" si="26"/>
        <v>0</v>
      </c>
      <c r="Y42" s="1"/>
      <c r="Z42" s="5">
        <f t="shared" si="27"/>
        <v>0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29.01</v>
      </c>
      <c r="E43" s="2"/>
      <c r="F43" s="6">
        <f t="shared" si="20"/>
        <v>4.3388522457037739E-4</v>
      </c>
      <c r="G43" s="2"/>
      <c r="H43" s="7">
        <v>29.01</v>
      </c>
      <c r="I43" s="2"/>
      <c r="J43" s="6">
        <f t="shared" si="21"/>
        <v>9.3656174334140441E-4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58.02</v>
      </c>
      <c r="Q43" s="2"/>
      <c r="R43" s="6">
        <f t="shared" si="24"/>
        <v>6.6057928773112311E-4</v>
      </c>
      <c r="S43" s="2"/>
      <c r="T43" s="7">
        <v>58.02</v>
      </c>
      <c r="U43" s="2"/>
      <c r="V43" s="6">
        <f t="shared" si="25"/>
        <v>8.5466812008366973E-4</v>
      </c>
      <c r="W43" s="2"/>
      <c r="X43" s="7">
        <f t="shared" si="26"/>
        <v>0</v>
      </c>
      <c r="Y43" s="2"/>
      <c r="Z43" s="6">
        <f t="shared" si="27"/>
        <v>0</v>
      </c>
    </row>
    <row r="44" spans="1:26" s="28" customFormat="1" outlineLevel="1" collapsed="1" x14ac:dyDescent="0.25">
      <c r="A44" s="27"/>
      <c r="B44" s="14" t="str">
        <f>CONCATENATE("     ","Rent                                              ")</f>
        <v xml:space="preserve">     Rent                                              </v>
      </c>
      <c r="C44" s="14"/>
      <c r="D44" s="1">
        <f>SUM(OSRRefD22_6x_0)</f>
        <v>800</v>
      </c>
      <c r="E44" s="1"/>
      <c r="F44" s="5">
        <f t="shared" si="20"/>
        <v>1.1965121670330986E-2</v>
      </c>
      <c r="G44" s="1"/>
      <c r="H44" s="1">
        <f>SUM(OSRRefH22_6x_0)</f>
        <v>800</v>
      </c>
      <c r="I44" s="1"/>
      <c r="J44" s="5">
        <f t="shared" si="21"/>
        <v>2.5827280064568199E-2</v>
      </c>
      <c r="K44" s="1"/>
      <c r="L44" s="1">
        <f t="shared" si="22"/>
        <v>0</v>
      </c>
      <c r="M44" s="1"/>
      <c r="N44" s="5">
        <f t="shared" si="23"/>
        <v>0</v>
      </c>
      <c r="O44" s="14"/>
      <c r="P44" s="1">
        <f>SUM(OSRRefP22_6x_0)</f>
        <v>1600</v>
      </c>
      <c r="Q44" s="1"/>
      <c r="R44" s="5">
        <f t="shared" si="24"/>
        <v>1.8216595318335003E-2</v>
      </c>
      <c r="S44" s="1"/>
      <c r="T44" s="1">
        <f>SUM(OSRRefT22_6x_0)</f>
        <v>1600</v>
      </c>
      <c r="U44" s="1"/>
      <c r="V44" s="5">
        <f t="shared" si="25"/>
        <v>2.3568924373213916E-2</v>
      </c>
      <c r="W44" s="1"/>
      <c r="X44" s="1">
        <f t="shared" si="26"/>
        <v>0</v>
      </c>
      <c r="Y44" s="1"/>
      <c r="Z44" s="5">
        <f t="shared" si="27"/>
        <v>0</v>
      </c>
    </row>
    <row r="45" spans="1:26" s="24" customFormat="1" hidden="1" outlineLevel="2" x14ac:dyDescent="0.25">
      <c r="A45" s="29"/>
      <c r="B45" s="11" t="str">
        <f>CONCATENATE("          ", "6273", " - ", "RENT")</f>
        <v xml:space="preserve">          6273 - RENT</v>
      </c>
      <c r="C45" s="11"/>
      <c r="D45" s="7">
        <v>800</v>
      </c>
      <c r="E45" s="2"/>
      <c r="F45" s="6">
        <f t="shared" si="20"/>
        <v>1.1965121670330986E-2</v>
      </c>
      <c r="G45" s="2"/>
      <c r="H45" s="7">
        <v>800</v>
      </c>
      <c r="I45" s="2"/>
      <c r="J45" s="6">
        <f t="shared" si="21"/>
        <v>2.5827280064568199E-2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>
        <v>1600</v>
      </c>
      <c r="Q45" s="2"/>
      <c r="R45" s="6">
        <f t="shared" si="24"/>
        <v>1.8216595318335003E-2</v>
      </c>
      <c r="S45" s="2"/>
      <c r="T45" s="7">
        <v>1600</v>
      </c>
      <c r="U45" s="2"/>
      <c r="V45" s="6">
        <f t="shared" si="25"/>
        <v>2.3568924373213916E-2</v>
      </c>
      <c r="W45" s="2"/>
      <c r="X45" s="7">
        <f t="shared" si="26"/>
        <v>0</v>
      </c>
      <c r="Y45" s="2"/>
      <c r="Z45" s="6">
        <f t="shared" si="27"/>
        <v>0</v>
      </c>
    </row>
    <row r="46" spans="1:26" s="28" customFormat="1" outlineLevel="1" collapsed="1" x14ac:dyDescent="0.25">
      <c r="A46" s="27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SUM(OSRRefD22_7x_0)</f>
        <v>35090.559999999998</v>
      </c>
      <c r="E46" s="1"/>
      <c r="F46" s="5">
        <f t="shared" si="20"/>
        <v>0.52482852485006204</v>
      </c>
      <c r="G46" s="1"/>
      <c r="H46" s="1">
        <f>SUM(OSRRefH22_7x_0)</f>
        <v>419.85999999999996</v>
      </c>
      <c r="I46" s="1"/>
      <c r="J46" s="5">
        <f t="shared" si="21"/>
        <v>1.3554802259887004E-2</v>
      </c>
      <c r="K46" s="1"/>
      <c r="L46" s="1">
        <f t="shared" si="22"/>
        <v>34670.699999999997</v>
      </c>
      <c r="M46" s="1"/>
      <c r="N46" s="5">
        <f t="shared" si="23"/>
        <v>82.576811318058404</v>
      </c>
      <c r="O46" s="14"/>
      <c r="P46" s="1">
        <f>SUM(OSRRefP22_7x_0)</f>
        <v>35183.15</v>
      </c>
      <c r="Q46" s="1"/>
      <c r="R46" s="5">
        <f t="shared" si="24"/>
        <v>0.40057325348392386</v>
      </c>
      <c r="S46" s="1"/>
      <c r="T46" s="1">
        <f>SUM(OSRRefT22_7x_0)</f>
        <v>14836.07</v>
      </c>
      <c r="U46" s="1"/>
      <c r="V46" s="5">
        <f t="shared" si="25"/>
        <v>0.21854388239106737</v>
      </c>
      <c r="W46" s="1"/>
      <c r="X46" s="1">
        <f t="shared" si="26"/>
        <v>20347.080000000002</v>
      </c>
      <c r="Y46" s="1"/>
      <c r="Z46" s="5">
        <f t="shared" si="27"/>
        <v>1.371460231719047</v>
      </c>
    </row>
    <row r="47" spans="1:26" s="24" customFormat="1" hidden="1" outlineLevel="2" x14ac:dyDescent="0.25">
      <c r="A47" s="29"/>
      <c r="B47" s="11" t="str">
        <f>CONCATENATE("          ", "6234", " - ", "EXPENDABLE SUPPLIES &amp; EQUIPMEN")</f>
        <v xml:space="preserve">          6234 - EXPENDABLE SUPPLIES &amp; EQUIPMEN</v>
      </c>
      <c r="C47" s="11"/>
      <c r="D47" s="7"/>
      <c r="E47" s="2"/>
      <c r="F47" s="6">
        <f t="shared" si="20"/>
        <v>0</v>
      </c>
      <c r="G47" s="2"/>
      <c r="H47" s="7">
        <v>413.27</v>
      </c>
      <c r="I47" s="2"/>
      <c r="J47" s="6">
        <f t="shared" si="21"/>
        <v>1.3342050040355125E-2</v>
      </c>
      <c r="K47" s="2"/>
      <c r="L47" s="7">
        <f t="shared" si="22"/>
        <v>-413.27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413.27</v>
      </c>
      <c r="U47" s="2"/>
      <c r="V47" s="6">
        <f t="shared" si="25"/>
        <v>6.0877058598238221E-3</v>
      </c>
      <c r="W47" s="2"/>
      <c r="X47" s="7">
        <f t="shared" si="26"/>
        <v>-413.27</v>
      </c>
      <c r="Y47" s="2"/>
      <c r="Z47" s="6">
        <f t="shared" si="27"/>
        <v>-1</v>
      </c>
    </row>
    <row r="48" spans="1:26" s="24" customFormat="1" hidden="1" outlineLevel="2" x14ac:dyDescent="0.25">
      <c r="A48" s="29"/>
      <c r="B48" s="11" t="str">
        <f>CONCATENATE("          ", "6241", " - ", "OFFICE EXPENSE")</f>
        <v xml:space="preserve">          6241 - OFFICE EXPENSE</v>
      </c>
      <c r="C48" s="11"/>
      <c r="D48" s="7">
        <v>35090.559999999998</v>
      </c>
      <c r="E48" s="2"/>
      <c r="F48" s="6">
        <f t="shared" si="20"/>
        <v>0.52482852485006204</v>
      </c>
      <c r="G48" s="2"/>
      <c r="H48" s="7">
        <v>6.59</v>
      </c>
      <c r="I48" s="2"/>
      <c r="J48" s="6">
        <f t="shared" si="21"/>
        <v>2.1275221953188055E-4</v>
      </c>
      <c r="K48" s="2"/>
      <c r="L48" s="7">
        <f t="shared" si="22"/>
        <v>35083.97</v>
      </c>
      <c r="M48" s="2"/>
      <c r="N48" s="6">
        <f t="shared" si="23"/>
        <v>5323.8194233687409</v>
      </c>
      <c r="O48" s="11"/>
      <c r="P48" s="7">
        <v>35183.15</v>
      </c>
      <c r="Q48" s="2"/>
      <c r="R48" s="6">
        <f t="shared" si="24"/>
        <v>0.40057325348392386</v>
      </c>
      <c r="S48" s="2"/>
      <c r="T48" s="7">
        <v>14422.8</v>
      </c>
      <c r="U48" s="2"/>
      <c r="V48" s="6">
        <f t="shared" si="25"/>
        <v>0.21245617653124355</v>
      </c>
      <c r="W48" s="2"/>
      <c r="X48" s="7">
        <f t="shared" si="26"/>
        <v>20760.350000000002</v>
      </c>
      <c r="Y48" s="2"/>
      <c r="Z48" s="6">
        <f t="shared" si="27"/>
        <v>1.4394119033752117</v>
      </c>
    </row>
    <row r="49" spans="1:26" s="28" customFormat="1" outlineLevel="1" collapsed="1" x14ac:dyDescent="0.25">
      <c r="A49" s="27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SUM(OSRRefD22_8x_0)</f>
        <v>137.15</v>
      </c>
      <c r="E49" s="1"/>
      <c r="F49" s="5">
        <f t="shared" ref="F49:F50" si="28">IF(D$12=0,0,D49/D$12)</f>
        <v>2.0512705463573682E-3</v>
      </c>
      <c r="G49" s="1"/>
      <c r="H49" s="1">
        <f>SUM(OSRRefH22_8x_0)</f>
        <v>199</v>
      </c>
      <c r="I49" s="1"/>
      <c r="J49" s="5">
        <f t="shared" ref="J49:J50" si="29">IF(H$12=0,0,H49/H$12)</f>
        <v>6.4245359160613399E-3</v>
      </c>
      <c r="K49" s="1"/>
      <c r="L49" s="1">
        <f t="shared" ref="L49:L50" si="30">+D49-H49</f>
        <v>-61.849999999999994</v>
      </c>
      <c r="M49" s="1"/>
      <c r="N49" s="5">
        <f t="shared" ref="N49:N50" si="31">IF(H49=0,0,L49/H49)</f>
        <v>-0.31080402010050251</v>
      </c>
      <c r="O49" s="14"/>
      <c r="P49" s="1">
        <f>SUM(OSRRefP22_8x_0)</f>
        <v>292.08</v>
      </c>
      <c r="Q49" s="1"/>
      <c r="R49" s="5">
        <f t="shared" ref="R49:R50" si="32">IF(P$12=0,0,P49/P$12)</f>
        <v>3.3254394753620548E-3</v>
      </c>
      <c r="S49" s="1"/>
      <c r="T49" s="1">
        <f>SUM(OSRRefT22_8x_0)</f>
        <v>175.65</v>
      </c>
      <c r="U49" s="1"/>
      <c r="V49" s="5">
        <f t="shared" ref="V49:V50" si="33">IF(T$12=0,0,T49/T$12)</f>
        <v>2.5874259788468907E-3</v>
      </c>
      <c r="W49" s="1"/>
      <c r="X49" s="1">
        <f t="shared" ref="X49:X50" si="34">+P49-T49</f>
        <v>116.42999999999998</v>
      </c>
      <c r="Y49" s="1"/>
      <c r="Z49" s="5">
        <f t="shared" ref="Z49:Z50" si="35">IF(T49=0,0,X49/T49)</f>
        <v>0.66285226302305711</v>
      </c>
    </row>
    <row r="50" spans="1:26" s="24" customFormat="1" hidden="1" outlineLevel="2" x14ac:dyDescent="0.25">
      <c r="A50" s="29"/>
      <c r="B50" s="11" t="str">
        <f>CONCATENATE("          ", "6309", " - ", "TELEPHONE")</f>
        <v xml:space="preserve">          6309 - TELEPHONE</v>
      </c>
      <c r="C50" s="11"/>
      <c r="D50" s="7">
        <v>137.15</v>
      </c>
      <c r="E50" s="2"/>
      <c r="F50" s="6">
        <f t="shared" si="28"/>
        <v>2.0512705463573682E-3</v>
      </c>
      <c r="G50" s="2"/>
      <c r="H50" s="7">
        <v>199</v>
      </c>
      <c r="I50" s="2"/>
      <c r="J50" s="6">
        <f t="shared" si="29"/>
        <v>6.4245359160613399E-3</v>
      </c>
      <c r="K50" s="2"/>
      <c r="L50" s="7">
        <f t="shared" si="30"/>
        <v>-61.849999999999994</v>
      </c>
      <c r="M50" s="2"/>
      <c r="N50" s="6">
        <f t="shared" si="31"/>
        <v>-0.31080402010050251</v>
      </c>
      <c r="O50" s="11"/>
      <c r="P50" s="7">
        <v>292.08</v>
      </c>
      <c r="Q50" s="2"/>
      <c r="R50" s="6">
        <f t="shared" si="32"/>
        <v>3.3254394753620548E-3</v>
      </c>
      <c r="S50" s="2"/>
      <c r="T50" s="7">
        <v>175.65</v>
      </c>
      <c r="U50" s="2"/>
      <c r="V50" s="6">
        <f t="shared" si="33"/>
        <v>2.5874259788468907E-3</v>
      </c>
      <c r="W50" s="2"/>
      <c r="X50" s="7">
        <f t="shared" si="34"/>
        <v>116.42999999999998</v>
      </c>
      <c r="Y50" s="2"/>
      <c r="Z50" s="6">
        <f t="shared" si="35"/>
        <v>0.66285226302305711</v>
      </c>
    </row>
    <row r="51" spans="1:26" s="52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25">
      <c r="A52" s="10"/>
      <c r="B52" s="25" t="s">
        <v>0</v>
      </c>
      <c r="C52" s="10"/>
      <c r="D52" s="4">
        <f>SUM(OSRRefD25x_0)</f>
        <v>325</v>
      </c>
      <c r="E52" s="4"/>
      <c r="F52" s="12">
        <f t="shared" ref="F52:F53" si="36">IF(D$12=0,0,D52/D$12)</f>
        <v>4.8608306785719625E-3</v>
      </c>
      <c r="G52" s="4"/>
      <c r="H52" s="4">
        <f>SUM(OSRRefH25x_0)</f>
        <v>3537.91</v>
      </c>
      <c r="I52" s="4"/>
      <c r="J52" s="12">
        <f t="shared" ref="J52:J53" si="37">IF(H$12=0,0,H52/H$12)</f>
        <v>0.1142182405165456</v>
      </c>
      <c r="K52" s="4"/>
      <c r="L52" s="4">
        <f t="shared" ref="L52:L53" si="38">+D52-H52</f>
        <v>-3212.91</v>
      </c>
      <c r="M52" s="4"/>
      <c r="N52" s="12">
        <f t="shared" ref="N52:N53" si="39">IF(H52=0,0,L52/H52)</f>
        <v>-0.90813785540050485</v>
      </c>
      <c r="O52" s="10"/>
      <c r="P52" s="4">
        <f>SUM(OSRRefP25x_0)</f>
        <v>490</v>
      </c>
      <c r="Q52" s="4"/>
      <c r="R52" s="12">
        <f t="shared" ref="R52:R53" si="40">IF(P$12=0,0,P52/P$12)</f>
        <v>5.5788323162400946E-3</v>
      </c>
      <c r="S52" s="4"/>
      <c r="T52" s="4">
        <f>SUM(OSRRefT25x_0)</f>
        <v>4389</v>
      </c>
      <c r="U52" s="4"/>
      <c r="V52" s="12">
        <f t="shared" ref="V52:V53" si="41">IF(T$12=0,0,T52/T$12)</f>
        <v>6.4652505671272426E-2</v>
      </c>
      <c r="W52" s="4"/>
      <c r="X52" s="4">
        <f t="shared" ref="X52:X53" si="42">+P52-T52</f>
        <v>-3899</v>
      </c>
      <c r="Y52" s="4"/>
      <c r="Z52" s="12">
        <f t="shared" ref="Z52:Z53" si="43">IF(T52=0,0,X52/T52)</f>
        <v>-0.88835725677830946</v>
      </c>
    </row>
    <row r="53" spans="1:26" s="24" customFormat="1" hidden="1" outlineLevel="1" x14ac:dyDescent="0.25">
      <c r="A53" s="44"/>
      <c r="B53" s="11" t="str">
        <f>CONCATENATE("          ", "9150", " - ", "MISC. INCOME")</f>
        <v xml:space="preserve">          9150 - MISC. INCOME</v>
      </c>
      <c r="C53" s="11"/>
      <c r="D53" s="2">
        <f>--325</f>
        <v>325</v>
      </c>
      <c r="E53" s="2"/>
      <c r="F53" s="19">
        <f t="shared" si="36"/>
        <v>4.8608306785719625E-3</v>
      </c>
      <c r="G53" s="2"/>
      <c r="H53" s="2">
        <f>--3537.91</f>
        <v>3537.91</v>
      </c>
      <c r="I53" s="2"/>
      <c r="J53" s="19">
        <f t="shared" si="37"/>
        <v>0.1142182405165456</v>
      </c>
      <c r="K53" s="2"/>
      <c r="L53" s="2">
        <f t="shared" si="38"/>
        <v>-3212.91</v>
      </c>
      <c r="M53" s="2"/>
      <c r="N53" s="19">
        <f t="shared" si="39"/>
        <v>-0.90813785540050485</v>
      </c>
      <c r="O53" s="11"/>
      <c r="P53" s="2">
        <f>--490</f>
        <v>490</v>
      </c>
      <c r="Q53" s="2"/>
      <c r="R53" s="19">
        <f t="shared" si="40"/>
        <v>5.5788323162400946E-3</v>
      </c>
      <c r="S53" s="2"/>
      <c r="T53" s="2">
        <f>--4389</f>
        <v>4389</v>
      </c>
      <c r="U53" s="2"/>
      <c r="V53" s="19">
        <f t="shared" si="41"/>
        <v>6.4652505671272426E-2</v>
      </c>
      <c r="W53" s="2"/>
      <c r="X53" s="2">
        <f t="shared" si="42"/>
        <v>-3899</v>
      </c>
      <c r="Y53" s="2"/>
      <c r="Z53" s="19">
        <f t="shared" si="43"/>
        <v>-0.88835725677830946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6" t="s">
        <v>3</v>
      </c>
      <c r="C55" s="26"/>
      <c r="D55" s="22">
        <f>+D17-D19+D52</f>
        <v>10086.040000000001</v>
      </c>
      <c r="E55" s="13"/>
      <c r="F55" s="21">
        <f>IF(D$12=0,0,D55/D$12)</f>
        <v>0.15085086971478143</v>
      </c>
      <c r="G55" s="13"/>
      <c r="H55" s="22">
        <f>+H17-H19+H52</f>
        <v>7674.3200000000033</v>
      </c>
      <c r="I55" s="13"/>
      <c r="J55" s="21">
        <f>IF(H$12=0,0,H55/H$12)</f>
        <v>0.24775851493139639</v>
      </c>
      <c r="K55" s="16"/>
      <c r="L55" s="22">
        <f>+D55-H55</f>
        <v>2411.7199999999975</v>
      </c>
      <c r="M55" s="16"/>
      <c r="N55" s="21">
        <f>IF(H55=0,0,L55/H55)</f>
        <v>0.31425846198751112</v>
      </c>
      <c r="O55" s="25"/>
      <c r="P55" s="22">
        <f>+P17-P19+P52</f>
        <v>10086.180000000008</v>
      </c>
      <c r="Q55" s="13"/>
      <c r="R55" s="21">
        <f>IF(P$12=0,0,P55/P$12)</f>
        <v>0.11483491210492767</v>
      </c>
      <c r="S55" s="13"/>
      <c r="T55" s="22">
        <f>+T17-T19+T52</f>
        <v>7674.8000000000102</v>
      </c>
      <c r="U55" s="13"/>
      <c r="V55" s="21">
        <f>IF(T$12=0,0,T55/T$12)</f>
        <v>0.11305423798721401</v>
      </c>
      <c r="W55" s="16"/>
      <c r="X55" s="22">
        <f>+P55-T55</f>
        <v>2411.3799999999974</v>
      </c>
      <c r="Y55" s="16"/>
      <c r="Z55" s="21">
        <f>IF(T55=0,0,X55/T55)</f>
        <v>0.31419450669724219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1"/>
      <c r="B57" s="10" t="s">
        <v>13</v>
      </c>
      <c r="C57" s="10"/>
      <c r="D57" s="4">
        <v>4743.34</v>
      </c>
      <c r="E57" s="4"/>
      <c r="F57" s="12">
        <f>IF(D$12=0,0,D57/D$12)</f>
        <v>7.0943300279684721E-2</v>
      </c>
      <c r="G57" s="4"/>
      <c r="H57" s="4">
        <v>789.27</v>
      </c>
      <c r="I57" s="4"/>
      <c r="J57" s="12">
        <f>IF(H$12=0,0,H57/H$12)</f>
        <v>2.548087167070218E-2</v>
      </c>
      <c r="K57" s="4"/>
      <c r="L57" s="4">
        <f>+D57-H57</f>
        <v>3954.07</v>
      </c>
      <c r="M57" s="4"/>
      <c r="N57" s="12">
        <f>IF(H57=0,0,L57/H57)</f>
        <v>5.0097811902137419</v>
      </c>
      <c r="O57" s="10"/>
      <c r="P57" s="4">
        <v>14829.270000000002</v>
      </c>
      <c r="Q57" s="4"/>
      <c r="R57" s="12">
        <f>IF(P$12=0,0,P57/P$12)</f>
        <v>0.16883675653520361</v>
      </c>
      <c r="S57" s="4"/>
      <c r="T57" s="4">
        <v>8464.15</v>
      </c>
      <c r="U57" s="4"/>
      <c r="V57" s="12">
        <f>IF(T$12=0,0,T57/T$12)</f>
        <v>0.12468181952096161</v>
      </c>
      <c r="W57" s="4"/>
      <c r="X57" s="4">
        <f>+P57-T57</f>
        <v>6365.1200000000026</v>
      </c>
      <c r="Y57" s="4"/>
      <c r="Z57" s="12">
        <f>IF(T57=0,0,X57/T57)</f>
        <v>0.7520093571120553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6" t="s">
        <v>4</v>
      </c>
      <c r="C59" s="26"/>
      <c r="D59" s="36">
        <f>+D55-D57</f>
        <v>5342.7000000000007</v>
      </c>
      <c r="E59" s="13"/>
      <c r="F59" s="34">
        <f>IF(D$12=0,0,D59/D$12)</f>
        <v>7.9907569435096706E-2</v>
      </c>
      <c r="G59" s="13"/>
      <c r="H59" s="36">
        <f>+H55-H57</f>
        <v>6885.0500000000029</v>
      </c>
      <c r="I59" s="13"/>
      <c r="J59" s="34">
        <f>IF(H$12=0,0,H59/H$12)</f>
        <v>0.22227764326069421</v>
      </c>
      <c r="K59" s="16"/>
      <c r="L59" s="36">
        <f>D59-H59</f>
        <v>-1542.3500000000022</v>
      </c>
      <c r="M59" s="16"/>
      <c r="N59" s="34">
        <f>IF(H59=0,0,L59/H59)</f>
        <v>-0.22401434993209948</v>
      </c>
      <c r="O59" s="25"/>
      <c r="P59" s="36">
        <f>+P55-P57</f>
        <v>-4743.0899999999947</v>
      </c>
      <c r="Q59" s="13"/>
      <c r="R59" s="34">
        <f>IF(P$12=0,0,P59/P$12)</f>
        <v>-5.4001844430275919E-2</v>
      </c>
      <c r="S59" s="13"/>
      <c r="T59" s="36">
        <f>+T55-T57</f>
        <v>-789.34999999998945</v>
      </c>
      <c r="U59" s="13"/>
      <c r="V59" s="34">
        <f>IF(T$12=0,0,T59/T$12)</f>
        <v>-1.1627581533747598E-2</v>
      </c>
      <c r="W59" s="16"/>
      <c r="X59" s="36">
        <f>P59-T59</f>
        <v>-3953.7400000000052</v>
      </c>
      <c r="Y59" s="16"/>
      <c r="Z59" s="34">
        <f>IF(T59=0,0,X59/T59)</f>
        <v>5.0088553873440906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6" t="s">
        <v>5</v>
      </c>
      <c r="C62" s="26"/>
      <c r="D62" s="30">
        <f>SUM(D59:D61)</f>
        <v>5342.7000000000007</v>
      </c>
      <c r="E62" s="13"/>
      <c r="F62" s="31">
        <f>IF(D$12=0,0,D62/D$12)</f>
        <v>7.9907569435096706E-2</v>
      </c>
      <c r="G62" s="13"/>
      <c r="H62" s="30">
        <f>SUM(H59:H61)</f>
        <v>6885.0500000000029</v>
      </c>
      <c r="I62" s="13"/>
      <c r="J62" s="31">
        <f>IF(H$12=0,0,H62/H$12)</f>
        <v>0.22227764326069421</v>
      </c>
      <c r="K62" s="16"/>
      <c r="L62" s="30">
        <f>+D62-H62</f>
        <v>-1542.3500000000022</v>
      </c>
      <c r="M62" s="16"/>
      <c r="N62" s="31">
        <f>IF(H62=0,0,L62/H62)</f>
        <v>-0.22401434993209948</v>
      </c>
      <c r="O62" s="25"/>
      <c r="P62" s="30">
        <f>SUM(P59:P61)</f>
        <v>-4743.0899999999947</v>
      </c>
      <c r="Q62" s="13"/>
      <c r="R62" s="31">
        <f>IF(P$12=0,0,P62/P$12)</f>
        <v>-5.4001844430275919E-2</v>
      </c>
      <c r="S62" s="13"/>
      <c r="T62" s="30">
        <f>SUM(T59:T61)</f>
        <v>-789.34999999998945</v>
      </c>
      <c r="U62" s="13"/>
      <c r="V62" s="31">
        <f>IF(T$12=0,0,T62/T$12)</f>
        <v>-1.1627581533747598E-2</v>
      </c>
      <c r="W62" s="16"/>
      <c r="X62" s="30">
        <f>+P62-T62</f>
        <v>-3953.7400000000052</v>
      </c>
      <c r="Y62" s="16"/>
      <c r="Z62" s="31">
        <f>IF(T62=0,0,X62/T62)</f>
        <v>5.0088553873440906</v>
      </c>
    </row>
    <row r="63" spans="1:26" ht="15.75" thickTop="1" x14ac:dyDescent="0.25">
      <c r="A63" s="9"/>
      <c r="C63" s="9"/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1">
        <v>44113.695914351854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6" t="s">
        <v>313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8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</sheetData>
  <pageMargins left="0.25" right="0.25" top="0.75" bottom="0.75" header="0.3" footer="0.3"/>
  <pageSetup scale="55" fitToWidth="2" orientation="landscape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2:Z6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str">
        <f>CONCATENATE("Period ",RIGHT(202102,2),", ",2021)</f>
        <v>Period 02, 2021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3">
        <v>44072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str">
        <f>CONCATENATE("Department ","501", " - ", "ID Card Services")</f>
        <v>Department 501 - ID Card Services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>
        <f>SUM(OSRRefD13x_0)</f>
        <v>66861</v>
      </c>
      <c r="E12" s="4"/>
      <c r="F12" s="12"/>
      <c r="G12" s="4"/>
      <c r="H12" s="4">
        <f>SUM(OSRRefH13x_0)</f>
        <v>30975</v>
      </c>
      <c r="I12" s="4"/>
      <c r="J12" s="12"/>
      <c r="K12" s="4"/>
      <c r="L12" s="4">
        <f t="shared" ref="L12:L13" si="0">+D12-H12</f>
        <v>35886</v>
      </c>
      <c r="M12" s="4"/>
      <c r="N12" s="12">
        <f t="shared" ref="N12:N13" si="1">IF(H12=0,0,L12/H12)</f>
        <v>1.1585472154963681</v>
      </c>
      <c r="O12" s="10"/>
      <c r="P12" s="4">
        <f>SUM(OSRRefP13x_0)</f>
        <v>87832</v>
      </c>
      <c r="Q12" s="4"/>
      <c r="R12" s="12"/>
      <c r="S12" s="4"/>
      <c r="T12" s="4">
        <f>SUM(OSRRefT13x_0)</f>
        <v>67886</v>
      </c>
      <c r="U12" s="4"/>
      <c r="V12" s="12"/>
      <c r="W12" s="4"/>
      <c r="X12" s="4">
        <f t="shared" ref="X12:X13" si="2">+P12-T12</f>
        <v>19946</v>
      </c>
      <c r="Y12" s="4"/>
      <c r="Z12" s="12">
        <f t="shared" ref="Z12:Z13" si="3">IF(T12=0,0,X12/T12)</f>
        <v>0.29381610346757797</v>
      </c>
    </row>
    <row r="13" spans="1:26" s="24" customFormat="1" hidden="1" outlineLevel="1" x14ac:dyDescent="0.25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--66861</f>
        <v>66861</v>
      </c>
      <c r="E13" s="2"/>
      <c r="F13" s="19"/>
      <c r="G13" s="2"/>
      <c r="H13" s="2">
        <f>--30975</f>
        <v>30975</v>
      </c>
      <c r="I13" s="2"/>
      <c r="J13" s="19"/>
      <c r="K13" s="2"/>
      <c r="L13" s="2">
        <f t="shared" si="0"/>
        <v>35886</v>
      </c>
      <c r="M13" s="2"/>
      <c r="N13" s="19">
        <f t="shared" si="1"/>
        <v>1.1585472154963681</v>
      </c>
      <c r="O13" s="11"/>
      <c r="P13" s="2">
        <f>--87832</f>
        <v>87832</v>
      </c>
      <c r="Q13" s="2"/>
      <c r="R13" s="19"/>
      <c r="S13" s="2"/>
      <c r="T13" s="2">
        <f>--67886</f>
        <v>67886</v>
      </c>
      <c r="U13" s="2"/>
      <c r="V13" s="19"/>
      <c r="W13" s="2"/>
      <c r="X13" s="2">
        <f t="shared" si="2"/>
        <v>19946</v>
      </c>
      <c r="Y13" s="2"/>
      <c r="Z13" s="19">
        <f t="shared" si="3"/>
        <v>0.29381610346757797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25">
      <c r="A15" s="10"/>
      <c r="B15" s="25" t="s">
        <v>8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25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25">
      <c r="A17" s="10"/>
      <c r="B17" s="26" t="s">
        <v>6</v>
      </c>
      <c r="C17" s="26"/>
      <c r="D17" s="22">
        <f>D12-D15</f>
        <v>66861</v>
      </c>
      <c r="E17" s="13"/>
      <c r="F17" s="21">
        <f>IF(D$12=0,0,D17/D$12)</f>
        <v>1</v>
      </c>
      <c r="G17" s="13"/>
      <c r="H17" s="22">
        <f>H12-H15</f>
        <v>30975</v>
      </c>
      <c r="I17" s="13"/>
      <c r="J17" s="21">
        <f>IF(H$12=0,0,H17/H$12)</f>
        <v>1</v>
      </c>
      <c r="K17" s="16"/>
      <c r="L17" s="22">
        <f>+D17-H17</f>
        <v>35886</v>
      </c>
      <c r="M17" s="16"/>
      <c r="N17" s="21">
        <f>IF(H17=0,0,L17/H17)</f>
        <v>1.1585472154963681</v>
      </c>
      <c r="O17" s="25"/>
      <c r="P17" s="22">
        <f>P12-P15</f>
        <v>87832</v>
      </c>
      <c r="Q17" s="13"/>
      <c r="R17" s="21">
        <f>IF(P$12=0,0,P17/P$12)</f>
        <v>1</v>
      </c>
      <c r="S17" s="13"/>
      <c r="T17" s="22">
        <f>T12-T15</f>
        <v>67886</v>
      </c>
      <c r="U17" s="13"/>
      <c r="V17" s="21">
        <f>IF(T$12=0,0,T17/T$12)</f>
        <v>1</v>
      </c>
      <c r="W17" s="16"/>
      <c r="X17" s="22">
        <f>+P17-T17</f>
        <v>19946</v>
      </c>
      <c r="Y17" s="16"/>
      <c r="Z17" s="21">
        <f>IF(T17=0,0,X17/T17)</f>
        <v>0.29381610346757797</v>
      </c>
    </row>
    <row r="18" spans="1:26" x14ac:dyDescent="0.25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25">
      <c r="A19" s="10"/>
      <c r="B19" s="25" t="s">
        <v>9</v>
      </c>
      <c r="C19" s="10"/>
      <c r="D19" s="20">
        <f>SUM(OSRRefD22x_0)</f>
        <v>57099.96</v>
      </c>
      <c r="E19" s="20"/>
      <c r="F19" s="35">
        <f t="shared" ref="F19:F29" si="4">IF(D$12=0,0,D19/D$12)</f>
        <v>0.85400996096379056</v>
      </c>
      <c r="G19" s="20"/>
      <c r="H19" s="20">
        <f>SUM(OSRRefH22x_0)</f>
        <v>26838.589999999997</v>
      </c>
      <c r="I19" s="20"/>
      <c r="J19" s="35">
        <f t="shared" ref="J19:J29" si="5">IF(H$12=0,0,H19/H$12)</f>
        <v>0.86645972558514917</v>
      </c>
      <c r="K19" s="4"/>
      <c r="L19" s="20">
        <f t="shared" ref="L19:L29" si="6">+D19-H19</f>
        <v>30261.370000000003</v>
      </c>
      <c r="M19" s="4"/>
      <c r="N19" s="35">
        <f t="shared" ref="N19:N29" si="7">IF(H19=0,0,L19/H19)</f>
        <v>1.1275320350286659</v>
      </c>
      <c r="O19" s="10"/>
      <c r="P19" s="20">
        <f>SUM(OSRRefP22x_0)</f>
        <v>78235.819999999992</v>
      </c>
      <c r="Q19" s="20"/>
      <c r="R19" s="35">
        <f t="shared" ref="R19:R29" si="8">IF(P$12=0,0,P19/P$12)</f>
        <v>0.89074392021131243</v>
      </c>
      <c r="S19" s="20"/>
      <c r="T19" s="20">
        <f>SUM(OSRRefT22x_0)</f>
        <v>64600.19999999999</v>
      </c>
      <c r="U19" s="20"/>
      <c r="V19" s="35">
        <f t="shared" ref="V19:V29" si="9">IF(T$12=0,0,T19/T$12)</f>
        <v>0.95159826768405842</v>
      </c>
      <c r="W19" s="4"/>
      <c r="X19" s="20">
        <f t="shared" ref="X19:X29" si="10">+P19-T19</f>
        <v>13635.620000000003</v>
      </c>
      <c r="Y19" s="4"/>
      <c r="Z19" s="35">
        <f t="shared" ref="Z19:Z29" si="11">IF(T19=0,0,X19/T19)</f>
        <v>0.21107705548899236</v>
      </c>
    </row>
    <row r="20" spans="1:26" s="28" customFormat="1" outlineLevel="1" collapsed="1" x14ac:dyDescent="0.25">
      <c r="A20" s="27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4075.21</v>
      </c>
      <c r="E20" s="1"/>
      <c r="F20" s="5">
        <f t="shared" si="4"/>
        <v>6.0950479352686916E-2</v>
      </c>
      <c r="G20" s="1"/>
      <c r="H20" s="1">
        <f>SUM(OSRRefH22_0x_0)</f>
        <v>4226.13</v>
      </c>
      <c r="I20" s="1"/>
      <c r="J20" s="5">
        <f t="shared" si="5"/>
        <v>0.13643680387409202</v>
      </c>
      <c r="K20" s="1"/>
      <c r="L20" s="1">
        <f t="shared" si="6"/>
        <v>-150.92000000000007</v>
      </c>
      <c r="M20" s="1"/>
      <c r="N20" s="5">
        <f t="shared" si="7"/>
        <v>-3.5711158908978205E-2</v>
      </c>
      <c r="O20" s="14"/>
      <c r="P20" s="1">
        <f>SUM(OSRRefP22_0x_0)</f>
        <v>8283.0300000000007</v>
      </c>
      <c r="Q20" s="1"/>
      <c r="R20" s="5">
        <f t="shared" si="8"/>
        <v>9.4305378449767746E-2</v>
      </c>
      <c r="S20" s="1"/>
      <c r="T20" s="1">
        <f>SUM(OSRRefT22_0x_0)</f>
        <v>8625.48</v>
      </c>
      <c r="U20" s="1"/>
      <c r="V20" s="5">
        <f t="shared" si="9"/>
        <v>0.12705830362666823</v>
      </c>
      <c r="W20" s="1"/>
      <c r="X20" s="1">
        <f t="shared" si="10"/>
        <v>-342.44999999999891</v>
      </c>
      <c r="Y20" s="1"/>
      <c r="Z20" s="5">
        <f t="shared" si="11"/>
        <v>-3.9702138315780559E-2</v>
      </c>
    </row>
    <row r="21" spans="1:26" s="24" customFormat="1" hidden="1" outlineLevel="2" x14ac:dyDescent="0.25">
      <c r="A21" s="29"/>
      <c r="B21" s="11" t="str">
        <f>CONCATENATE("          ", "6111", " - ", "F.I.C.A.")</f>
        <v xml:space="preserve">          6111 - F.I.C.A.</v>
      </c>
      <c r="C21" s="11"/>
      <c r="D21" s="7">
        <v>1161.71</v>
      </c>
      <c r="E21" s="2"/>
      <c r="F21" s="6">
        <f t="shared" si="4"/>
        <v>1.7375001869550263E-2</v>
      </c>
      <c r="G21" s="2"/>
      <c r="H21" s="7">
        <v>1291.28</v>
      </c>
      <c r="I21" s="2"/>
      <c r="J21" s="6">
        <f t="shared" si="5"/>
        <v>4.1687812752219534E-2</v>
      </c>
      <c r="K21" s="2"/>
      <c r="L21" s="7">
        <f t="shared" si="6"/>
        <v>-129.56999999999994</v>
      </c>
      <c r="M21" s="2"/>
      <c r="N21" s="6">
        <f t="shared" si="7"/>
        <v>-0.10034229601635582</v>
      </c>
      <c r="O21" s="11"/>
      <c r="P21" s="7">
        <v>2168.29</v>
      </c>
      <c r="Q21" s="2"/>
      <c r="R21" s="6">
        <f t="shared" si="8"/>
        <v>2.4686788414245379E-2</v>
      </c>
      <c r="S21" s="2"/>
      <c r="T21" s="7">
        <v>2357.21</v>
      </c>
      <c r="U21" s="2"/>
      <c r="V21" s="6">
        <f t="shared" si="9"/>
        <v>3.4723065138614735E-2</v>
      </c>
      <c r="W21" s="2"/>
      <c r="X21" s="7">
        <f t="shared" si="10"/>
        <v>-188.92000000000007</v>
      </c>
      <c r="Y21" s="2"/>
      <c r="Z21" s="6">
        <f t="shared" si="11"/>
        <v>-8.0145595852724225E-2</v>
      </c>
    </row>
    <row r="22" spans="1:26" s="24" customFormat="1" hidden="1" outlineLevel="2" x14ac:dyDescent="0.25">
      <c r="A22" s="29"/>
      <c r="B22" s="11" t="str">
        <f>CONCATENATE("          ", "6112", " - ", "COMPENSATION INSURANCE")</f>
        <v xml:space="preserve">          6112 - COMPENSATION INSURANCE</v>
      </c>
      <c r="C22" s="11"/>
      <c r="D22" s="7">
        <v>84.22</v>
      </c>
      <c r="E22" s="2"/>
      <c r="F22" s="6">
        <f t="shared" si="4"/>
        <v>1.2596281838440945E-3</v>
      </c>
      <c r="G22" s="2"/>
      <c r="H22" s="7">
        <v>60.78</v>
      </c>
      <c r="I22" s="2"/>
      <c r="J22" s="6">
        <f t="shared" si="5"/>
        <v>1.9622276029055692E-3</v>
      </c>
      <c r="K22" s="2"/>
      <c r="L22" s="7">
        <f t="shared" si="6"/>
        <v>23.439999999999998</v>
      </c>
      <c r="M22" s="2"/>
      <c r="N22" s="6">
        <f t="shared" si="7"/>
        <v>0.38565317538664029</v>
      </c>
      <c r="O22" s="11"/>
      <c r="P22" s="7">
        <v>162.09</v>
      </c>
      <c r="Q22" s="2"/>
      <c r="R22" s="6">
        <f t="shared" si="8"/>
        <v>1.8454549594680754E-3</v>
      </c>
      <c r="S22" s="2"/>
      <c r="T22" s="7">
        <v>109.78</v>
      </c>
      <c r="U22" s="2"/>
      <c r="V22" s="6">
        <f t="shared" si="9"/>
        <v>1.6171228235571399E-3</v>
      </c>
      <c r="W22" s="2"/>
      <c r="X22" s="7">
        <f t="shared" si="10"/>
        <v>52.31</v>
      </c>
      <c r="Y22" s="2"/>
      <c r="Z22" s="6">
        <f t="shared" si="11"/>
        <v>0.47649845144835129</v>
      </c>
    </row>
    <row r="23" spans="1:26" s="24" customFormat="1" hidden="1" outlineLevel="2" x14ac:dyDescent="0.25">
      <c r="A23" s="29"/>
      <c r="B23" s="11" t="str">
        <f>CONCATENATE("          ", "6113", " - ", "GROUP INSURANCE")</f>
        <v xml:space="preserve">          6113 - GROUP INSURANCE</v>
      </c>
      <c r="C23" s="11"/>
      <c r="D23" s="7">
        <v>1230.45</v>
      </c>
      <c r="E23" s="2"/>
      <c r="F23" s="6">
        <f t="shared" si="4"/>
        <v>1.8403104949073452E-2</v>
      </c>
      <c r="G23" s="2"/>
      <c r="H23" s="7">
        <v>1243.31</v>
      </c>
      <c r="I23" s="2"/>
      <c r="J23" s="6">
        <f t="shared" si="5"/>
        <v>4.0139144471347858E-2</v>
      </c>
      <c r="K23" s="2"/>
      <c r="L23" s="7">
        <f t="shared" si="6"/>
        <v>-12.8599999999999</v>
      </c>
      <c r="M23" s="2"/>
      <c r="N23" s="6">
        <f t="shared" si="7"/>
        <v>-1.0343357650143489E-2</v>
      </c>
      <c r="O23" s="11"/>
      <c r="P23" s="7">
        <v>2460.9</v>
      </c>
      <c r="Q23" s="2"/>
      <c r="R23" s="6">
        <f t="shared" si="8"/>
        <v>2.8018262136806631E-2</v>
      </c>
      <c r="S23" s="2"/>
      <c r="T23" s="7">
        <v>2486.62</v>
      </c>
      <c r="U23" s="2"/>
      <c r="V23" s="6">
        <f t="shared" si="9"/>
        <v>3.6629349203075742E-2</v>
      </c>
      <c r="W23" s="2"/>
      <c r="X23" s="7">
        <f t="shared" si="10"/>
        <v>-25.7199999999998</v>
      </c>
      <c r="Y23" s="2"/>
      <c r="Z23" s="6">
        <f t="shared" si="11"/>
        <v>-1.0343357650143489E-2</v>
      </c>
    </row>
    <row r="24" spans="1:26" s="24" customFormat="1" hidden="1" outlineLevel="2" x14ac:dyDescent="0.25">
      <c r="A24" s="29"/>
      <c r="B24" s="11" t="str">
        <f>CONCATENATE("          ", "6114", " - ", "STATE UNEMPLOYMENT INSURANCE")</f>
        <v xml:space="preserve">          6114 - STATE UNEMPLOYMENT INSURANCE</v>
      </c>
      <c r="C24" s="11"/>
      <c r="D24" s="7">
        <v>39.200000000000003</v>
      </c>
      <c r="E24" s="2"/>
      <c r="F24" s="6">
        <f t="shared" si="4"/>
        <v>5.8629096184621829E-4</v>
      </c>
      <c r="G24" s="2"/>
      <c r="H24" s="7">
        <v>46.48</v>
      </c>
      <c r="I24" s="2"/>
      <c r="J24" s="6">
        <f t="shared" si="5"/>
        <v>1.5005649717514124E-3</v>
      </c>
      <c r="K24" s="2"/>
      <c r="L24" s="7">
        <f t="shared" si="6"/>
        <v>-7.279999999999994</v>
      </c>
      <c r="M24" s="2"/>
      <c r="N24" s="6">
        <f t="shared" si="7"/>
        <v>-0.15662650602409628</v>
      </c>
      <c r="O24" s="11"/>
      <c r="P24" s="7">
        <v>73.400000000000006</v>
      </c>
      <c r="Q24" s="2"/>
      <c r="R24" s="6">
        <f t="shared" si="8"/>
        <v>8.3568631022861838E-4</v>
      </c>
      <c r="S24" s="2"/>
      <c r="T24" s="7">
        <v>83.95</v>
      </c>
      <c r="U24" s="2"/>
      <c r="V24" s="6">
        <f t="shared" si="9"/>
        <v>1.2366320007070677E-3</v>
      </c>
      <c r="W24" s="2"/>
      <c r="X24" s="7">
        <f t="shared" si="10"/>
        <v>-10.549999999999997</v>
      </c>
      <c r="Y24" s="2"/>
      <c r="Z24" s="6">
        <f t="shared" si="11"/>
        <v>-0.12567004169148299</v>
      </c>
    </row>
    <row r="25" spans="1:26" s="24" customFormat="1" hidden="1" outlineLevel="2" x14ac:dyDescent="0.25">
      <c r="A25" s="29"/>
      <c r="B25" s="11" t="str">
        <f>CONCATENATE("          ", "6115", " - ", "P.E.R.S.")</f>
        <v xml:space="preserve">          6115 - P.E.R.S.</v>
      </c>
      <c r="C25" s="11"/>
      <c r="D25" s="7">
        <v>640.35</v>
      </c>
      <c r="E25" s="2"/>
      <c r="F25" s="6">
        <f t="shared" si="4"/>
        <v>9.5773320769955584E-3</v>
      </c>
      <c r="G25" s="2"/>
      <c r="H25" s="7">
        <v>609.02</v>
      </c>
      <c r="I25" s="2"/>
      <c r="J25" s="6">
        <f t="shared" si="5"/>
        <v>1.9661662631154157E-2</v>
      </c>
      <c r="K25" s="2"/>
      <c r="L25" s="7">
        <f t="shared" si="6"/>
        <v>31.330000000000041</v>
      </c>
      <c r="M25" s="2"/>
      <c r="N25" s="6">
        <f t="shared" si="7"/>
        <v>5.1443302354602545E-2</v>
      </c>
      <c r="O25" s="11"/>
      <c r="P25" s="7">
        <v>1579.79</v>
      </c>
      <c r="Q25" s="2"/>
      <c r="R25" s="6">
        <f t="shared" si="8"/>
        <v>1.7986496948720284E-2</v>
      </c>
      <c r="S25" s="2"/>
      <c r="T25" s="7">
        <v>1218.04</v>
      </c>
      <c r="U25" s="2"/>
      <c r="V25" s="6">
        <f t="shared" si="9"/>
        <v>1.7942432902218426E-2</v>
      </c>
      <c r="W25" s="2"/>
      <c r="X25" s="7">
        <f t="shared" si="10"/>
        <v>361.75</v>
      </c>
      <c r="Y25" s="2"/>
      <c r="Z25" s="6">
        <f t="shared" si="11"/>
        <v>0.2969935305901284</v>
      </c>
    </row>
    <row r="26" spans="1:26" s="24" customFormat="1" hidden="1" outlineLevel="2" x14ac:dyDescent="0.25">
      <c r="A26" s="29"/>
      <c r="B26" s="11" t="str">
        <f>CONCATENATE("          ", "6117", " - ", "RETIREMENT STAFF HOURLY")</f>
        <v xml:space="preserve">          6117 - RETIREMENT STAFF HOURLY</v>
      </c>
      <c r="C26" s="11"/>
      <c r="D26" s="7">
        <v>100</v>
      </c>
      <c r="E26" s="2"/>
      <c r="F26" s="6">
        <f t="shared" si="4"/>
        <v>1.4956402087913732E-3</v>
      </c>
      <c r="G26" s="2"/>
      <c r="H26" s="7"/>
      <c r="I26" s="2"/>
      <c r="J26" s="6">
        <f t="shared" si="5"/>
        <v>0</v>
      </c>
      <c r="K26" s="2"/>
      <c r="L26" s="7">
        <f t="shared" si="6"/>
        <v>100</v>
      </c>
      <c r="M26" s="2"/>
      <c r="N26" s="6">
        <f t="shared" si="7"/>
        <v>0</v>
      </c>
      <c r="O26" s="11"/>
      <c r="P26" s="7">
        <v>200</v>
      </c>
      <c r="Q26" s="2"/>
      <c r="R26" s="6">
        <f t="shared" si="8"/>
        <v>2.2770744147918754E-3</v>
      </c>
      <c r="S26" s="2"/>
      <c r="T26" s="7"/>
      <c r="U26" s="2"/>
      <c r="V26" s="6">
        <f t="shared" si="9"/>
        <v>0</v>
      </c>
      <c r="W26" s="2"/>
      <c r="X26" s="7">
        <f t="shared" si="10"/>
        <v>200</v>
      </c>
      <c r="Y26" s="2"/>
      <c r="Z26" s="6">
        <f t="shared" si="11"/>
        <v>0</v>
      </c>
    </row>
    <row r="27" spans="1:26" s="24" customFormat="1" hidden="1" outlineLevel="2" x14ac:dyDescent="0.25">
      <c r="A27" s="29"/>
      <c r="B27" s="11" t="str">
        <f>CONCATENATE("          ", "6118", " - ", "VACATION")</f>
        <v xml:space="preserve">          6118 - VACATION</v>
      </c>
      <c r="C27" s="11"/>
      <c r="D27" s="7">
        <v>520.02</v>
      </c>
      <c r="E27" s="2"/>
      <c r="F27" s="6">
        <f t="shared" si="4"/>
        <v>7.7776282137568984E-3</v>
      </c>
      <c r="G27" s="2"/>
      <c r="H27" s="7">
        <v>550.41999999999996</v>
      </c>
      <c r="I27" s="2"/>
      <c r="J27" s="6">
        <f t="shared" si="5"/>
        <v>1.7769814366424535E-2</v>
      </c>
      <c r="K27" s="2"/>
      <c r="L27" s="7">
        <f t="shared" si="6"/>
        <v>-30.399999999999977</v>
      </c>
      <c r="M27" s="2"/>
      <c r="N27" s="6">
        <f t="shared" si="7"/>
        <v>-5.523055121543545E-2</v>
      </c>
      <c r="O27" s="11"/>
      <c r="P27" s="7">
        <v>1040.04</v>
      </c>
      <c r="Q27" s="2"/>
      <c r="R27" s="6">
        <f t="shared" si="8"/>
        <v>1.184124237180071E-2</v>
      </c>
      <c r="S27" s="2"/>
      <c r="T27" s="7">
        <v>1393.78</v>
      </c>
      <c r="U27" s="2"/>
      <c r="V27" s="6">
        <f t="shared" si="9"/>
        <v>2.0531184633061309E-2</v>
      </c>
      <c r="W27" s="2"/>
      <c r="X27" s="7">
        <f t="shared" si="10"/>
        <v>-353.74</v>
      </c>
      <c r="Y27" s="2"/>
      <c r="Z27" s="6">
        <f t="shared" si="11"/>
        <v>-0.25379902136635624</v>
      </c>
    </row>
    <row r="28" spans="1:26" s="24" customFormat="1" hidden="1" outlineLevel="2" x14ac:dyDescent="0.25">
      <c r="A28" s="29"/>
      <c r="B28" s="11" t="str">
        <f>CONCATENATE("          ", "6119", " - ", "SICK LEAVE")</f>
        <v xml:space="preserve">          6119 - SICK LEAVE</v>
      </c>
      <c r="C28" s="11"/>
      <c r="D28" s="7">
        <v>299.26</v>
      </c>
      <c r="E28" s="2"/>
      <c r="F28" s="6">
        <f t="shared" si="4"/>
        <v>4.4758528888290631E-3</v>
      </c>
      <c r="G28" s="2"/>
      <c r="H28" s="7">
        <v>274.83999999999997</v>
      </c>
      <c r="I28" s="2"/>
      <c r="J28" s="6">
        <f t="shared" si="5"/>
        <v>8.8729620661824049E-3</v>
      </c>
      <c r="K28" s="2"/>
      <c r="L28" s="7">
        <f t="shared" si="6"/>
        <v>24.420000000000016</v>
      </c>
      <c r="M28" s="2"/>
      <c r="N28" s="6">
        <f t="shared" si="7"/>
        <v>8.8851695531945926E-2</v>
      </c>
      <c r="O28" s="11"/>
      <c r="P28" s="7">
        <v>598.52</v>
      </c>
      <c r="Q28" s="2"/>
      <c r="R28" s="6">
        <f t="shared" si="8"/>
        <v>6.8143728937061663E-3</v>
      </c>
      <c r="S28" s="2"/>
      <c r="T28" s="7">
        <v>693.22</v>
      </c>
      <c r="U28" s="2"/>
      <c r="V28" s="6">
        <f t="shared" si="9"/>
        <v>1.0211531096249594E-2</v>
      </c>
      <c r="W28" s="2"/>
      <c r="X28" s="7">
        <f t="shared" si="10"/>
        <v>-94.700000000000045</v>
      </c>
      <c r="Y28" s="2"/>
      <c r="Z28" s="6">
        <f t="shared" si="11"/>
        <v>-0.13660886875739309</v>
      </c>
    </row>
    <row r="29" spans="1:26" s="24" customFormat="1" hidden="1" outlineLevel="2" x14ac:dyDescent="0.25">
      <c r="A29" s="29"/>
      <c r="B29" s="11" t="str">
        <f>CONCATENATE("          ", "6156", " - ", "EMPLOYEE MEALS")</f>
        <v xml:space="preserve">          6156 - EMPLOYEE MEALS</v>
      </c>
      <c r="C29" s="11"/>
      <c r="D29" s="7"/>
      <c r="E29" s="2"/>
      <c r="F29" s="6">
        <f t="shared" si="4"/>
        <v>0</v>
      </c>
      <c r="G29" s="2"/>
      <c r="H29" s="7">
        <v>150</v>
      </c>
      <c r="I29" s="2"/>
      <c r="J29" s="6">
        <f t="shared" si="5"/>
        <v>4.8426150121065378E-3</v>
      </c>
      <c r="K29" s="2"/>
      <c r="L29" s="7">
        <f t="shared" si="6"/>
        <v>-150</v>
      </c>
      <c r="M29" s="2"/>
      <c r="N29" s="6">
        <f t="shared" si="7"/>
        <v>-1</v>
      </c>
      <c r="O29" s="11"/>
      <c r="P29" s="7"/>
      <c r="Q29" s="2"/>
      <c r="R29" s="6">
        <f t="shared" si="8"/>
        <v>0</v>
      </c>
      <c r="S29" s="2"/>
      <c r="T29" s="7">
        <v>282.88</v>
      </c>
      <c r="U29" s="2"/>
      <c r="V29" s="6">
        <f t="shared" si="9"/>
        <v>4.1669858291842202E-3</v>
      </c>
      <c r="W29" s="2"/>
      <c r="X29" s="7">
        <f t="shared" si="10"/>
        <v>-282.88</v>
      </c>
      <c r="Y29" s="2"/>
      <c r="Z29" s="6">
        <f t="shared" si="11"/>
        <v>-1</v>
      </c>
    </row>
    <row r="30" spans="1:26" s="28" customFormat="1" outlineLevel="1" collapsed="1" x14ac:dyDescent="0.25">
      <c r="A30" s="27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16843.640000000003</v>
      </c>
      <c r="E30" s="1"/>
      <c r="F30" s="5">
        <f t="shared" ref="F30:F35" si="12">IF(D$12=0,0,D30/D$12)</f>
        <v>0.2519202524640673</v>
      </c>
      <c r="G30" s="1"/>
      <c r="H30" s="1">
        <f>SUM(OSRRefH22_1x_0)</f>
        <v>18951.8</v>
      </c>
      <c r="I30" s="1"/>
      <c r="J30" s="5">
        <f t="shared" ref="J30:J35" si="13">IF(H$12=0,0,H30/H$12)</f>
        <v>0.61184180790960452</v>
      </c>
      <c r="K30" s="1"/>
      <c r="L30" s="1">
        <f t="shared" ref="L30:L35" si="14">+D30-H30</f>
        <v>-2108.1599999999962</v>
      </c>
      <c r="M30" s="1"/>
      <c r="N30" s="5">
        <f t="shared" ref="N30:N35" si="15">IF(H30=0,0,L30/H30)</f>
        <v>-0.11123798267183045</v>
      </c>
      <c r="O30" s="14"/>
      <c r="P30" s="1">
        <f>SUM(OSRRefP22_1x_0)</f>
        <v>32448.820000000003</v>
      </c>
      <c r="Q30" s="1"/>
      <c r="R30" s="5">
        <f t="shared" ref="R30:R35" si="16">IF(P$12=0,0,P30/P$12)</f>
        <v>0.36944188906093456</v>
      </c>
      <c r="S30" s="1"/>
      <c r="T30" s="1">
        <f>SUM(OSRRefT22_1x_0)</f>
        <v>36772.49</v>
      </c>
      <c r="U30" s="1"/>
      <c r="V30" s="5">
        <f t="shared" ref="V30:V35" si="17">IF(T$12=0,0,T30/T$12)</f>
        <v>0.54168002239047808</v>
      </c>
      <c r="W30" s="1"/>
      <c r="X30" s="1">
        <f t="shared" ref="X30:X35" si="18">+P30-T30</f>
        <v>-4323.6699999999946</v>
      </c>
      <c r="Y30" s="1"/>
      <c r="Z30" s="5">
        <f t="shared" ref="Z30:Z35" si="19">IF(T30=0,0,X30/T30)</f>
        <v>-0.11757892924846794</v>
      </c>
    </row>
    <row r="31" spans="1:26" s="24" customFormat="1" hidden="1" outlineLevel="2" x14ac:dyDescent="0.25">
      <c r="A31" s="29"/>
      <c r="B31" s="11" t="str">
        <f>CONCATENATE("          ", "6001", " - ", "ADMINISTRATIVE SALARIES")</f>
        <v xml:space="preserve">          6001 - ADMINISTRATIVE SALARIES</v>
      </c>
      <c r="C31" s="11"/>
      <c r="D31" s="7">
        <v>4205.72</v>
      </c>
      <c r="E31" s="2"/>
      <c r="F31" s="6">
        <f t="shared" si="12"/>
        <v>6.2902439389180539E-2</v>
      </c>
      <c r="G31" s="2"/>
      <c r="H31" s="7"/>
      <c r="I31" s="2"/>
      <c r="J31" s="6">
        <f t="shared" si="13"/>
        <v>0</v>
      </c>
      <c r="K31" s="2"/>
      <c r="L31" s="7">
        <f t="shared" si="14"/>
        <v>4205.72</v>
      </c>
      <c r="M31" s="2"/>
      <c r="N31" s="6">
        <f t="shared" si="15"/>
        <v>0</v>
      </c>
      <c r="O31" s="11"/>
      <c r="P31" s="7">
        <v>9463.44</v>
      </c>
      <c r="Q31" s="2"/>
      <c r="R31" s="6">
        <f t="shared" si="16"/>
        <v>0.10774478549959013</v>
      </c>
      <c r="S31" s="2"/>
      <c r="T31" s="7"/>
      <c r="U31" s="2"/>
      <c r="V31" s="6">
        <f t="shared" si="17"/>
        <v>0</v>
      </c>
      <c r="W31" s="2"/>
      <c r="X31" s="7">
        <f t="shared" si="18"/>
        <v>9463.44</v>
      </c>
      <c r="Y31" s="2"/>
      <c r="Z31" s="6">
        <f t="shared" si="19"/>
        <v>0</v>
      </c>
    </row>
    <row r="32" spans="1:26" s="24" customFormat="1" hidden="1" outlineLevel="2" x14ac:dyDescent="0.25">
      <c r="A32" s="29"/>
      <c r="B32" s="11" t="str">
        <f>CONCATENATE("          ", "6002", " - ", "STAFF SALARIES")</f>
        <v xml:space="preserve">          6002 - STAFF SALARIES</v>
      </c>
      <c r="C32" s="11"/>
      <c r="D32" s="7">
        <v>2625.07</v>
      </c>
      <c r="E32" s="2"/>
      <c r="F32" s="6">
        <f t="shared" si="12"/>
        <v>3.9261602428919705E-2</v>
      </c>
      <c r="G32" s="2"/>
      <c r="H32" s="7">
        <v>5660.58</v>
      </c>
      <c r="I32" s="2"/>
      <c r="J32" s="6">
        <f t="shared" si="13"/>
        <v>0.18274673123486682</v>
      </c>
      <c r="K32" s="2"/>
      <c r="L32" s="7">
        <f t="shared" si="14"/>
        <v>-3035.5099999999998</v>
      </c>
      <c r="M32" s="2"/>
      <c r="N32" s="6">
        <f t="shared" si="15"/>
        <v>-0.53625423543170481</v>
      </c>
      <c r="O32" s="11"/>
      <c r="P32" s="7">
        <v>4679.1400000000003</v>
      </c>
      <c r="Q32" s="2"/>
      <c r="R32" s="6">
        <f t="shared" si="16"/>
        <v>5.3273749886146284E-2</v>
      </c>
      <c r="S32" s="2"/>
      <c r="T32" s="7">
        <v>12215.31</v>
      </c>
      <c r="U32" s="2"/>
      <c r="V32" s="6">
        <f t="shared" si="17"/>
        <v>0.17993857349085229</v>
      </c>
      <c r="W32" s="2"/>
      <c r="X32" s="7">
        <f t="shared" si="18"/>
        <v>-7536.1699999999992</v>
      </c>
      <c r="Y32" s="2"/>
      <c r="Z32" s="6">
        <f t="shared" si="19"/>
        <v>-0.61694463750817619</v>
      </c>
    </row>
    <row r="33" spans="1:26" s="24" customFormat="1" hidden="1" outlineLevel="2" x14ac:dyDescent="0.25">
      <c r="A33" s="29"/>
      <c r="B33" s="11" t="str">
        <f>CONCATENATE("          ", "6005", " - ", "TEMPORARY WAGES-HOURLY")</f>
        <v xml:space="preserve">          6005 - TEMPORARY WAGES-HOURLY</v>
      </c>
      <c r="C33" s="11"/>
      <c r="D33" s="7">
        <v>7904.97</v>
      </c>
      <c r="E33" s="2"/>
      <c r="F33" s="6">
        <f t="shared" si="12"/>
        <v>0.11822990981289541</v>
      </c>
      <c r="G33" s="2"/>
      <c r="H33" s="7">
        <v>7838.45</v>
      </c>
      <c r="I33" s="2"/>
      <c r="J33" s="6">
        <f t="shared" si="13"/>
        <v>0.25305730427764328</v>
      </c>
      <c r="K33" s="2"/>
      <c r="L33" s="7">
        <f t="shared" si="14"/>
        <v>66.520000000000437</v>
      </c>
      <c r="M33" s="2"/>
      <c r="N33" s="6">
        <f t="shared" si="15"/>
        <v>8.4863716678680659E-3</v>
      </c>
      <c r="O33" s="11"/>
      <c r="P33" s="7">
        <v>14642.36</v>
      </c>
      <c r="Q33" s="2"/>
      <c r="R33" s="6">
        <f t="shared" si="16"/>
        <v>0.16670871664085982</v>
      </c>
      <c r="S33" s="2"/>
      <c r="T33" s="7">
        <v>13194.39</v>
      </c>
      <c r="U33" s="2"/>
      <c r="V33" s="6">
        <f t="shared" si="17"/>
        <v>0.19436098753793124</v>
      </c>
      <c r="W33" s="2"/>
      <c r="X33" s="7">
        <f t="shared" si="18"/>
        <v>1447.9700000000012</v>
      </c>
      <c r="Y33" s="2"/>
      <c r="Z33" s="6">
        <f t="shared" si="19"/>
        <v>0.10974133703793819</v>
      </c>
    </row>
    <row r="34" spans="1:26" s="24" customFormat="1" hidden="1" outlineLevel="2" x14ac:dyDescent="0.25">
      <c r="A34" s="29"/>
      <c r="B34" s="11" t="str">
        <f>CONCATENATE("          ", "6007", " - ", "STUDENT HOURLY")</f>
        <v xml:space="preserve">          6007 - STUDENT HOURLY</v>
      </c>
      <c r="C34" s="11"/>
      <c r="D34" s="7">
        <v>2107.88</v>
      </c>
      <c r="E34" s="2"/>
      <c r="F34" s="6">
        <f t="shared" si="12"/>
        <v>3.1526300833071598E-2</v>
      </c>
      <c r="G34" s="2"/>
      <c r="H34" s="7">
        <v>4633.58</v>
      </c>
      <c r="I34" s="2"/>
      <c r="J34" s="6">
        <f t="shared" si="13"/>
        <v>0.14959096045197739</v>
      </c>
      <c r="K34" s="2"/>
      <c r="L34" s="7">
        <f t="shared" si="14"/>
        <v>-2525.6999999999998</v>
      </c>
      <c r="M34" s="2"/>
      <c r="N34" s="6">
        <f t="shared" si="15"/>
        <v>-0.54508608894202748</v>
      </c>
      <c r="O34" s="11"/>
      <c r="P34" s="7">
        <v>3663.88</v>
      </c>
      <c r="Q34" s="2"/>
      <c r="R34" s="6">
        <f t="shared" si="16"/>
        <v>4.1714637034338281E-2</v>
      </c>
      <c r="S34" s="2"/>
      <c r="T34" s="7">
        <v>10062.290000000001</v>
      </c>
      <c r="U34" s="2"/>
      <c r="V34" s="6">
        <f t="shared" si="17"/>
        <v>0.14822334501959167</v>
      </c>
      <c r="W34" s="2"/>
      <c r="X34" s="7">
        <f t="shared" si="18"/>
        <v>-6398.4100000000008</v>
      </c>
      <c r="Y34" s="2"/>
      <c r="Z34" s="6">
        <f t="shared" si="19"/>
        <v>-0.63588010283941332</v>
      </c>
    </row>
    <row r="35" spans="1:26" s="24" customFormat="1" hidden="1" outlineLevel="2" x14ac:dyDescent="0.25">
      <c r="A35" s="29"/>
      <c r="B35" s="11" t="str">
        <f>CONCATENATE("          ", "6008", " - ", "STUDENT HOURLY-FICA EXEMPT")</f>
        <v xml:space="preserve">          6008 - STUDENT HOURLY-FICA EXEMPT</v>
      </c>
      <c r="C35" s="11"/>
      <c r="D35" s="7"/>
      <c r="E35" s="2"/>
      <c r="F35" s="6">
        <f t="shared" si="12"/>
        <v>0</v>
      </c>
      <c r="G35" s="2"/>
      <c r="H35" s="7">
        <v>819.19</v>
      </c>
      <c r="I35" s="2"/>
      <c r="J35" s="6">
        <f t="shared" si="13"/>
        <v>2.644681194511703E-2</v>
      </c>
      <c r="K35" s="2"/>
      <c r="L35" s="7">
        <f t="shared" si="14"/>
        <v>-819.19</v>
      </c>
      <c r="M35" s="2"/>
      <c r="N35" s="6">
        <f t="shared" si="15"/>
        <v>-1</v>
      </c>
      <c r="O35" s="11"/>
      <c r="P35" s="7"/>
      <c r="Q35" s="2"/>
      <c r="R35" s="6">
        <f t="shared" si="16"/>
        <v>0</v>
      </c>
      <c r="S35" s="2"/>
      <c r="T35" s="7">
        <v>1300.5</v>
      </c>
      <c r="U35" s="2"/>
      <c r="V35" s="6">
        <f t="shared" si="17"/>
        <v>1.9157116342102938E-2</v>
      </c>
      <c r="W35" s="2"/>
      <c r="X35" s="7">
        <f t="shared" si="18"/>
        <v>-1300.5</v>
      </c>
      <c r="Y35" s="2"/>
      <c r="Z35" s="6">
        <f t="shared" si="19"/>
        <v>-1</v>
      </c>
    </row>
    <row r="36" spans="1:26" s="28" customFormat="1" outlineLevel="1" collapsed="1" x14ac:dyDescent="0.25">
      <c r="A36" s="27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0</v>
      </c>
      <c r="E36" s="1"/>
      <c r="F36" s="5">
        <f t="shared" ref="F36:F48" si="20">IF(D$12=0,0,D36/D$12)</f>
        <v>0</v>
      </c>
      <c r="G36" s="1"/>
      <c r="H36" s="1">
        <f>SUM(OSRRefH22_2x_0)</f>
        <v>38</v>
      </c>
      <c r="I36" s="1"/>
      <c r="J36" s="5">
        <f t="shared" ref="J36:J48" si="21">IF(H$12=0,0,H36/H$12)</f>
        <v>1.2267958030669896E-3</v>
      </c>
      <c r="K36" s="1"/>
      <c r="L36" s="1">
        <f t="shared" ref="L36:L48" si="22">+D36-H36</f>
        <v>-38</v>
      </c>
      <c r="M36" s="1"/>
      <c r="N36" s="5">
        <f t="shared" ref="N36:N48" si="23">IF(H36=0,0,L36/H36)</f>
        <v>-1</v>
      </c>
      <c r="O36" s="14"/>
      <c r="P36" s="1">
        <f>SUM(OSRRefP22_2x_0)</f>
        <v>0</v>
      </c>
      <c r="Q36" s="1"/>
      <c r="R36" s="5">
        <f t="shared" ref="R36:R48" si="24">IF(P$12=0,0,P36/P$12)</f>
        <v>0</v>
      </c>
      <c r="S36" s="1"/>
      <c r="T36" s="1">
        <f>SUM(OSRRefT22_2x_0)</f>
        <v>38</v>
      </c>
      <c r="U36" s="1"/>
      <c r="V36" s="5">
        <f t="shared" ref="V36:V48" si="25">IF(T$12=0,0,T36/T$12)</f>
        <v>5.5976195386383057E-4</v>
      </c>
      <c r="W36" s="1"/>
      <c r="X36" s="1">
        <f t="shared" ref="X36:X48" si="26">+P36-T36</f>
        <v>-38</v>
      </c>
      <c r="Y36" s="1"/>
      <c r="Z36" s="5">
        <f t="shared" ref="Z36:Z48" si="27">IF(T36=0,0,X36/T36)</f>
        <v>-1</v>
      </c>
    </row>
    <row r="37" spans="1:26" s="24" customFormat="1" hidden="1" outlineLevel="2" x14ac:dyDescent="0.25">
      <c r="A37" s="29"/>
      <c r="B37" s="11" t="str">
        <f>CONCATENATE("          ", "6362", " - ", "ADVERTISING EXPENSE")</f>
        <v xml:space="preserve">          6362 - ADVERTISING EXPENSE</v>
      </c>
      <c r="C37" s="11"/>
      <c r="D37" s="7"/>
      <c r="E37" s="2"/>
      <c r="F37" s="6">
        <f t="shared" si="20"/>
        <v>0</v>
      </c>
      <c r="G37" s="2"/>
      <c r="H37" s="7">
        <v>38</v>
      </c>
      <c r="I37" s="2"/>
      <c r="J37" s="6">
        <f t="shared" si="21"/>
        <v>1.2267958030669896E-3</v>
      </c>
      <c r="K37" s="2"/>
      <c r="L37" s="7">
        <f t="shared" si="22"/>
        <v>-38</v>
      </c>
      <c r="M37" s="2"/>
      <c r="N37" s="6">
        <f t="shared" si="23"/>
        <v>-1</v>
      </c>
      <c r="O37" s="11"/>
      <c r="P37" s="7"/>
      <c r="Q37" s="2"/>
      <c r="R37" s="6">
        <f t="shared" si="24"/>
        <v>0</v>
      </c>
      <c r="S37" s="2"/>
      <c r="T37" s="7">
        <v>38</v>
      </c>
      <c r="U37" s="2"/>
      <c r="V37" s="6">
        <f t="shared" si="25"/>
        <v>5.5976195386383057E-4</v>
      </c>
      <c r="W37" s="2"/>
      <c r="X37" s="7">
        <f t="shared" si="26"/>
        <v>-38</v>
      </c>
      <c r="Y37" s="2"/>
      <c r="Z37" s="6">
        <f t="shared" si="27"/>
        <v>-1</v>
      </c>
    </row>
    <row r="38" spans="1:26" s="28" customFormat="1" outlineLevel="1" collapsed="1" x14ac:dyDescent="0.25">
      <c r="A38" s="27"/>
      <c r="B38" s="14" t="str">
        <f>CONCATENATE("     ","Bank/card Fees                                    ")</f>
        <v xml:space="preserve">     Bank/card Fees                                    </v>
      </c>
      <c r="C38" s="14"/>
      <c r="D38" s="1">
        <f>SUM(OSRRefD22_3x_0)</f>
        <v>124.1</v>
      </c>
      <c r="E38" s="1"/>
      <c r="F38" s="5">
        <f t="shared" si="20"/>
        <v>1.856089499110094E-3</v>
      </c>
      <c r="G38" s="1"/>
      <c r="H38" s="1">
        <f>SUM(OSRRefH22_3x_0)</f>
        <v>2174.79</v>
      </c>
      <c r="I38" s="1"/>
      <c r="J38" s="5">
        <f t="shared" si="21"/>
        <v>7.0211138014527844E-2</v>
      </c>
      <c r="K38" s="1"/>
      <c r="L38" s="1">
        <f t="shared" si="22"/>
        <v>-2050.69</v>
      </c>
      <c r="M38" s="1"/>
      <c r="N38" s="5">
        <f t="shared" si="23"/>
        <v>-0.94293701920645212</v>
      </c>
      <c r="O38" s="14"/>
      <c r="P38" s="1">
        <f>SUM(OSRRefP22_3x_0)</f>
        <v>370.43</v>
      </c>
      <c r="Q38" s="1"/>
      <c r="R38" s="5">
        <f t="shared" si="24"/>
        <v>4.2174833773567719E-3</v>
      </c>
      <c r="S38" s="1"/>
      <c r="T38" s="1">
        <f>SUM(OSRRefT22_3x_0)</f>
        <v>2494.4899999999998</v>
      </c>
      <c r="U38" s="1"/>
      <c r="V38" s="5">
        <f t="shared" si="25"/>
        <v>3.6745278849836485E-2</v>
      </c>
      <c r="W38" s="1"/>
      <c r="X38" s="1">
        <f t="shared" si="26"/>
        <v>-2124.06</v>
      </c>
      <c r="Y38" s="1"/>
      <c r="Z38" s="5">
        <f t="shared" si="27"/>
        <v>-0.85150070755946106</v>
      </c>
    </row>
    <row r="39" spans="1:26" s="24" customFormat="1" hidden="1" outlineLevel="2" x14ac:dyDescent="0.25">
      <c r="A39" s="29"/>
      <c r="B39" s="11" t="str">
        <f>CONCATENATE("          ", "6381", " - ", "BANK/CREDIT CARD FEES")</f>
        <v xml:space="preserve">          6381 - BANK/CREDIT CARD FEES</v>
      </c>
      <c r="C39" s="11"/>
      <c r="D39" s="7">
        <v>124.1</v>
      </c>
      <c r="E39" s="2"/>
      <c r="F39" s="6">
        <f t="shared" si="20"/>
        <v>1.856089499110094E-3</v>
      </c>
      <c r="G39" s="2"/>
      <c r="H39" s="7">
        <v>2174.79</v>
      </c>
      <c r="I39" s="2"/>
      <c r="J39" s="6">
        <f t="shared" si="21"/>
        <v>7.0211138014527844E-2</v>
      </c>
      <c r="K39" s="2"/>
      <c r="L39" s="7">
        <f t="shared" si="22"/>
        <v>-2050.69</v>
      </c>
      <c r="M39" s="2"/>
      <c r="N39" s="6">
        <f t="shared" si="23"/>
        <v>-0.94293701920645212</v>
      </c>
      <c r="O39" s="11"/>
      <c r="P39" s="7">
        <v>370.43</v>
      </c>
      <c r="Q39" s="2"/>
      <c r="R39" s="6">
        <f t="shared" si="24"/>
        <v>4.2174833773567719E-3</v>
      </c>
      <c r="S39" s="2"/>
      <c r="T39" s="7">
        <v>2494.4899999999998</v>
      </c>
      <c r="U39" s="2"/>
      <c r="V39" s="6">
        <f t="shared" si="25"/>
        <v>3.6745278849836485E-2</v>
      </c>
      <c r="W39" s="2"/>
      <c r="X39" s="7">
        <f t="shared" si="26"/>
        <v>-2124.06</v>
      </c>
      <c r="Y39" s="2"/>
      <c r="Z39" s="6">
        <f t="shared" si="27"/>
        <v>-0.85150070755946106</v>
      </c>
    </row>
    <row r="40" spans="1:26" s="28" customFormat="1" outlineLevel="1" collapsed="1" x14ac:dyDescent="0.25">
      <c r="A40" s="27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SUM(OSRRefD22_4x_0)</f>
        <v>0.28999999999999998</v>
      </c>
      <c r="E40" s="1"/>
      <c r="F40" s="5">
        <f t="shared" si="20"/>
        <v>4.3373566054949817E-6</v>
      </c>
      <c r="G40" s="1"/>
      <c r="H40" s="1">
        <f>SUM(OSRRefH22_4x_0)</f>
        <v>0</v>
      </c>
      <c r="I40" s="1"/>
      <c r="J40" s="5">
        <f t="shared" si="21"/>
        <v>0</v>
      </c>
      <c r="K40" s="1"/>
      <c r="L40" s="1">
        <f t="shared" si="22"/>
        <v>0.28999999999999998</v>
      </c>
      <c r="M40" s="1"/>
      <c r="N40" s="5">
        <f t="shared" si="23"/>
        <v>0</v>
      </c>
      <c r="O40" s="14"/>
      <c r="P40" s="1">
        <f>SUM(OSRRefP22_4x_0)</f>
        <v>0.28999999999999998</v>
      </c>
      <c r="Q40" s="1"/>
      <c r="R40" s="5">
        <f t="shared" si="24"/>
        <v>3.3017579014482193E-6</v>
      </c>
      <c r="S40" s="1"/>
      <c r="T40" s="1">
        <f>SUM(OSRRefT22_4x_0)</f>
        <v>0</v>
      </c>
      <c r="U40" s="1"/>
      <c r="V40" s="5">
        <f t="shared" si="25"/>
        <v>0</v>
      </c>
      <c r="W40" s="1"/>
      <c r="X40" s="1">
        <f t="shared" si="26"/>
        <v>0.28999999999999998</v>
      </c>
      <c r="Y40" s="1"/>
      <c r="Z40" s="5">
        <f t="shared" si="27"/>
        <v>0</v>
      </c>
    </row>
    <row r="41" spans="1:26" s="24" customFormat="1" hidden="1" outlineLevel="2" x14ac:dyDescent="0.25">
      <c r="A41" s="29"/>
      <c r="B41" s="11" t="str">
        <f>CONCATENATE("          ", "6305", " - ", "FREIGHT OUT")</f>
        <v xml:space="preserve">          6305 - FREIGHT OUT</v>
      </c>
      <c r="C41" s="11"/>
      <c r="D41" s="7">
        <v>0.28999999999999998</v>
      </c>
      <c r="E41" s="2"/>
      <c r="F41" s="6">
        <f t="shared" si="20"/>
        <v>4.3373566054949817E-6</v>
      </c>
      <c r="G41" s="2"/>
      <c r="H41" s="7"/>
      <c r="I41" s="2"/>
      <c r="J41" s="6">
        <f t="shared" si="21"/>
        <v>0</v>
      </c>
      <c r="K41" s="2"/>
      <c r="L41" s="7">
        <f t="shared" si="22"/>
        <v>0.28999999999999998</v>
      </c>
      <c r="M41" s="2"/>
      <c r="N41" s="6">
        <f t="shared" si="23"/>
        <v>0</v>
      </c>
      <c r="O41" s="11"/>
      <c r="P41" s="7">
        <v>0.28999999999999998</v>
      </c>
      <c r="Q41" s="2"/>
      <c r="R41" s="6">
        <f t="shared" si="24"/>
        <v>3.3017579014482193E-6</v>
      </c>
      <c r="S41" s="2"/>
      <c r="T41" s="7"/>
      <c r="U41" s="2"/>
      <c r="V41" s="6">
        <f t="shared" si="25"/>
        <v>0</v>
      </c>
      <c r="W41" s="2"/>
      <c r="X41" s="7">
        <f t="shared" si="26"/>
        <v>0.28999999999999998</v>
      </c>
      <c r="Y41" s="2"/>
      <c r="Z41" s="6">
        <f t="shared" si="27"/>
        <v>0</v>
      </c>
    </row>
    <row r="42" spans="1:26" s="28" customFormat="1" outlineLevel="1" collapsed="1" x14ac:dyDescent="0.25">
      <c r="A42" s="27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SUM(OSRRefD22_5x_0)</f>
        <v>29.01</v>
      </c>
      <c r="E42" s="1"/>
      <c r="F42" s="5">
        <f t="shared" si="20"/>
        <v>4.3388522457037739E-4</v>
      </c>
      <c r="G42" s="1"/>
      <c r="H42" s="1">
        <f>SUM(OSRRefH22_5x_0)</f>
        <v>29.01</v>
      </c>
      <c r="I42" s="1"/>
      <c r="J42" s="5">
        <f t="shared" si="21"/>
        <v>9.3656174334140441E-4</v>
      </c>
      <c r="K42" s="1"/>
      <c r="L42" s="1">
        <f t="shared" si="22"/>
        <v>0</v>
      </c>
      <c r="M42" s="1"/>
      <c r="N42" s="5">
        <f t="shared" si="23"/>
        <v>0</v>
      </c>
      <c r="O42" s="14"/>
      <c r="P42" s="1">
        <f>SUM(OSRRefP22_5x_0)</f>
        <v>58.02</v>
      </c>
      <c r="Q42" s="1"/>
      <c r="R42" s="5">
        <f t="shared" si="24"/>
        <v>6.6057928773112311E-4</v>
      </c>
      <c r="S42" s="1"/>
      <c r="T42" s="1">
        <f>SUM(OSRRefT22_5x_0)</f>
        <v>58.02</v>
      </c>
      <c r="U42" s="1"/>
      <c r="V42" s="5">
        <f t="shared" si="25"/>
        <v>8.5466812008366973E-4</v>
      </c>
      <c r="W42" s="1"/>
      <c r="X42" s="1">
        <f t="shared" si="26"/>
        <v>0</v>
      </c>
      <c r="Y42" s="1"/>
      <c r="Z42" s="5">
        <f t="shared" si="27"/>
        <v>0</v>
      </c>
    </row>
    <row r="43" spans="1:26" s="24" customFormat="1" hidden="1" outlineLevel="2" x14ac:dyDescent="0.25">
      <c r="A43" s="29"/>
      <c r="B43" s="11" t="str">
        <f>CONCATENATE("          ", "6314", " - ", "LIABILITY INSURANCE")</f>
        <v xml:space="preserve">          6314 - LIABILITY INSURANCE</v>
      </c>
      <c r="C43" s="11"/>
      <c r="D43" s="7">
        <v>29.01</v>
      </c>
      <c r="E43" s="2"/>
      <c r="F43" s="6">
        <f t="shared" si="20"/>
        <v>4.3388522457037739E-4</v>
      </c>
      <c r="G43" s="2"/>
      <c r="H43" s="7">
        <v>29.01</v>
      </c>
      <c r="I43" s="2"/>
      <c r="J43" s="6">
        <f t="shared" si="21"/>
        <v>9.3656174334140441E-4</v>
      </c>
      <c r="K43" s="2"/>
      <c r="L43" s="7">
        <f t="shared" si="22"/>
        <v>0</v>
      </c>
      <c r="M43" s="2"/>
      <c r="N43" s="6">
        <f t="shared" si="23"/>
        <v>0</v>
      </c>
      <c r="O43" s="11"/>
      <c r="P43" s="7">
        <v>58.02</v>
      </c>
      <c r="Q43" s="2"/>
      <c r="R43" s="6">
        <f t="shared" si="24"/>
        <v>6.6057928773112311E-4</v>
      </c>
      <c r="S43" s="2"/>
      <c r="T43" s="7">
        <v>58.02</v>
      </c>
      <c r="U43" s="2"/>
      <c r="V43" s="6">
        <f t="shared" si="25"/>
        <v>8.5466812008366973E-4</v>
      </c>
      <c r="W43" s="2"/>
      <c r="X43" s="7">
        <f t="shared" si="26"/>
        <v>0</v>
      </c>
      <c r="Y43" s="2"/>
      <c r="Z43" s="6">
        <f t="shared" si="27"/>
        <v>0</v>
      </c>
    </row>
    <row r="44" spans="1:26" s="28" customFormat="1" outlineLevel="1" collapsed="1" x14ac:dyDescent="0.25">
      <c r="A44" s="27"/>
      <c r="B44" s="14" t="str">
        <f>CONCATENATE("     ","Rent                                              ")</f>
        <v xml:space="preserve">     Rent                                              </v>
      </c>
      <c r="C44" s="14"/>
      <c r="D44" s="1">
        <f>SUM(OSRRefD22_6x_0)</f>
        <v>800</v>
      </c>
      <c r="E44" s="1"/>
      <c r="F44" s="5">
        <f t="shared" si="20"/>
        <v>1.1965121670330986E-2</v>
      </c>
      <c r="G44" s="1"/>
      <c r="H44" s="1">
        <f>SUM(OSRRefH22_6x_0)</f>
        <v>800</v>
      </c>
      <c r="I44" s="1"/>
      <c r="J44" s="5">
        <f t="shared" si="21"/>
        <v>2.5827280064568199E-2</v>
      </c>
      <c r="K44" s="1"/>
      <c r="L44" s="1">
        <f t="shared" si="22"/>
        <v>0</v>
      </c>
      <c r="M44" s="1"/>
      <c r="N44" s="5">
        <f t="shared" si="23"/>
        <v>0</v>
      </c>
      <c r="O44" s="14"/>
      <c r="P44" s="1">
        <f>SUM(OSRRefP22_6x_0)</f>
        <v>1600</v>
      </c>
      <c r="Q44" s="1"/>
      <c r="R44" s="5">
        <f t="shared" si="24"/>
        <v>1.8216595318335003E-2</v>
      </c>
      <c r="S44" s="1"/>
      <c r="T44" s="1">
        <f>SUM(OSRRefT22_6x_0)</f>
        <v>1600</v>
      </c>
      <c r="U44" s="1"/>
      <c r="V44" s="5">
        <f t="shared" si="25"/>
        <v>2.3568924373213916E-2</v>
      </c>
      <c r="W44" s="1"/>
      <c r="X44" s="1">
        <f t="shared" si="26"/>
        <v>0</v>
      </c>
      <c r="Y44" s="1"/>
      <c r="Z44" s="5">
        <f t="shared" si="27"/>
        <v>0</v>
      </c>
    </row>
    <row r="45" spans="1:26" s="24" customFormat="1" hidden="1" outlineLevel="2" x14ac:dyDescent="0.25">
      <c r="A45" s="29"/>
      <c r="B45" s="11" t="str">
        <f>CONCATENATE("          ", "6273", " - ", "RENT")</f>
        <v xml:space="preserve">          6273 - RENT</v>
      </c>
      <c r="C45" s="11"/>
      <c r="D45" s="7">
        <v>800</v>
      </c>
      <c r="E45" s="2"/>
      <c r="F45" s="6">
        <f t="shared" si="20"/>
        <v>1.1965121670330986E-2</v>
      </c>
      <c r="G45" s="2"/>
      <c r="H45" s="7">
        <v>800</v>
      </c>
      <c r="I45" s="2"/>
      <c r="J45" s="6">
        <f t="shared" si="21"/>
        <v>2.5827280064568199E-2</v>
      </c>
      <c r="K45" s="2"/>
      <c r="L45" s="7">
        <f t="shared" si="22"/>
        <v>0</v>
      </c>
      <c r="M45" s="2"/>
      <c r="N45" s="6">
        <f t="shared" si="23"/>
        <v>0</v>
      </c>
      <c r="O45" s="11"/>
      <c r="P45" s="7">
        <v>1600</v>
      </c>
      <c r="Q45" s="2"/>
      <c r="R45" s="6">
        <f t="shared" si="24"/>
        <v>1.8216595318335003E-2</v>
      </c>
      <c r="S45" s="2"/>
      <c r="T45" s="7">
        <v>1600</v>
      </c>
      <c r="U45" s="2"/>
      <c r="V45" s="6">
        <f t="shared" si="25"/>
        <v>2.3568924373213916E-2</v>
      </c>
      <c r="W45" s="2"/>
      <c r="X45" s="7">
        <f t="shared" si="26"/>
        <v>0</v>
      </c>
      <c r="Y45" s="2"/>
      <c r="Z45" s="6">
        <f t="shared" si="27"/>
        <v>0</v>
      </c>
    </row>
    <row r="46" spans="1:26" s="28" customFormat="1" outlineLevel="1" collapsed="1" x14ac:dyDescent="0.25">
      <c r="A46" s="27"/>
      <c r="B46" s="14" t="str">
        <f>CONCATENATE("     ","Supplies                                          ")</f>
        <v xml:space="preserve">     Supplies                                          </v>
      </c>
      <c r="C46" s="14"/>
      <c r="D46" s="1">
        <f>SUM(OSRRefD22_7x_0)</f>
        <v>35090.559999999998</v>
      </c>
      <c r="E46" s="1"/>
      <c r="F46" s="5">
        <f t="shared" si="20"/>
        <v>0.52482852485006204</v>
      </c>
      <c r="G46" s="1"/>
      <c r="H46" s="1">
        <f>SUM(OSRRefH22_7x_0)</f>
        <v>419.85999999999996</v>
      </c>
      <c r="I46" s="1"/>
      <c r="J46" s="5">
        <f t="shared" si="21"/>
        <v>1.3554802259887004E-2</v>
      </c>
      <c r="K46" s="1"/>
      <c r="L46" s="1">
        <f t="shared" si="22"/>
        <v>34670.699999999997</v>
      </c>
      <c r="M46" s="1"/>
      <c r="N46" s="5">
        <f t="shared" si="23"/>
        <v>82.576811318058404</v>
      </c>
      <c r="O46" s="14"/>
      <c r="P46" s="1">
        <f>SUM(OSRRefP22_7x_0)</f>
        <v>35183.15</v>
      </c>
      <c r="Q46" s="1"/>
      <c r="R46" s="5">
        <f t="shared" si="24"/>
        <v>0.40057325348392386</v>
      </c>
      <c r="S46" s="1"/>
      <c r="T46" s="1">
        <f>SUM(OSRRefT22_7x_0)</f>
        <v>14836.07</v>
      </c>
      <c r="U46" s="1"/>
      <c r="V46" s="5">
        <f t="shared" si="25"/>
        <v>0.21854388239106737</v>
      </c>
      <c r="W46" s="1"/>
      <c r="X46" s="1">
        <f t="shared" si="26"/>
        <v>20347.080000000002</v>
      </c>
      <c r="Y46" s="1"/>
      <c r="Z46" s="5">
        <f t="shared" si="27"/>
        <v>1.371460231719047</v>
      </c>
    </row>
    <row r="47" spans="1:26" s="24" customFormat="1" hidden="1" outlineLevel="2" x14ac:dyDescent="0.25">
      <c r="A47" s="29"/>
      <c r="B47" s="11" t="str">
        <f>CONCATENATE("          ", "6234", " - ", "EXPENDABLE SUPPLIES &amp; EQUIPMEN")</f>
        <v xml:space="preserve">          6234 - EXPENDABLE SUPPLIES &amp; EQUIPMEN</v>
      </c>
      <c r="C47" s="11"/>
      <c r="D47" s="7"/>
      <c r="E47" s="2"/>
      <c r="F47" s="6">
        <f t="shared" si="20"/>
        <v>0</v>
      </c>
      <c r="G47" s="2"/>
      <c r="H47" s="7">
        <v>413.27</v>
      </c>
      <c r="I47" s="2"/>
      <c r="J47" s="6">
        <f t="shared" si="21"/>
        <v>1.3342050040355125E-2</v>
      </c>
      <c r="K47" s="2"/>
      <c r="L47" s="7">
        <f t="shared" si="22"/>
        <v>-413.27</v>
      </c>
      <c r="M47" s="2"/>
      <c r="N47" s="6">
        <f t="shared" si="23"/>
        <v>-1</v>
      </c>
      <c r="O47" s="11"/>
      <c r="P47" s="7"/>
      <c r="Q47" s="2"/>
      <c r="R47" s="6">
        <f t="shared" si="24"/>
        <v>0</v>
      </c>
      <c r="S47" s="2"/>
      <c r="T47" s="7">
        <v>413.27</v>
      </c>
      <c r="U47" s="2"/>
      <c r="V47" s="6">
        <f t="shared" si="25"/>
        <v>6.0877058598238221E-3</v>
      </c>
      <c r="W47" s="2"/>
      <c r="X47" s="7">
        <f t="shared" si="26"/>
        <v>-413.27</v>
      </c>
      <c r="Y47" s="2"/>
      <c r="Z47" s="6">
        <f t="shared" si="27"/>
        <v>-1</v>
      </c>
    </row>
    <row r="48" spans="1:26" s="24" customFormat="1" hidden="1" outlineLevel="2" x14ac:dyDescent="0.25">
      <c r="A48" s="29"/>
      <c r="B48" s="11" t="str">
        <f>CONCATENATE("          ", "6241", " - ", "OFFICE EXPENSE")</f>
        <v xml:space="preserve">          6241 - OFFICE EXPENSE</v>
      </c>
      <c r="C48" s="11"/>
      <c r="D48" s="7">
        <v>35090.559999999998</v>
      </c>
      <c r="E48" s="2"/>
      <c r="F48" s="6">
        <f t="shared" si="20"/>
        <v>0.52482852485006204</v>
      </c>
      <c r="G48" s="2"/>
      <c r="H48" s="7">
        <v>6.59</v>
      </c>
      <c r="I48" s="2"/>
      <c r="J48" s="6">
        <f t="shared" si="21"/>
        <v>2.1275221953188055E-4</v>
      </c>
      <c r="K48" s="2"/>
      <c r="L48" s="7">
        <f t="shared" si="22"/>
        <v>35083.97</v>
      </c>
      <c r="M48" s="2"/>
      <c r="N48" s="6">
        <f t="shared" si="23"/>
        <v>5323.8194233687409</v>
      </c>
      <c r="O48" s="11"/>
      <c r="P48" s="7">
        <v>35183.15</v>
      </c>
      <c r="Q48" s="2"/>
      <c r="R48" s="6">
        <f t="shared" si="24"/>
        <v>0.40057325348392386</v>
      </c>
      <c r="S48" s="2"/>
      <c r="T48" s="7">
        <v>14422.8</v>
      </c>
      <c r="U48" s="2"/>
      <c r="V48" s="6">
        <f t="shared" si="25"/>
        <v>0.21245617653124355</v>
      </c>
      <c r="W48" s="2"/>
      <c r="X48" s="7">
        <f t="shared" si="26"/>
        <v>20760.350000000002</v>
      </c>
      <c r="Y48" s="2"/>
      <c r="Z48" s="6">
        <f t="shared" si="27"/>
        <v>1.4394119033752117</v>
      </c>
    </row>
    <row r="49" spans="1:26" s="28" customFormat="1" outlineLevel="1" collapsed="1" x14ac:dyDescent="0.25">
      <c r="A49" s="27"/>
      <c r="B49" s="14" t="str">
        <f>CONCATENATE("     ","Telephone/Data Lines                              ")</f>
        <v xml:space="preserve">     Telephone/Data Lines                              </v>
      </c>
      <c r="C49" s="14"/>
      <c r="D49" s="1">
        <f>SUM(OSRRefD22_8x_0)</f>
        <v>137.15</v>
      </c>
      <c r="E49" s="1"/>
      <c r="F49" s="5">
        <f t="shared" ref="F49:F50" si="28">IF(D$12=0,0,D49/D$12)</f>
        <v>2.0512705463573682E-3</v>
      </c>
      <c r="G49" s="1"/>
      <c r="H49" s="1">
        <f>SUM(OSRRefH22_8x_0)</f>
        <v>199</v>
      </c>
      <c r="I49" s="1"/>
      <c r="J49" s="5">
        <f t="shared" ref="J49:J50" si="29">IF(H$12=0,0,H49/H$12)</f>
        <v>6.4245359160613399E-3</v>
      </c>
      <c r="K49" s="1"/>
      <c r="L49" s="1">
        <f t="shared" ref="L49:L50" si="30">+D49-H49</f>
        <v>-61.849999999999994</v>
      </c>
      <c r="M49" s="1"/>
      <c r="N49" s="5">
        <f t="shared" ref="N49:N50" si="31">IF(H49=0,0,L49/H49)</f>
        <v>-0.31080402010050251</v>
      </c>
      <c r="O49" s="14"/>
      <c r="P49" s="1">
        <f>SUM(OSRRefP22_8x_0)</f>
        <v>292.08</v>
      </c>
      <c r="Q49" s="1"/>
      <c r="R49" s="5">
        <f t="shared" ref="R49:R50" si="32">IF(P$12=0,0,P49/P$12)</f>
        <v>3.3254394753620548E-3</v>
      </c>
      <c r="S49" s="1"/>
      <c r="T49" s="1">
        <f>SUM(OSRRefT22_8x_0)</f>
        <v>175.65</v>
      </c>
      <c r="U49" s="1"/>
      <c r="V49" s="5">
        <f t="shared" ref="V49:V50" si="33">IF(T$12=0,0,T49/T$12)</f>
        <v>2.5874259788468907E-3</v>
      </c>
      <c r="W49" s="1"/>
      <c r="X49" s="1">
        <f t="shared" ref="X49:X50" si="34">+P49-T49</f>
        <v>116.42999999999998</v>
      </c>
      <c r="Y49" s="1"/>
      <c r="Z49" s="5">
        <f t="shared" ref="Z49:Z50" si="35">IF(T49=0,0,X49/T49)</f>
        <v>0.66285226302305711</v>
      </c>
    </row>
    <row r="50" spans="1:26" s="24" customFormat="1" hidden="1" outlineLevel="2" x14ac:dyDescent="0.25">
      <c r="A50" s="29"/>
      <c r="B50" s="11" t="str">
        <f>CONCATENATE("          ", "6309", " - ", "TELEPHONE")</f>
        <v xml:space="preserve">          6309 - TELEPHONE</v>
      </c>
      <c r="C50" s="11"/>
      <c r="D50" s="7">
        <v>137.15</v>
      </c>
      <c r="E50" s="2"/>
      <c r="F50" s="6">
        <f t="shared" si="28"/>
        <v>2.0512705463573682E-3</v>
      </c>
      <c r="G50" s="2"/>
      <c r="H50" s="7">
        <v>199</v>
      </c>
      <c r="I50" s="2"/>
      <c r="J50" s="6">
        <f t="shared" si="29"/>
        <v>6.4245359160613399E-3</v>
      </c>
      <c r="K50" s="2"/>
      <c r="L50" s="7">
        <f t="shared" si="30"/>
        <v>-61.849999999999994</v>
      </c>
      <c r="M50" s="2"/>
      <c r="N50" s="6">
        <f t="shared" si="31"/>
        <v>-0.31080402010050251</v>
      </c>
      <c r="O50" s="11"/>
      <c r="P50" s="7">
        <v>292.08</v>
      </c>
      <c r="Q50" s="2"/>
      <c r="R50" s="6">
        <f t="shared" si="32"/>
        <v>3.3254394753620548E-3</v>
      </c>
      <c r="S50" s="2"/>
      <c r="T50" s="7">
        <v>175.65</v>
      </c>
      <c r="U50" s="2"/>
      <c r="V50" s="6">
        <f t="shared" si="33"/>
        <v>2.5874259788468907E-3</v>
      </c>
      <c r="W50" s="2"/>
      <c r="X50" s="7">
        <f t="shared" si="34"/>
        <v>116.42999999999998</v>
      </c>
      <c r="Y50" s="2"/>
      <c r="Z50" s="6">
        <f t="shared" si="35"/>
        <v>0.66285226302305711</v>
      </c>
    </row>
    <row r="51" spans="1:26" s="52" customFormat="1" x14ac:dyDescent="0.25">
      <c r="A51" s="37"/>
      <c r="B51" s="37"/>
      <c r="C51" s="37"/>
      <c r="D51" s="1"/>
      <c r="E51" s="1"/>
      <c r="F51" s="5"/>
      <c r="G51" s="1"/>
      <c r="H51" s="1"/>
      <c r="I51" s="1"/>
      <c r="J51" s="5"/>
      <c r="K51" s="1"/>
      <c r="L51" s="1"/>
      <c r="M51" s="1"/>
      <c r="N51" s="5"/>
      <c r="O51" s="37"/>
      <c r="P51" s="1"/>
      <c r="Q51" s="1"/>
      <c r="R51" s="5"/>
      <c r="S51" s="1"/>
      <c r="T51" s="1"/>
      <c r="U51" s="1"/>
      <c r="V51" s="5"/>
      <c r="W51" s="1"/>
      <c r="X51" s="1"/>
      <c r="Y51" s="1"/>
      <c r="Z51" s="5"/>
    </row>
    <row r="52" spans="1:26" s="23" customFormat="1" collapsed="1" x14ac:dyDescent="0.25">
      <c r="A52" s="10"/>
      <c r="B52" s="25" t="s">
        <v>0</v>
      </c>
      <c r="C52" s="10"/>
      <c r="D52" s="4">
        <f>SUM(OSRRefD25x_0)</f>
        <v>325</v>
      </c>
      <c r="E52" s="4"/>
      <c r="F52" s="12">
        <f t="shared" ref="F52:F53" si="36">IF(D$12=0,0,D52/D$12)</f>
        <v>4.8608306785719625E-3</v>
      </c>
      <c r="G52" s="4"/>
      <c r="H52" s="4">
        <f>SUM(OSRRefH25x_0)</f>
        <v>3537.91</v>
      </c>
      <c r="I52" s="4"/>
      <c r="J52" s="12">
        <f t="shared" ref="J52:J53" si="37">IF(H$12=0,0,H52/H$12)</f>
        <v>0.1142182405165456</v>
      </c>
      <c r="K52" s="4"/>
      <c r="L52" s="4">
        <f t="shared" ref="L52:L53" si="38">+D52-H52</f>
        <v>-3212.91</v>
      </c>
      <c r="M52" s="4"/>
      <c r="N52" s="12">
        <f t="shared" ref="N52:N53" si="39">IF(H52=0,0,L52/H52)</f>
        <v>-0.90813785540050485</v>
      </c>
      <c r="O52" s="10"/>
      <c r="P52" s="4">
        <f>SUM(OSRRefP25x_0)</f>
        <v>490</v>
      </c>
      <c r="Q52" s="4"/>
      <c r="R52" s="12">
        <f t="shared" ref="R52:R53" si="40">IF(P$12=0,0,P52/P$12)</f>
        <v>5.5788323162400946E-3</v>
      </c>
      <c r="S52" s="4"/>
      <c r="T52" s="4">
        <f>SUM(OSRRefT25x_0)</f>
        <v>4389</v>
      </c>
      <c r="U52" s="4"/>
      <c r="V52" s="12">
        <f t="shared" ref="V52:V53" si="41">IF(T$12=0,0,T52/T$12)</f>
        <v>6.4652505671272426E-2</v>
      </c>
      <c r="W52" s="4"/>
      <c r="X52" s="4">
        <f t="shared" ref="X52:X53" si="42">+P52-T52</f>
        <v>-3899</v>
      </c>
      <c r="Y52" s="4"/>
      <c r="Z52" s="12">
        <f t="shared" ref="Z52:Z53" si="43">IF(T52=0,0,X52/T52)</f>
        <v>-0.88835725677830946</v>
      </c>
    </row>
    <row r="53" spans="1:26" s="24" customFormat="1" hidden="1" outlineLevel="1" x14ac:dyDescent="0.25">
      <c r="A53" s="44"/>
      <c r="B53" s="11" t="str">
        <f>CONCATENATE("          ", "9150", " - ", "MISC. INCOME")</f>
        <v xml:space="preserve">          9150 - MISC. INCOME</v>
      </c>
      <c r="C53" s="11"/>
      <c r="D53" s="2">
        <f>--325</f>
        <v>325</v>
      </c>
      <c r="E53" s="2"/>
      <c r="F53" s="19">
        <f t="shared" si="36"/>
        <v>4.8608306785719625E-3</v>
      </c>
      <c r="G53" s="2"/>
      <c r="H53" s="2">
        <f>--3537.91</f>
        <v>3537.91</v>
      </c>
      <c r="I53" s="2"/>
      <c r="J53" s="19">
        <f t="shared" si="37"/>
        <v>0.1142182405165456</v>
      </c>
      <c r="K53" s="2"/>
      <c r="L53" s="2">
        <f t="shared" si="38"/>
        <v>-3212.91</v>
      </c>
      <c r="M53" s="2"/>
      <c r="N53" s="19">
        <f t="shared" si="39"/>
        <v>-0.90813785540050485</v>
      </c>
      <c r="O53" s="11"/>
      <c r="P53" s="2">
        <f>--490</f>
        <v>490</v>
      </c>
      <c r="Q53" s="2"/>
      <c r="R53" s="19">
        <f t="shared" si="40"/>
        <v>5.5788323162400946E-3</v>
      </c>
      <c r="S53" s="2"/>
      <c r="T53" s="2">
        <f>--4389</f>
        <v>4389</v>
      </c>
      <c r="U53" s="2"/>
      <c r="V53" s="19">
        <f t="shared" si="41"/>
        <v>6.4652505671272426E-2</v>
      </c>
      <c r="W53" s="2"/>
      <c r="X53" s="2">
        <f t="shared" si="42"/>
        <v>-3899</v>
      </c>
      <c r="Y53" s="2"/>
      <c r="Z53" s="19">
        <f t="shared" si="43"/>
        <v>-0.88835725677830946</v>
      </c>
    </row>
    <row r="54" spans="1:26" x14ac:dyDescent="0.25">
      <c r="A54" s="9"/>
      <c r="B54" s="10"/>
      <c r="C54" s="10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O54" s="10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x14ac:dyDescent="0.25">
      <c r="A55" s="10"/>
      <c r="B55" s="26" t="s">
        <v>3</v>
      </c>
      <c r="C55" s="26"/>
      <c r="D55" s="22">
        <f>+D17-D19+D52</f>
        <v>10086.040000000001</v>
      </c>
      <c r="E55" s="13"/>
      <c r="F55" s="21">
        <f>IF(D$12=0,0,D55/D$12)</f>
        <v>0.15085086971478143</v>
      </c>
      <c r="G55" s="13"/>
      <c r="H55" s="22">
        <f>+H17-H19+H52</f>
        <v>7674.3200000000033</v>
      </c>
      <c r="I55" s="13"/>
      <c r="J55" s="21">
        <f>IF(H$12=0,0,H55/H$12)</f>
        <v>0.24775851493139639</v>
      </c>
      <c r="K55" s="16"/>
      <c r="L55" s="22">
        <f>+D55-H55</f>
        <v>2411.7199999999975</v>
      </c>
      <c r="M55" s="16"/>
      <c r="N55" s="21">
        <f>IF(H55=0,0,L55/H55)</f>
        <v>0.31425846198751112</v>
      </c>
      <c r="O55" s="25"/>
      <c r="P55" s="22">
        <f>+P17-P19+P52</f>
        <v>10086.180000000008</v>
      </c>
      <c r="Q55" s="13"/>
      <c r="R55" s="21">
        <f>IF(P$12=0,0,P55/P$12)</f>
        <v>0.11483491210492767</v>
      </c>
      <c r="S55" s="13"/>
      <c r="T55" s="22">
        <f>+T17-T19+T52</f>
        <v>7674.8000000000102</v>
      </c>
      <c r="U55" s="13"/>
      <c r="V55" s="21">
        <f>IF(T$12=0,0,T55/T$12)</f>
        <v>0.11305423798721401</v>
      </c>
      <c r="W55" s="16"/>
      <c r="X55" s="22">
        <f>+P55-T55</f>
        <v>2411.3799999999974</v>
      </c>
      <c r="Y55" s="16"/>
      <c r="Z55" s="21">
        <f>IF(T55=0,0,X55/T55)</f>
        <v>0.31419450669724219</v>
      </c>
    </row>
    <row r="56" spans="1:26" x14ac:dyDescent="0.25">
      <c r="A56" s="9"/>
      <c r="B56" s="10"/>
      <c r="C56" s="9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25">
      <c r="A57" s="51"/>
      <c r="B57" s="10" t="s">
        <v>13</v>
      </c>
      <c r="C57" s="10"/>
      <c r="D57" s="4">
        <v>4743.34</v>
      </c>
      <c r="E57" s="4"/>
      <c r="F57" s="12">
        <f>IF(D$12=0,0,D57/D$12)</f>
        <v>7.0943300279684721E-2</v>
      </c>
      <c r="G57" s="4"/>
      <c r="H57" s="4">
        <v>789.27</v>
      </c>
      <c r="I57" s="4"/>
      <c r="J57" s="12">
        <f>IF(H$12=0,0,H57/H$12)</f>
        <v>2.548087167070218E-2</v>
      </c>
      <c r="K57" s="4"/>
      <c r="L57" s="4">
        <f>+D57-H57</f>
        <v>3954.07</v>
      </c>
      <c r="M57" s="4"/>
      <c r="N57" s="12">
        <f>IF(H57=0,0,L57/H57)</f>
        <v>5.0097811902137419</v>
      </c>
      <c r="O57" s="10"/>
      <c r="P57" s="4">
        <v>14829.270000000002</v>
      </c>
      <c r="Q57" s="4"/>
      <c r="R57" s="12">
        <f>IF(P$12=0,0,P57/P$12)</f>
        <v>0.16883675653520361</v>
      </c>
      <c r="S57" s="4"/>
      <c r="T57" s="4">
        <v>8464.15</v>
      </c>
      <c r="U57" s="4"/>
      <c r="V57" s="12">
        <f>IF(T$12=0,0,T57/T$12)</f>
        <v>0.12468181952096161</v>
      </c>
      <c r="W57" s="4"/>
      <c r="X57" s="4">
        <f>+P57-T57</f>
        <v>6365.1200000000026</v>
      </c>
      <c r="Y57" s="4"/>
      <c r="Z57" s="12">
        <f>IF(T57=0,0,X57/T57)</f>
        <v>0.7520093571120553</v>
      </c>
    </row>
    <row r="58" spans="1:26" x14ac:dyDescent="0.25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.75" thickBot="1" x14ac:dyDescent="0.3">
      <c r="A59" s="10"/>
      <c r="B59" s="26" t="s">
        <v>4</v>
      </c>
      <c r="C59" s="26"/>
      <c r="D59" s="36">
        <f>+D55-D57</f>
        <v>5342.7000000000007</v>
      </c>
      <c r="E59" s="13"/>
      <c r="F59" s="34">
        <f>IF(D$12=0,0,D59/D$12)</f>
        <v>7.9907569435096706E-2</v>
      </c>
      <c r="G59" s="13"/>
      <c r="H59" s="36">
        <f>+H55-H57</f>
        <v>6885.0500000000029</v>
      </c>
      <c r="I59" s="13"/>
      <c r="J59" s="34">
        <f>IF(H$12=0,0,H59/H$12)</f>
        <v>0.22227764326069421</v>
      </c>
      <c r="K59" s="16"/>
      <c r="L59" s="36">
        <f>D59-H59</f>
        <v>-1542.3500000000022</v>
      </c>
      <c r="M59" s="16"/>
      <c r="N59" s="34">
        <f>IF(H59=0,0,L59/H59)</f>
        <v>-0.22401434993209948</v>
      </c>
      <c r="O59" s="25"/>
      <c r="P59" s="36">
        <f>+P55-P57</f>
        <v>-4743.0899999999947</v>
      </c>
      <c r="Q59" s="13"/>
      <c r="R59" s="34">
        <f>IF(P$12=0,0,P59/P$12)</f>
        <v>-5.4001844430275919E-2</v>
      </c>
      <c r="S59" s="13"/>
      <c r="T59" s="36">
        <f>+T55-T57</f>
        <v>-789.34999999998945</v>
      </c>
      <c r="U59" s="13"/>
      <c r="V59" s="34">
        <f>IF(T$12=0,0,T59/T$12)</f>
        <v>-1.1627581533747598E-2</v>
      </c>
      <c r="W59" s="16"/>
      <c r="X59" s="36">
        <f>P59-T59</f>
        <v>-3953.7400000000052</v>
      </c>
      <c r="Y59" s="16"/>
      <c r="Z59" s="34">
        <f>IF(T59=0,0,X59/T59)</f>
        <v>5.0088553873440906</v>
      </c>
    </row>
    <row r="60" spans="1:26" ht="15.75" thickTop="1" x14ac:dyDescent="0.25">
      <c r="A60" s="9"/>
      <c r="B60" s="9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x14ac:dyDescent="0.25">
      <c r="A61" s="9"/>
      <c r="B61" s="9"/>
      <c r="C61" s="9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ht="15.75" thickBot="1" x14ac:dyDescent="0.3">
      <c r="A62" s="10"/>
      <c r="B62" s="26" t="s">
        <v>5</v>
      </c>
      <c r="C62" s="26"/>
      <c r="D62" s="30">
        <f>SUM(D59:D61)</f>
        <v>5342.7000000000007</v>
      </c>
      <c r="E62" s="13"/>
      <c r="F62" s="31">
        <f>IF(D$12=0,0,D62/D$12)</f>
        <v>7.9907569435096706E-2</v>
      </c>
      <c r="G62" s="13"/>
      <c r="H62" s="30">
        <f>SUM(H59:H61)</f>
        <v>6885.0500000000029</v>
      </c>
      <c r="I62" s="13"/>
      <c r="J62" s="31">
        <f>IF(H$12=0,0,H62/H$12)</f>
        <v>0.22227764326069421</v>
      </c>
      <c r="K62" s="16"/>
      <c r="L62" s="30">
        <f>+D62-H62</f>
        <v>-1542.3500000000022</v>
      </c>
      <c r="M62" s="16"/>
      <c r="N62" s="31">
        <f>IF(H62=0,0,L62/H62)</f>
        <v>-0.22401434993209948</v>
      </c>
      <c r="O62" s="25"/>
      <c r="P62" s="30">
        <f>SUM(P59:P61)</f>
        <v>-4743.0899999999947</v>
      </c>
      <c r="Q62" s="13"/>
      <c r="R62" s="31">
        <f>IF(P$12=0,0,P62/P$12)</f>
        <v>-5.4001844430275919E-2</v>
      </c>
      <c r="S62" s="13"/>
      <c r="T62" s="30">
        <f>SUM(T59:T61)</f>
        <v>-789.34999999998945</v>
      </c>
      <c r="U62" s="13"/>
      <c r="V62" s="31">
        <f>IF(T$12=0,0,T62/T$12)</f>
        <v>-1.1627581533747598E-2</v>
      </c>
      <c r="W62" s="16"/>
      <c r="X62" s="30">
        <f>+P62-T62</f>
        <v>-3953.7400000000052</v>
      </c>
      <c r="Y62" s="16"/>
      <c r="Z62" s="31">
        <f>IF(T62=0,0,X62/T62)</f>
        <v>5.0088553873440906</v>
      </c>
    </row>
    <row r="63" spans="1:26" ht="15.75" thickTop="1" x14ac:dyDescent="0.25">
      <c r="A63" s="9"/>
      <c r="C63" s="9"/>
      <c r="D63" s="18"/>
      <c r="E63" s="18"/>
      <c r="G63" s="18"/>
      <c r="H63" s="18"/>
      <c r="I63" s="18"/>
      <c r="J63" s="43"/>
      <c r="K63" s="18"/>
      <c r="L63" s="18"/>
      <c r="M63" s="18"/>
      <c r="P63" s="18"/>
      <c r="Q63" s="18"/>
      <c r="R63" s="43"/>
      <c r="S63" s="18"/>
      <c r="T63" s="18"/>
      <c r="U63" s="18"/>
      <c r="V63" s="43"/>
      <c r="W63" s="18"/>
      <c r="X63" s="18"/>
    </row>
    <row r="64" spans="1:26" x14ac:dyDescent="0.25">
      <c r="A64" s="9"/>
      <c r="B64" s="61">
        <v>44113.69689579861</v>
      </c>
      <c r="D64" s="18"/>
      <c r="E64" s="18"/>
      <c r="G64" s="18"/>
      <c r="H64" s="18"/>
      <c r="I64" s="18"/>
      <c r="J64" s="43"/>
      <c r="K64" s="18"/>
      <c r="L64" s="18"/>
      <c r="M64" s="18"/>
      <c r="P64" s="18"/>
      <c r="Q64" s="18"/>
      <c r="R64" s="43"/>
      <c r="S64" s="18"/>
      <c r="T64" s="18"/>
      <c r="U64" s="18"/>
      <c r="V64" s="43"/>
      <c r="W64" s="18"/>
      <c r="X64" s="18"/>
    </row>
    <row r="65" spans="1:24" x14ac:dyDescent="0.25">
      <c r="A65" s="9"/>
      <c r="B65" s="56" t="s">
        <v>313</v>
      </c>
      <c r="D65" s="18"/>
      <c r="E65" s="18"/>
      <c r="G65" s="18"/>
      <c r="H65" s="18"/>
      <c r="I65" s="18"/>
      <c r="J65" s="43"/>
      <c r="K65" s="18"/>
      <c r="L65" s="18"/>
      <c r="M65" s="18"/>
      <c r="P65" s="18"/>
      <c r="Q65" s="18"/>
      <c r="R65" s="43"/>
      <c r="S65" s="18"/>
      <c r="T65" s="18"/>
      <c r="U65" s="18"/>
      <c r="V65" s="43"/>
      <c r="W65" s="18"/>
      <c r="X65" s="18"/>
    </row>
    <row r="66" spans="1:24" x14ac:dyDescent="0.25">
      <c r="A66" s="9"/>
      <c r="B66" s="58"/>
      <c r="D66" s="18"/>
      <c r="E66" s="18"/>
      <c r="G66" s="18"/>
      <c r="H66" s="18"/>
      <c r="I66" s="18"/>
      <c r="J66" s="43"/>
      <c r="K66" s="18"/>
      <c r="L66" s="18"/>
      <c r="M66" s="18"/>
      <c r="P66" s="18"/>
      <c r="Q66" s="18"/>
      <c r="R66" s="43"/>
      <c r="S66" s="18"/>
      <c r="T66" s="18"/>
      <c r="U66" s="18"/>
      <c r="V66" s="43"/>
      <c r="W66" s="18"/>
      <c r="X66" s="18"/>
    </row>
    <row r="67" spans="1:24" x14ac:dyDescent="0.25">
      <c r="D67" s="18"/>
      <c r="E67" s="18"/>
      <c r="G67" s="18"/>
      <c r="H67" s="18"/>
      <c r="I67" s="18"/>
      <c r="J67" s="43"/>
      <c r="K67" s="18"/>
      <c r="L67" s="18"/>
      <c r="M67" s="18"/>
      <c r="P67" s="18"/>
      <c r="Q67" s="18"/>
      <c r="R67" s="43"/>
      <c r="S67" s="18"/>
      <c r="T67" s="18"/>
      <c r="U67" s="18"/>
      <c r="V67" s="43"/>
      <c r="W67" s="18"/>
      <c r="X67" s="18"/>
    </row>
  </sheetData>
  <pageMargins left="0.25" right="0.25" top="0.75" bottom="0.75" header="0.3" footer="0.3"/>
  <pageSetup scale="55" fitToWidth="2" orientation="landscape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5" outlineLevelRow="2" outlineLevelCol="1" x14ac:dyDescent="0.25"/>
  <cols>
    <col min="1" max="1" width="1.85546875" customWidth="1"/>
    <col min="2" max="2" width="33.42578125" bestFit="1" customWidth="1"/>
    <col min="3" max="3" width="1.85546875" customWidth="1"/>
    <col min="4" max="4" width="15" customWidth="1"/>
    <col min="5" max="5" width="1.85546875" customWidth="1" outlineLevel="1"/>
    <col min="6" max="6" width="15" style="47" customWidth="1" outlineLevel="1"/>
    <col min="7" max="7" width="1.85546875" customWidth="1" outlineLevel="1"/>
    <col min="8" max="8" width="15" customWidth="1" outlineLevel="1"/>
    <col min="9" max="9" width="1.85546875" customWidth="1" outlineLevel="1"/>
    <col min="10" max="10" width="15" style="38" customWidth="1" outlineLevel="1"/>
    <col min="11" max="11" width="1.85546875" customWidth="1" outlineLevel="1"/>
    <col min="12" max="12" width="15" customWidth="1" outlineLevel="1"/>
    <col min="13" max="13" width="1.85546875" customWidth="1" outlineLevel="1"/>
    <col min="14" max="14" width="15" style="47" customWidth="1" outlineLevel="1"/>
    <col min="15" max="15" width="1.85546875" style="9" customWidth="1"/>
    <col min="16" max="16" width="15" customWidth="1"/>
    <col min="17" max="17" width="1.85546875" customWidth="1" outlineLevel="1"/>
    <col min="18" max="18" width="15" style="38" customWidth="1" outlineLevel="1"/>
    <col min="19" max="19" width="1.85546875" customWidth="1" outlineLevel="1"/>
    <col min="20" max="20" width="15" customWidth="1" outlineLevel="1"/>
    <col min="21" max="21" width="1.85546875" customWidth="1" outlineLevel="1"/>
    <col min="22" max="22" width="15" style="38" customWidth="1" outlineLevel="1"/>
    <col min="23" max="23" width="1.85546875" customWidth="1" outlineLevel="1"/>
    <col min="24" max="24" width="15" customWidth="1" outlineLevel="1"/>
    <col min="25" max="25" width="1.85546875" customWidth="1" outlineLevel="1"/>
    <col min="26" max="26" width="15" style="38" customWidth="1" outlineLevel="1"/>
  </cols>
  <sheetData>
    <row r="2" spans="1:26" x14ac:dyDescent="0.25">
      <c r="D2" s="60" t="s">
        <v>12</v>
      </c>
    </row>
    <row r="3" spans="1:26" x14ac:dyDescent="0.25">
      <c r="D3" s="60" t="s">
        <v>294</v>
      </c>
      <c r="E3" s="17"/>
      <c r="F3" s="50"/>
      <c r="G3" s="17"/>
      <c r="H3" s="17"/>
      <c r="I3" s="17"/>
      <c r="J3" s="39"/>
      <c r="K3" s="17"/>
      <c r="L3" s="17"/>
      <c r="M3" s="17"/>
      <c r="N3" s="50"/>
      <c r="O3" s="54"/>
      <c r="P3" s="17"/>
      <c r="Q3" s="17"/>
      <c r="R3" s="39"/>
      <c r="S3" s="17"/>
      <c r="T3" s="17"/>
      <c r="U3" s="17"/>
      <c r="V3" s="39"/>
      <c r="W3" s="17"/>
      <c r="X3" s="17"/>
      <c r="Y3" s="17"/>
      <c r="Z3" s="39"/>
    </row>
    <row r="4" spans="1:26" x14ac:dyDescent="0.25">
      <c r="D4" s="60" t="e">
        <f ca="1">CONCATENATE("Period ",RIGHT(_xll.OneStop.ReportPlayer.OSRFunctions.OSRGet("Period","PeriodId"),2),", ",_xll.OneStop.ReportPlayer.OSRFunctions.OSRGet("Period","Year"))</f>
        <v>#NAME?</v>
      </c>
      <c r="E4" s="17"/>
      <c r="F4" s="50"/>
      <c r="G4" s="17"/>
      <c r="H4" s="17"/>
      <c r="I4" s="17"/>
      <c r="J4" s="39"/>
      <c r="K4" s="17"/>
      <c r="L4" s="17"/>
      <c r="M4" s="17"/>
      <c r="N4" s="50"/>
      <c r="O4" s="54"/>
      <c r="P4" s="17"/>
      <c r="Q4" s="17"/>
      <c r="R4" s="39"/>
      <c r="S4" s="17"/>
      <c r="T4" s="17"/>
      <c r="U4" s="17"/>
      <c r="V4" s="39"/>
      <c r="W4" s="17"/>
      <c r="X4" s="17"/>
      <c r="Y4" s="17"/>
      <c r="Z4" s="39"/>
    </row>
    <row r="5" spans="1:26" x14ac:dyDescent="0.25">
      <c r="A5" s="23"/>
      <c r="D5" s="64" t="e">
        <f ca="1">_xll.OneStop.ReportPlayer.OSRFunctions.OSRGet("Period","PeriodEnd")</f>
        <v>#NAME?</v>
      </c>
      <c r="E5" s="17"/>
      <c r="F5" s="50"/>
      <c r="G5" s="17"/>
      <c r="H5" s="17"/>
      <c r="I5" s="17"/>
      <c r="J5" s="39"/>
      <c r="K5" s="17"/>
      <c r="L5" s="17"/>
      <c r="M5" s="17"/>
      <c r="N5" s="50"/>
      <c r="O5" s="54"/>
      <c r="P5" s="17"/>
      <c r="Q5" s="17"/>
      <c r="R5" s="39"/>
      <c r="S5" s="17"/>
      <c r="T5" s="17"/>
      <c r="U5" s="17"/>
      <c r="V5" s="39"/>
      <c r="W5" s="17"/>
      <c r="X5" s="17"/>
      <c r="Y5" s="17"/>
      <c r="Z5" s="39"/>
    </row>
    <row r="6" spans="1:26" x14ac:dyDescent="0.25">
      <c r="A6" s="23"/>
      <c r="B6" s="46"/>
      <c r="C6" s="46"/>
      <c r="D6" s="23" t="e">
        <f ca="1">CONCATENATE("Department ",_xll.OneStop.ReportPlayer.OSRFunctions.OSRGet("d_dim0","Code"), " - ", _xll.OneStop.ReportPlayer.OSRFunctions.OSRGet("d_dim0","Description"))</f>
        <v>#NAME?</v>
      </c>
      <c r="E6" s="17"/>
      <c r="F6" s="50"/>
      <c r="G6" s="17"/>
      <c r="H6" s="17"/>
      <c r="I6" s="17"/>
      <c r="J6" s="39"/>
      <c r="K6" s="17"/>
      <c r="L6" s="17"/>
      <c r="M6" s="17"/>
      <c r="N6" s="50"/>
      <c r="O6" s="59"/>
      <c r="P6" s="17"/>
      <c r="Q6" s="17"/>
      <c r="R6" s="39"/>
      <c r="S6" s="17"/>
      <c r="T6" s="17"/>
      <c r="U6" s="17"/>
      <c r="V6" s="39"/>
      <c r="W6" s="17"/>
      <c r="X6" s="17"/>
      <c r="Y6" s="17"/>
      <c r="Z6" s="39"/>
    </row>
    <row r="7" spans="1:26" x14ac:dyDescent="0.25">
      <c r="B7" s="53"/>
    </row>
    <row r="8" spans="1:26" x14ac:dyDescent="0.25">
      <c r="B8" s="53"/>
    </row>
    <row r="9" spans="1:26" x14ac:dyDescent="0.25">
      <c r="B9" s="9"/>
      <c r="C9" s="9"/>
      <c r="D9" s="15" t="s">
        <v>292</v>
      </c>
      <c r="E9" s="15"/>
      <c r="F9" s="40"/>
      <c r="G9" s="15"/>
      <c r="H9" s="15"/>
      <c r="I9" s="15"/>
      <c r="J9" s="48"/>
      <c r="K9" s="15"/>
      <c r="L9" s="15"/>
      <c r="M9" s="15"/>
      <c r="N9" s="40"/>
      <c r="P9" s="15" t="s">
        <v>293</v>
      </c>
      <c r="Q9" s="15"/>
      <c r="R9" s="40"/>
      <c r="S9" s="15"/>
      <c r="T9" s="15"/>
      <c r="U9" s="15"/>
      <c r="V9" s="48"/>
      <c r="W9" s="15"/>
      <c r="X9" s="15"/>
      <c r="Y9" s="15"/>
      <c r="Z9" s="40"/>
    </row>
    <row r="10" spans="1:26" x14ac:dyDescent="0.25">
      <c r="A10" s="10"/>
      <c r="B10" s="62"/>
      <c r="C10" s="10"/>
      <c r="D10" s="42" t="s">
        <v>10</v>
      </c>
      <c r="E10" s="32"/>
      <c r="F10" s="33" t="s">
        <v>14</v>
      </c>
      <c r="G10" s="32"/>
      <c r="H10" s="49" t="s">
        <v>306</v>
      </c>
      <c r="I10" s="32"/>
      <c r="J10" s="33" t="s">
        <v>14</v>
      </c>
      <c r="K10" s="10"/>
      <c r="L10" s="42" t="s">
        <v>11</v>
      </c>
      <c r="M10" s="10"/>
      <c r="N10" s="33" t="s">
        <v>15</v>
      </c>
      <c r="O10" s="10"/>
      <c r="P10" s="57" t="s">
        <v>10</v>
      </c>
      <c r="Q10" s="32"/>
      <c r="R10" s="33" t="s">
        <v>14</v>
      </c>
      <c r="S10" s="32"/>
      <c r="T10" s="49" t="s">
        <v>306</v>
      </c>
      <c r="U10" s="32"/>
      <c r="V10" s="33" t="s">
        <v>14</v>
      </c>
      <c r="W10" s="10"/>
      <c r="X10" s="42" t="s">
        <v>11</v>
      </c>
      <c r="Y10" s="10"/>
      <c r="Z10" s="33" t="s">
        <v>15</v>
      </c>
    </row>
    <row r="11" spans="1:26" ht="15.75" x14ac:dyDescent="0.25">
      <c r="A11" s="9"/>
      <c r="B11" s="55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25">
      <c r="A12" s="10"/>
      <c r="B12" s="25" t="s">
        <v>7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25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25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25">
      <c r="A15" s="10"/>
      <c r="B15" s="25" t="s">
        <v>8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25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25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25">
      <c r="A18" s="10"/>
      <c r="B18" s="26" t="s">
        <v>6</v>
      </c>
      <c r="C18" s="26"/>
      <c r="D18" s="22" t="e">
        <f ca="1">D12-D15</f>
        <v>#NAME?</v>
      </c>
      <c r="E18" s="13"/>
      <c r="F18" s="21" t="e">
        <f ca="1">IF(D$12=0,0,D18/D$12)</f>
        <v>#NAME?</v>
      </c>
      <c r="G18" s="13"/>
      <c r="H18" s="22" t="e">
        <f ca="1">H12-H15</f>
        <v>#NAME?</v>
      </c>
      <c r="I18" s="13"/>
      <c r="J18" s="21" t="e">
        <f ca="1">IF(H$12=0,0,H18/H$12)</f>
        <v>#NAME?</v>
      </c>
      <c r="K18" s="16"/>
      <c r="L18" s="22" t="e">
        <f ca="1">+D18-H18</f>
        <v>#NAME?</v>
      </c>
      <c r="M18" s="16"/>
      <c r="N18" s="21" t="e">
        <f ca="1">IF(H18=0,0,L18/H18)</f>
        <v>#NAME?</v>
      </c>
      <c r="O18" s="25"/>
      <c r="P18" s="22" t="e">
        <f ca="1">P12-P15</f>
        <v>#NAME?</v>
      </c>
      <c r="Q18" s="13"/>
      <c r="R18" s="21" t="e">
        <f ca="1">IF(P$12=0,0,P18/P$12)</f>
        <v>#NAME?</v>
      </c>
      <c r="S18" s="13"/>
      <c r="T18" s="22" t="e">
        <f ca="1">T12-T15</f>
        <v>#NAME?</v>
      </c>
      <c r="U18" s="13"/>
      <c r="V18" s="21" t="e">
        <f ca="1">IF(T$12=0,0,T18/T$12)</f>
        <v>#NAME?</v>
      </c>
      <c r="W18" s="16"/>
      <c r="X18" s="22" t="e">
        <f ca="1">+P18-T18</f>
        <v>#NAME?</v>
      </c>
      <c r="Y18" s="16"/>
      <c r="Z18" s="21" t="e">
        <f ca="1">IF(T18=0,0,X18/T18)</f>
        <v>#NAME?</v>
      </c>
    </row>
    <row r="19" spans="1:26" x14ac:dyDescent="0.25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25">
      <c r="A20" s="10"/>
      <c r="B20" s="25" t="s">
        <v>9</v>
      </c>
      <c r="C20" s="10"/>
      <c r="D20" s="20" t="e">
        <f ca="1">SUM(_xll.OneStop.ReportPlayer.OSRFunctions.OSRRef(D22))</f>
        <v>#NAME?</v>
      </c>
      <c r="E20" s="20"/>
      <c r="F20" s="35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5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5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5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5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5" t="e">
        <f t="shared" ref="Z20:Z22" ca="1" si="19">IF(T20=0,0,X20/T20)</f>
        <v>#NAME?</v>
      </c>
    </row>
    <row r="21" spans="1:26" s="28" customFormat="1" outlineLevel="1" collapsed="1" x14ac:dyDescent="0.25">
      <c r="A21" s="27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25">
      <c r="A22" s="29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7" t="e">
        <f ca="1">_xll.OneStop.ReportPlayer.OSRFunctions.OSRGet("GL_F_Trans","Value1")</f>
        <v>#NAME?</v>
      </c>
      <c r="E22" s="2"/>
      <c r="F22" s="6" t="e">
        <f t="shared" ca="1" si="12"/>
        <v>#NAME?</v>
      </c>
      <c r="G22" s="2"/>
      <c r="H22" s="7" t="e">
        <f ca="1">_xll.OneStop.ReportPlayer.OSRFunctions.OSRGet("GL_F_Trans","Value1")</f>
        <v>#NAME?</v>
      </c>
      <c r="I22" s="2"/>
      <c r="J22" s="6" t="e">
        <f t="shared" ca="1" si="13"/>
        <v>#NAME?</v>
      </c>
      <c r="K22" s="2"/>
      <c r="L22" s="7" t="e">
        <f t="shared" ca="1" si="14"/>
        <v>#NAME?</v>
      </c>
      <c r="M22" s="2"/>
      <c r="N22" s="6" t="e">
        <f t="shared" ca="1" si="15"/>
        <v>#NAME?</v>
      </c>
      <c r="O22" s="11"/>
      <c r="P22" s="7" t="e">
        <f ca="1">_xll.OneStop.ReportPlayer.OSRFunctions.OSRGet("GL_F_Trans","Value1")</f>
        <v>#NAME?</v>
      </c>
      <c r="Q22" s="2"/>
      <c r="R22" s="6" t="e">
        <f t="shared" ca="1" si="16"/>
        <v>#NAME?</v>
      </c>
      <c r="S22" s="2"/>
      <c r="T22" s="7" t="e">
        <f ca="1">_xll.OneStop.ReportPlayer.OSRFunctions.OSRGet("GL_F_Trans","Value1")</f>
        <v>#NAME?</v>
      </c>
      <c r="U22" s="2"/>
      <c r="V22" s="6" t="e">
        <f t="shared" ca="1" si="17"/>
        <v>#NAME?</v>
      </c>
      <c r="W22" s="2"/>
      <c r="X22" s="7" t="e">
        <f t="shared" ca="1" si="18"/>
        <v>#NAME?</v>
      </c>
      <c r="Y22" s="2"/>
      <c r="Z22" s="6" t="e">
        <f t="shared" ca="1" si="19"/>
        <v>#NAME?</v>
      </c>
    </row>
    <row r="23" spans="1:26" s="52" customFormat="1" x14ac:dyDescent="0.25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25">
      <c r="A24" s="10"/>
      <c r="B24" s="25" t="s">
        <v>0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25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25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25">
      <c r="A27" s="10"/>
      <c r="B27" s="26" t="s">
        <v>3</v>
      </c>
      <c r="C27" s="26"/>
      <c r="D27" s="22" t="e">
        <f ca="1">+D18-D20+D24</f>
        <v>#NAME?</v>
      </c>
      <c r="E27" s="13"/>
      <c r="F27" s="21" t="e">
        <f ca="1">IF(D$12=0,0,D27/D$12)</f>
        <v>#NAME?</v>
      </c>
      <c r="G27" s="13"/>
      <c r="H27" s="22" t="e">
        <f ca="1">+H18-H20+H24</f>
        <v>#NAME?</v>
      </c>
      <c r="I27" s="13"/>
      <c r="J27" s="21" t="e">
        <f ca="1">IF(H$12=0,0,H27/H$12)</f>
        <v>#NAME?</v>
      </c>
      <c r="K27" s="16"/>
      <c r="L27" s="22" t="e">
        <f ca="1">+D27-H27</f>
        <v>#NAME?</v>
      </c>
      <c r="M27" s="16"/>
      <c r="N27" s="21" t="e">
        <f ca="1">IF(H27=0,0,L27/H27)</f>
        <v>#NAME?</v>
      </c>
      <c r="O27" s="25"/>
      <c r="P27" s="22" t="e">
        <f ca="1">+P18-P20+P24</f>
        <v>#NAME?</v>
      </c>
      <c r="Q27" s="13"/>
      <c r="R27" s="21" t="e">
        <f ca="1">IF(P$12=0,0,P27/P$12)</f>
        <v>#NAME?</v>
      </c>
      <c r="S27" s="13"/>
      <c r="T27" s="22" t="e">
        <f ca="1">+T18-T20+T24</f>
        <v>#NAME?</v>
      </c>
      <c r="U27" s="13"/>
      <c r="V27" s="21" t="e">
        <f ca="1">IF(T$12=0,0,T27/T$12)</f>
        <v>#NAME?</v>
      </c>
      <c r="W27" s="16"/>
      <c r="X27" s="22" t="e">
        <f ca="1">+P27-T27</f>
        <v>#NAME?</v>
      </c>
      <c r="Y27" s="16"/>
      <c r="Z27" s="21" t="e">
        <f ca="1">IF(T27=0,0,X27/T27)</f>
        <v>#NAME?</v>
      </c>
    </row>
    <row r="28" spans="1:26" x14ac:dyDescent="0.25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25">
      <c r="A29" s="51"/>
      <c r="B29" s="10" t="s">
        <v>13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25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.75" thickBot="1" x14ac:dyDescent="0.3">
      <c r="A31" s="10"/>
      <c r="B31" s="26" t="s">
        <v>4</v>
      </c>
      <c r="C31" s="26"/>
      <c r="D31" s="36" t="e">
        <f ca="1">+D27-D29</f>
        <v>#NAME?</v>
      </c>
      <c r="E31" s="13"/>
      <c r="F31" s="34" t="e">
        <f ca="1">IF(D$12=0,0,D31/D$12)</f>
        <v>#NAME?</v>
      </c>
      <c r="G31" s="13"/>
      <c r="H31" s="36" t="e">
        <f ca="1">+H27-H29</f>
        <v>#NAME?</v>
      </c>
      <c r="I31" s="13"/>
      <c r="J31" s="34" t="e">
        <f ca="1">IF(H$12=0,0,H31/H$12)</f>
        <v>#NAME?</v>
      </c>
      <c r="K31" s="16"/>
      <c r="L31" s="36" t="e">
        <f ca="1">D31-H31</f>
        <v>#NAME?</v>
      </c>
      <c r="M31" s="16"/>
      <c r="N31" s="34" t="e">
        <f ca="1">IF(H31=0,0,L31/H31)</f>
        <v>#NAME?</v>
      </c>
      <c r="O31" s="25"/>
      <c r="P31" s="36" t="e">
        <f ca="1">+P27-P29</f>
        <v>#NAME?</v>
      </c>
      <c r="Q31" s="13"/>
      <c r="R31" s="34" t="e">
        <f ca="1">IF(P$12=0,0,P31/P$12)</f>
        <v>#NAME?</v>
      </c>
      <c r="S31" s="13"/>
      <c r="T31" s="36" t="e">
        <f ca="1">+T27-T29</f>
        <v>#NAME?</v>
      </c>
      <c r="U31" s="13"/>
      <c r="V31" s="34" t="e">
        <f ca="1">IF(T$12=0,0,T31/T$12)</f>
        <v>#NAME?</v>
      </c>
      <c r="W31" s="16"/>
      <c r="X31" s="36" t="e">
        <f ca="1">P31-T31</f>
        <v>#NAME?</v>
      </c>
      <c r="Y31" s="16"/>
      <c r="Z31" s="34" t="e">
        <f ca="1">IF(T31=0,0,X31/T31)</f>
        <v>#NAME?</v>
      </c>
    </row>
    <row r="32" spans="1:26" ht="15.75" thickTop="1" x14ac:dyDescent="0.25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25">
      <c r="A33" s="51"/>
      <c r="B33" s="10" t="s">
        <v>2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25">
      <c r="A34" s="51"/>
      <c r="B34" s="10" t="s">
        <v>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25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.75" thickBot="1" x14ac:dyDescent="0.3">
      <c r="A36" s="10"/>
      <c r="B36" s="26" t="s">
        <v>5</v>
      </c>
      <c r="C36" s="26"/>
      <c r="D36" s="30" t="e">
        <f ca="1">SUM(D31:D35)</f>
        <v>#NAME?</v>
      </c>
      <c r="E36" s="13"/>
      <c r="F36" s="31" t="e">
        <f ca="1">IF(D$12=0,0,D36/D$12)</f>
        <v>#NAME?</v>
      </c>
      <c r="G36" s="13"/>
      <c r="H36" s="30" t="e">
        <f ca="1">SUM(H31:H35)</f>
        <v>#NAME?</v>
      </c>
      <c r="I36" s="13"/>
      <c r="J36" s="31" t="e">
        <f ca="1">IF(H$12=0,0,H36/H$12)</f>
        <v>#NAME?</v>
      </c>
      <c r="K36" s="16"/>
      <c r="L36" s="30" t="e">
        <f ca="1">+D36-H36</f>
        <v>#NAME?</v>
      </c>
      <c r="M36" s="16"/>
      <c r="N36" s="31" t="e">
        <f ca="1">IF(H36=0,0,L36/H36)</f>
        <v>#NAME?</v>
      </c>
      <c r="O36" s="25"/>
      <c r="P36" s="30" t="e">
        <f ca="1">SUM(P31:P35)</f>
        <v>#NAME?</v>
      </c>
      <c r="Q36" s="13"/>
      <c r="R36" s="31" t="e">
        <f ca="1">IF(P$12=0,0,P36/P$12)</f>
        <v>#NAME?</v>
      </c>
      <c r="S36" s="13"/>
      <c r="T36" s="30" t="e">
        <f ca="1">SUM(T31:T35)</f>
        <v>#NAME?</v>
      </c>
      <c r="U36" s="13"/>
      <c r="V36" s="31" t="e">
        <f ca="1">IF(T$12=0,0,T36/T$12)</f>
        <v>#NAME?</v>
      </c>
      <c r="W36" s="16"/>
      <c r="X36" s="30" t="e">
        <f ca="1">+P36-T36</f>
        <v>#NAME?</v>
      </c>
      <c r="Y36" s="16"/>
      <c r="Z36" s="31" t="e">
        <f ca="1">IF(T36=0,0,X36/T36)</f>
        <v>#NAME?</v>
      </c>
    </row>
    <row r="37" spans="1:26" ht="15.75" thickTop="1" x14ac:dyDescent="0.25">
      <c r="A37" s="9"/>
      <c r="C37" s="9"/>
      <c r="D37" s="18"/>
      <c r="E37" s="18"/>
      <c r="G37" s="18"/>
      <c r="H37" s="18"/>
      <c r="I37" s="18"/>
      <c r="J37" s="43"/>
      <c r="K37" s="18"/>
      <c r="L37" s="18"/>
      <c r="M37" s="18"/>
      <c r="P37" s="18"/>
      <c r="Q37" s="18"/>
      <c r="R37" s="43"/>
      <c r="S37" s="18"/>
      <c r="T37" s="18"/>
      <c r="U37" s="18"/>
      <c r="V37" s="43"/>
      <c r="W37" s="18"/>
      <c r="X37" s="18"/>
    </row>
    <row r="38" spans="1:26" x14ac:dyDescent="0.25">
      <c r="A38" s="9"/>
      <c r="B38" s="61" t="e">
        <f ca="1">_xll.OneStop.ReportPlayer.OSRFunctions.OSRGet("CurrentDate","Date")</f>
        <v>#NAME?</v>
      </c>
      <c r="D38" s="18"/>
      <c r="E38" s="18"/>
      <c r="G38" s="18"/>
      <c r="H38" s="18"/>
      <c r="I38" s="18"/>
      <c r="J38" s="43"/>
      <c r="K38" s="18"/>
      <c r="L38" s="18"/>
      <c r="M38" s="18"/>
      <c r="P38" s="18"/>
      <c r="Q38" s="18"/>
      <c r="R38" s="43"/>
      <c r="S38" s="18"/>
      <c r="T38" s="18"/>
      <c r="U38" s="18"/>
      <c r="V38" s="43"/>
      <c r="W38" s="18"/>
      <c r="X38" s="18"/>
    </row>
    <row r="39" spans="1:26" x14ac:dyDescent="0.25">
      <c r="A39" s="9"/>
      <c r="B39" s="56" t="e">
        <f ca="1">_xll.OneStop.ReportPlayer.OSRFunctions.OSRGet("User","UserId")</f>
        <v>#NAME?</v>
      </c>
      <c r="D39" s="18"/>
      <c r="E39" s="18"/>
      <c r="G39" s="18"/>
      <c r="H39" s="18"/>
      <c r="I39" s="18"/>
      <c r="J39" s="43"/>
      <c r="K39" s="18"/>
      <c r="L39" s="18"/>
      <c r="M39" s="18"/>
      <c r="P39" s="18"/>
      <c r="Q39" s="18"/>
      <c r="R39" s="43"/>
      <c r="S39" s="18"/>
      <c r="T39" s="18"/>
      <c r="U39" s="18"/>
      <c r="V39" s="43"/>
      <c r="W39" s="18"/>
      <c r="X39" s="18"/>
    </row>
    <row r="40" spans="1:26" x14ac:dyDescent="0.25">
      <c r="A40" s="9"/>
      <c r="B40" s="58"/>
      <c r="D40" s="18"/>
      <c r="E40" s="18"/>
      <c r="G40" s="18"/>
      <c r="H40" s="18"/>
      <c r="I40" s="18"/>
      <c r="J40" s="43"/>
      <c r="K40" s="18"/>
      <c r="L40" s="18"/>
      <c r="M40" s="18"/>
      <c r="P40" s="18"/>
      <c r="Q40" s="18"/>
      <c r="R40" s="43"/>
      <c r="S40" s="18"/>
      <c r="T40" s="18"/>
      <c r="U40" s="18"/>
      <c r="V40" s="43"/>
      <c r="W40" s="18"/>
      <c r="X40" s="18"/>
    </row>
    <row r="41" spans="1:26" x14ac:dyDescent="0.25">
      <c r="D41" s="18"/>
      <c r="E41" s="18"/>
      <c r="G41" s="18"/>
      <c r="H41" s="18"/>
      <c r="I41" s="18"/>
      <c r="J41" s="43"/>
      <c r="K41" s="18"/>
      <c r="L41" s="18"/>
      <c r="M41" s="18"/>
      <c r="P41" s="18"/>
      <c r="Q41" s="18"/>
      <c r="R41" s="43"/>
      <c r="S41" s="18"/>
      <c r="T41" s="18"/>
      <c r="U41" s="18"/>
      <c r="V41" s="43"/>
      <c r="W41" s="18"/>
      <c r="X41" s="18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101</vt:i4>
      </vt:variant>
      <vt:variant>
        <vt:lpstr>Named Ranges</vt:lpstr>
      </vt:variant>
      <vt:variant>
        <vt:i4>3994</vt:i4>
      </vt:variant>
    </vt:vector>
  </HeadingPairs>
  <TitlesOfParts>
    <vt:vector size="4095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306</vt:lpstr>
      <vt:lpstr>330</vt:lpstr>
      <vt:lpstr>307</vt:lpstr>
      <vt:lpstr>314</vt:lpstr>
      <vt:lpstr>308</vt:lpstr>
      <vt:lpstr>311</vt:lpstr>
      <vt:lpstr>324</vt:lpstr>
      <vt:lpstr>312</vt:lpstr>
      <vt:lpstr>331</vt:lpstr>
      <vt:lpstr>315</vt:lpstr>
      <vt:lpstr>326</vt:lpstr>
      <vt:lpstr>332</vt:lpstr>
      <vt:lpstr>316</vt:lpstr>
      <vt:lpstr>320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420</vt:lpstr>
      <vt:lpstr>413</vt:lpstr>
      <vt:lpstr>414</vt:lpstr>
      <vt:lpstr>415</vt:lpstr>
      <vt:lpstr>418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'313'!OSRRefD13x_0</vt:lpstr>
      <vt:lpstr>'314'!OSRRefD13x_0</vt:lpstr>
      <vt:lpstr>'315'!OSRRefD13x_0</vt:lpstr>
      <vt:lpstr>'316'!OSRRefD13x_0</vt:lpstr>
      <vt:lpstr>'317'!OSRRefD13x_0</vt:lpstr>
      <vt:lpstr>'320'!OSRRefD13x_0</vt:lpstr>
      <vt:lpstr>'321'!OSRRefD13x_0</vt:lpstr>
      <vt:lpstr>'322'!OSRRefD13x_0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'406'!OSRRefD13x_0</vt:lpstr>
      <vt:lpstr>'412'!OSRRefD13x_0</vt:lpstr>
      <vt:lpstr>'413'!OSRRefD13x_0</vt:lpstr>
      <vt:lpstr>'414'!OSRRefD13x_0</vt:lpstr>
      <vt:lpstr>'415'!OSRRefD13x_0</vt:lpstr>
      <vt:lpstr>'418'!OSRRefD13x_0</vt:lpstr>
      <vt:lpstr>'424'!OSRRefD13x_0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'313'!OSRRefD16x_0</vt:lpstr>
      <vt:lpstr>'314'!OSRRefD16x_0</vt:lpstr>
      <vt:lpstr>'315'!OSRRefD16x_0</vt:lpstr>
      <vt:lpstr>'317'!OSRRefD16x_0</vt:lpstr>
      <vt:lpstr>'320'!OSRRefD16x_0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'406'!OSRRefD16x_0</vt:lpstr>
      <vt:lpstr>'412'!OSRRefD16x_0</vt:lpstr>
      <vt:lpstr>'413'!OSRRefD16x_0</vt:lpstr>
      <vt:lpstr>'414'!OSRRefD16x_0</vt:lpstr>
      <vt:lpstr>'415'!OSRRefD16x_0</vt:lpstr>
      <vt:lpstr>'418'!OSRRefD16x_0</vt:lpstr>
      <vt:lpstr>'423'!OSRRefD16x_0</vt:lpstr>
      <vt:lpstr>'424'!OSRRefD16x_0</vt:lpstr>
      <vt:lpstr>'425'!OSRRefD16x_0</vt:lpstr>
      <vt:lpstr>'433'!OSRRefD16x_0</vt:lpstr>
      <vt:lpstr>'435'!OSRRefD16x_0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'306'!OSRRefD22_0x_0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'314'!OSRRefD22_0x_0</vt:lpstr>
      <vt:lpstr>'315'!OSRRefD22_0x_0</vt:lpstr>
      <vt:lpstr>'316'!OSRRefD22_0x_0</vt:lpstr>
      <vt:lpstr>'317'!OSRRefD22_0x_0</vt:lpstr>
      <vt:lpstr>'320'!OSRRefD22_0x_0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'455'!OSRRefD22_0x_0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'313'!OSRRefD22_10x_0</vt:lpstr>
      <vt:lpstr>'315'!OSRRefD22_10x_0</vt:lpstr>
      <vt:lpstr>'316'!OSRRefD22_10x_0</vt:lpstr>
      <vt:lpstr>'317'!OSRRefD22_10x_0</vt:lpstr>
      <vt:lpstr>'321'!OSRRefD22_10x_0</vt:lpstr>
      <vt:lpstr>'322'!OSRRefD22_10x_0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'406'!OSRRefD22_10x_0</vt:lpstr>
      <vt:lpstr>'411'!OSRRefD22_10x_0</vt:lpstr>
      <vt:lpstr>'412'!OSRRefD22_10x_0</vt:lpstr>
      <vt:lpstr>'413'!OSRRefD22_10x_0</vt:lpstr>
      <vt:lpstr>'414'!OSRRefD22_10x_0</vt:lpstr>
      <vt:lpstr>'415'!OSRRefD22_10x_0</vt:lpstr>
      <vt:lpstr>'418'!OSRRefD22_10x_0</vt:lpstr>
      <vt:lpstr>'424'!OSRRefD22_10x_0</vt:lpstr>
      <vt:lpstr>'425'!OSRRefD22_10x_0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'Div 2'!OSRRefD22_10x_0</vt:lpstr>
      <vt:lpstr>'Div 3'!OSRRefD22_10x_0</vt:lpstr>
      <vt:lpstr>'Div 4'!OSRRefD22_10x_0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'308'!OSRRefD22_11x_0</vt:lpstr>
      <vt:lpstr>'310'!OSRRefD22_11x_0</vt:lpstr>
      <vt:lpstr>'310 &amp; 491'!OSRRefD22_11x_0</vt:lpstr>
      <vt:lpstr>'311'!OSRRefD22_11x_0</vt:lpstr>
      <vt:lpstr>'313'!OSRRefD22_11x_0</vt:lpstr>
      <vt:lpstr>'322'!OSRRefD22_11x_0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'406'!OSRRefD22_11x_0</vt:lpstr>
      <vt:lpstr>'411'!OSRRefD22_11x_0</vt:lpstr>
      <vt:lpstr>'412'!OSRRefD22_11x_0</vt:lpstr>
      <vt:lpstr>'414'!OSRRefD22_11x_0</vt:lpstr>
      <vt:lpstr>'415'!OSRRefD22_11x_0</vt:lpstr>
      <vt:lpstr>'418'!OSRRefD22_11x_0</vt:lpstr>
      <vt:lpstr>'424'!OSRRefD22_11x_0</vt:lpstr>
      <vt:lpstr>'425'!OSRRefD22_11x_0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'201'!OSRRefD22_12x_0</vt:lpstr>
      <vt:lpstr>'203'!OSRRefD22_12x_0</vt:lpstr>
      <vt:lpstr>'300'!OSRRefD22_12x_0</vt:lpstr>
      <vt:lpstr>'300 &amp; 317'!OSRRefD22_12x_0</vt:lpstr>
      <vt:lpstr>'301'!OSRRefD22_12x_0</vt:lpstr>
      <vt:lpstr>'308'!OSRRefD22_12x_0</vt:lpstr>
      <vt:lpstr>'310'!OSRRefD22_12x_0</vt:lpstr>
      <vt:lpstr>'310 &amp; 491'!OSRRefD22_12x_0</vt:lpstr>
      <vt:lpstr>'311'!OSRRefD22_12x_0</vt:lpstr>
      <vt:lpstr>'322'!OSRRefD22_12x_0</vt:lpstr>
      <vt:lpstr>'325'!OSRRefD22_12x_0</vt:lpstr>
      <vt:lpstr>'326'!OSRRefD22_12x_0</vt:lpstr>
      <vt:lpstr>'331'!OSRRefD22_12x_0</vt:lpstr>
      <vt:lpstr>'405'!OSRRefD22_12x_0</vt:lpstr>
      <vt:lpstr>'406'!OSRRefD22_12x_0</vt:lpstr>
      <vt:lpstr>'411'!OSRRefD22_12x_0</vt:lpstr>
      <vt:lpstr>'412'!OSRRefD22_12x_0</vt:lpstr>
      <vt:lpstr>'414'!OSRRefD22_12x_0</vt:lpstr>
      <vt:lpstr>'415'!OSRRefD22_12x_0</vt:lpstr>
      <vt:lpstr>'418'!OSRRefD22_12x_0</vt:lpstr>
      <vt:lpstr>'425'!OSRRefD22_12x_0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'414'!OSRRefD22_13x_0</vt:lpstr>
      <vt:lpstr>'415'!OSRRefD22_13x_0</vt:lpstr>
      <vt:lpstr>'418'!OSRRefD22_13x_0</vt:lpstr>
      <vt:lpstr>'425'!OSRRefD22_13x_0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'203'!OSRRefD22_14x_0</vt:lpstr>
      <vt:lpstr>'300'!OSRRefD22_14x_0</vt:lpstr>
      <vt:lpstr>'300 &amp; 317'!OSRRefD22_14x_0</vt:lpstr>
      <vt:lpstr>'301'!OSRRefD22_14x_0</vt:lpstr>
      <vt:lpstr>'308'!OSRRefD22_14x_0</vt:lpstr>
      <vt:lpstr>'310'!OSRRefD22_14x_0</vt:lpstr>
      <vt:lpstr>'310 &amp; 491'!OSRRefD22_14x_0</vt:lpstr>
      <vt:lpstr>'311'!OSRRefD22_14x_0</vt:lpstr>
      <vt:lpstr>'325'!OSRRefD22_14x_0</vt:lpstr>
      <vt:lpstr>'326'!OSRRefD22_14x_0</vt:lpstr>
      <vt:lpstr>'331'!OSRRefD22_14x_0</vt:lpstr>
      <vt:lpstr>'405'!OSRRefD22_14x_0</vt:lpstr>
      <vt:lpstr>'411'!OSRRefD22_14x_0</vt:lpstr>
      <vt:lpstr>'415'!OSRRefD22_14x_0</vt:lpstr>
      <vt:lpstr>'418'!OSRRefD22_14x_0</vt:lpstr>
      <vt:lpstr>'425'!OSRRefD22_14x_0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'203'!OSRRefD22_15x_0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'325'!OSRRefD22_15x_0</vt:lpstr>
      <vt:lpstr>'326'!OSRRefD22_15x_0</vt:lpstr>
      <vt:lpstr>'331'!OSRRefD22_15x_0</vt:lpstr>
      <vt:lpstr>'405'!OSRRefD22_15x_0</vt:lpstr>
      <vt:lpstr>'411'!OSRRefD22_15x_0</vt:lpstr>
      <vt:lpstr>'415'!OSRRefD22_15x_0</vt:lpstr>
      <vt:lpstr>'433'!OSRRefD22_15x_0</vt:lpstr>
      <vt:lpstr>'444'!OSRRefD22_15x_0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'326'!OSRRefD22_16x_0</vt:lpstr>
      <vt:lpstr>'331'!OSRRefD22_16x_0</vt:lpstr>
      <vt:lpstr>'405'!OSRRefD22_16x_0</vt:lpstr>
      <vt:lpstr>'415'!OSRRefD22_16x_0</vt:lpstr>
      <vt:lpstr>'444'!OSRRefD22_16x_0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'310'!OSRRefD22_18x_0</vt:lpstr>
      <vt:lpstr>'310 &amp; 491'!OSRRefD22_18x_0</vt:lpstr>
      <vt:lpstr>'331'!OSRRefD22_18x_0</vt:lpstr>
      <vt:lpstr>'491'!OSRRefD22_18x_0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'306'!OSRRefD22_1x_0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'314'!OSRRefD22_1x_0</vt:lpstr>
      <vt:lpstr>'315'!OSRRefD22_1x_0</vt:lpstr>
      <vt:lpstr>'316'!OSRRefD22_1x_0</vt:lpstr>
      <vt:lpstr>'317'!OSRRefD22_1x_0</vt:lpstr>
      <vt:lpstr>'320'!OSRRefD22_1x_0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'455'!OSRRefD22_1x_0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'310 &amp; 491'!OSRRefD22_22x_0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'310 &amp; 491'!OSRRefD22_23x_0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'306'!OSRRefD22_2x_0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'314'!OSRRefD22_2x_0</vt:lpstr>
      <vt:lpstr>'315'!OSRRefD22_2x_0</vt:lpstr>
      <vt:lpstr>'316'!OSRRefD22_2x_0</vt:lpstr>
      <vt:lpstr>'317'!OSRRefD22_2x_0</vt:lpstr>
      <vt:lpstr>'320'!OSRRefD22_2x_0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'435'!OSRRefD22_2x_0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'306'!OSRRefD22_3x_0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'314'!OSRRefD22_3x_0</vt:lpstr>
      <vt:lpstr>'315'!OSRRefD22_3x_0</vt:lpstr>
      <vt:lpstr>'316'!OSRRefD22_3x_0</vt:lpstr>
      <vt:lpstr>'317'!OSRRefD22_3x_0</vt:lpstr>
      <vt:lpstr>'320'!OSRRefD22_3x_0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'435'!OSRRefD22_3x_0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'306'!OSRRefD22_4x_0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'314'!OSRRefD22_4x_0</vt:lpstr>
      <vt:lpstr>'315'!OSRRefD22_4x_0</vt:lpstr>
      <vt:lpstr>'316'!OSRRefD22_4x_0</vt:lpstr>
      <vt:lpstr>'317'!OSRRefD22_4x_0</vt:lpstr>
      <vt:lpstr>'320'!OSRRefD22_4x_0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'423'!OSRRefD22_4x_0</vt:lpstr>
      <vt:lpstr>'424'!OSRRefD22_4x_0</vt:lpstr>
      <vt:lpstr>'425'!OSRRefD22_4x_0</vt:lpstr>
      <vt:lpstr>'430'!OSRRefD22_4x_0</vt:lpstr>
      <vt:lpstr>'433'!OSRRefD22_4x_0</vt:lpstr>
      <vt:lpstr>'435'!OSRRefD22_4x_0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'320'!OSRRefD22_5x_0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'406'!OSRRefD22_5x_0</vt:lpstr>
      <vt:lpstr>'411'!OSRRefD22_5x_0</vt:lpstr>
      <vt:lpstr>'412'!OSRRefD22_5x_0</vt:lpstr>
      <vt:lpstr>'413'!OSRRefD22_5x_0</vt:lpstr>
      <vt:lpstr>'414'!OSRRefD22_5x_0</vt:lpstr>
      <vt:lpstr>'415'!OSRRefD22_5x_0</vt:lpstr>
      <vt:lpstr>'418'!OSRRefD22_5x_0</vt:lpstr>
      <vt:lpstr>'423'!OSRRefD22_5x_0</vt:lpstr>
      <vt:lpstr>'424'!OSRRefD22_5x_0</vt:lpstr>
      <vt:lpstr>'425'!OSRRefD22_5x_0</vt:lpstr>
      <vt:lpstr>'430'!OSRRefD22_5x_0</vt:lpstr>
      <vt:lpstr>'433'!OSRRefD22_5x_0</vt:lpstr>
      <vt:lpstr>'435'!OSRRefD22_5x_0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'320'!OSRRefD22_6x_0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'406'!OSRRefD22_6x_0</vt:lpstr>
      <vt:lpstr>'411'!OSRRefD22_6x_0</vt:lpstr>
      <vt:lpstr>'412'!OSRRefD22_6x_0</vt:lpstr>
      <vt:lpstr>'413'!OSRRefD22_6x_0</vt:lpstr>
      <vt:lpstr>'414'!OSRRefD22_6x_0</vt:lpstr>
      <vt:lpstr>'415'!OSRRefD22_6x_0</vt:lpstr>
      <vt:lpstr>'418'!OSRRefD22_6x_0</vt:lpstr>
      <vt:lpstr>'424'!OSRRefD22_6x_0</vt:lpstr>
      <vt:lpstr>'425'!OSRRefD22_6x_0</vt:lpstr>
      <vt:lpstr>'430'!OSRRefD22_6x_0</vt:lpstr>
      <vt:lpstr>'433'!OSRRefD22_6x_0</vt:lpstr>
      <vt:lpstr>'435'!OSRRefD22_6x_0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'313'!OSRRefD22_7x_0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'406'!OSRRefD22_7x_0</vt:lpstr>
      <vt:lpstr>'411'!OSRRefD22_7x_0</vt:lpstr>
      <vt:lpstr>'412'!OSRRefD22_7x_0</vt:lpstr>
      <vt:lpstr>'413'!OSRRefD22_7x_0</vt:lpstr>
      <vt:lpstr>'414'!OSRRefD22_7x_0</vt:lpstr>
      <vt:lpstr>'415'!OSRRefD22_7x_0</vt:lpstr>
      <vt:lpstr>'418'!OSRRefD22_7x_0</vt:lpstr>
      <vt:lpstr>'424'!OSRRefD22_7x_0</vt:lpstr>
      <vt:lpstr>'425'!OSRRefD22_7x_0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'313'!OSRRefD22_8x_0</vt:lpstr>
      <vt:lpstr>'315'!OSRRefD22_8x_0</vt:lpstr>
      <vt:lpstr>'316'!OSRRefD22_8x_0</vt:lpstr>
      <vt:lpstr>'317'!OSRRefD22_8x_0</vt:lpstr>
      <vt:lpstr>'321'!OSRRefD22_8x_0</vt:lpstr>
      <vt:lpstr>'322'!OSRRefD22_8x_0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'406'!OSRRefD22_8x_0</vt:lpstr>
      <vt:lpstr>'411'!OSRRefD22_8x_0</vt:lpstr>
      <vt:lpstr>'412'!OSRRefD22_8x_0</vt:lpstr>
      <vt:lpstr>'413'!OSRRefD22_8x_0</vt:lpstr>
      <vt:lpstr>'414'!OSRRefD22_8x_0</vt:lpstr>
      <vt:lpstr>'415'!OSRRefD22_8x_0</vt:lpstr>
      <vt:lpstr>'418'!OSRRefD22_8x_0</vt:lpstr>
      <vt:lpstr>'424'!OSRRefD22_8x_0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'313'!OSRRefD22_9x_0</vt:lpstr>
      <vt:lpstr>'315'!OSRRefD22_9x_0</vt:lpstr>
      <vt:lpstr>'316'!OSRRefD22_9x_0</vt:lpstr>
      <vt:lpstr>'317'!OSRRefD22_9x_0</vt:lpstr>
      <vt:lpstr>'321'!OSRRefD22_9x_0</vt:lpstr>
      <vt:lpstr>'322'!OSRRefD22_9x_0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'406'!OSRRefD22_9x_0</vt:lpstr>
      <vt:lpstr>'411'!OSRRefD22_9x_0</vt:lpstr>
      <vt:lpstr>'412'!OSRRefD22_9x_0</vt:lpstr>
      <vt:lpstr>'413'!OSRRefD22_9x_0</vt:lpstr>
      <vt:lpstr>'414'!OSRRefD22_9x_0</vt:lpstr>
      <vt:lpstr>'415'!OSRRefD22_9x_0</vt:lpstr>
      <vt:lpstr>'418'!OSRRefD22_9x_0</vt:lpstr>
      <vt:lpstr>'424'!OSRRefD22_9x_0</vt:lpstr>
      <vt:lpstr>'425'!OSRRefD22_9x_0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'Div 2'!OSRRefD22_9x_0</vt:lpstr>
      <vt:lpstr>'Div 3'!OSRRefD22_9x_0</vt:lpstr>
      <vt:lpstr>'Div 4'!OSRRefD22_9x_0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'306'!OSRRefD22x_0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'314'!OSRRefD22x_0</vt:lpstr>
      <vt:lpstr>'315'!OSRRefD22x_0</vt:lpstr>
      <vt:lpstr>'316'!OSRRefD22x_0</vt:lpstr>
      <vt:lpstr>'317'!OSRRefD22x_0</vt:lpstr>
      <vt:lpstr>'320'!OSRRefD22x_0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'455'!OSRRefD22x_0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'320'!OSRRefD25x_0</vt:lpstr>
      <vt:lpstr>'331'!OSRRefD25x_0</vt:lpstr>
      <vt:lpstr>'332'!OSRRefD25x_0</vt:lpstr>
      <vt:lpstr>'411'!OSRRefD25x_0</vt:lpstr>
      <vt:lpstr>'413'!OSRRefD25x_0</vt:lpstr>
      <vt:lpstr>'418'!OSRRefD25x_0</vt:lpstr>
      <vt:lpstr>'423'!OSRRefD25x_0</vt:lpstr>
      <vt:lpstr>'424'!OSRRefD25x_0</vt:lpstr>
      <vt:lpstr>'425'!OSRRefD25x_0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'313'!OSRRefH13x_0</vt:lpstr>
      <vt:lpstr>'314'!OSRRefH13x_0</vt:lpstr>
      <vt:lpstr>'315'!OSRRefH13x_0</vt:lpstr>
      <vt:lpstr>'316'!OSRRefH13x_0</vt:lpstr>
      <vt:lpstr>'317'!OSRRefH13x_0</vt:lpstr>
      <vt:lpstr>'320'!OSRRefH13x_0</vt:lpstr>
      <vt:lpstr>'321'!OSRRefH13x_0</vt:lpstr>
      <vt:lpstr>'322'!OSRRefH13x_0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'406'!OSRRefH13x_0</vt:lpstr>
      <vt:lpstr>'412'!OSRRefH13x_0</vt:lpstr>
      <vt:lpstr>'413'!OSRRefH13x_0</vt:lpstr>
      <vt:lpstr>'414'!OSRRefH13x_0</vt:lpstr>
      <vt:lpstr>'415'!OSRRefH13x_0</vt:lpstr>
      <vt:lpstr>'418'!OSRRefH13x_0</vt:lpstr>
      <vt:lpstr>'424'!OSRRefH13x_0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'313'!OSRRefH16x_0</vt:lpstr>
      <vt:lpstr>'314'!OSRRefH16x_0</vt:lpstr>
      <vt:lpstr>'315'!OSRRefH16x_0</vt:lpstr>
      <vt:lpstr>'317'!OSRRefH16x_0</vt:lpstr>
      <vt:lpstr>'320'!OSRRefH16x_0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'406'!OSRRefH16x_0</vt:lpstr>
      <vt:lpstr>'412'!OSRRefH16x_0</vt:lpstr>
      <vt:lpstr>'413'!OSRRefH16x_0</vt:lpstr>
      <vt:lpstr>'414'!OSRRefH16x_0</vt:lpstr>
      <vt:lpstr>'415'!OSRRefH16x_0</vt:lpstr>
      <vt:lpstr>'418'!OSRRefH16x_0</vt:lpstr>
      <vt:lpstr>'423'!OSRRefH16x_0</vt:lpstr>
      <vt:lpstr>'424'!OSRRefH16x_0</vt:lpstr>
      <vt:lpstr>'425'!OSRRefH16x_0</vt:lpstr>
      <vt:lpstr>'433'!OSRRefH16x_0</vt:lpstr>
      <vt:lpstr>'435'!OSRRefH16x_0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'306'!OSRRefH22_0x_0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'314'!OSRRefH22_0x_0</vt:lpstr>
      <vt:lpstr>'315'!OSRRefH22_0x_0</vt:lpstr>
      <vt:lpstr>'316'!OSRRefH22_0x_0</vt:lpstr>
      <vt:lpstr>'317'!OSRRefH22_0x_0</vt:lpstr>
      <vt:lpstr>'320'!OSRRefH22_0x_0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'455'!OSRRefH22_0x_0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'313'!OSRRefH22_10x_0</vt:lpstr>
      <vt:lpstr>'315'!OSRRefH22_10x_0</vt:lpstr>
      <vt:lpstr>'316'!OSRRefH22_10x_0</vt:lpstr>
      <vt:lpstr>'317'!OSRRefH22_10x_0</vt:lpstr>
      <vt:lpstr>'321'!OSRRefH22_10x_0</vt:lpstr>
      <vt:lpstr>'322'!OSRRefH22_10x_0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'406'!OSRRefH22_10x_0</vt:lpstr>
      <vt:lpstr>'411'!OSRRefH22_10x_0</vt:lpstr>
      <vt:lpstr>'412'!OSRRefH22_10x_0</vt:lpstr>
      <vt:lpstr>'413'!OSRRefH22_10x_0</vt:lpstr>
      <vt:lpstr>'414'!OSRRefH22_10x_0</vt:lpstr>
      <vt:lpstr>'415'!OSRRefH22_10x_0</vt:lpstr>
      <vt:lpstr>'418'!OSRRefH22_10x_0</vt:lpstr>
      <vt:lpstr>'424'!OSRRefH22_10x_0</vt:lpstr>
      <vt:lpstr>'425'!OSRRefH22_10x_0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'Div 2'!OSRRefH22_10x_0</vt:lpstr>
      <vt:lpstr>'Div 3'!OSRRefH22_10x_0</vt:lpstr>
      <vt:lpstr>'Div 4'!OSRRefH22_10x_0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'308'!OSRRefH22_11x_0</vt:lpstr>
      <vt:lpstr>'310'!OSRRefH22_11x_0</vt:lpstr>
      <vt:lpstr>'310 &amp; 491'!OSRRefH22_11x_0</vt:lpstr>
      <vt:lpstr>'311'!OSRRefH22_11x_0</vt:lpstr>
      <vt:lpstr>'313'!OSRRefH22_11x_0</vt:lpstr>
      <vt:lpstr>'322'!OSRRefH22_11x_0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'406'!OSRRefH22_11x_0</vt:lpstr>
      <vt:lpstr>'411'!OSRRefH22_11x_0</vt:lpstr>
      <vt:lpstr>'412'!OSRRefH22_11x_0</vt:lpstr>
      <vt:lpstr>'414'!OSRRefH22_11x_0</vt:lpstr>
      <vt:lpstr>'415'!OSRRefH22_11x_0</vt:lpstr>
      <vt:lpstr>'418'!OSRRefH22_11x_0</vt:lpstr>
      <vt:lpstr>'424'!OSRRefH22_11x_0</vt:lpstr>
      <vt:lpstr>'425'!OSRRefH22_11x_0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'201'!OSRRefH22_12x_0</vt:lpstr>
      <vt:lpstr>'203'!OSRRefH22_12x_0</vt:lpstr>
      <vt:lpstr>'300'!OSRRefH22_12x_0</vt:lpstr>
      <vt:lpstr>'300 &amp; 317'!OSRRefH22_12x_0</vt:lpstr>
      <vt:lpstr>'301'!OSRRefH22_12x_0</vt:lpstr>
      <vt:lpstr>'308'!OSRRefH22_12x_0</vt:lpstr>
      <vt:lpstr>'310'!OSRRefH22_12x_0</vt:lpstr>
      <vt:lpstr>'310 &amp; 491'!OSRRefH22_12x_0</vt:lpstr>
      <vt:lpstr>'311'!OSRRefH22_12x_0</vt:lpstr>
      <vt:lpstr>'322'!OSRRefH22_12x_0</vt:lpstr>
      <vt:lpstr>'325'!OSRRefH22_12x_0</vt:lpstr>
      <vt:lpstr>'326'!OSRRefH22_12x_0</vt:lpstr>
      <vt:lpstr>'331'!OSRRefH22_12x_0</vt:lpstr>
      <vt:lpstr>'405'!OSRRefH22_12x_0</vt:lpstr>
      <vt:lpstr>'406'!OSRRefH22_12x_0</vt:lpstr>
      <vt:lpstr>'411'!OSRRefH22_12x_0</vt:lpstr>
      <vt:lpstr>'412'!OSRRefH22_12x_0</vt:lpstr>
      <vt:lpstr>'414'!OSRRefH22_12x_0</vt:lpstr>
      <vt:lpstr>'415'!OSRRefH22_12x_0</vt:lpstr>
      <vt:lpstr>'418'!OSRRefH22_12x_0</vt:lpstr>
      <vt:lpstr>'425'!OSRRefH22_12x_0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'414'!OSRRefH22_13x_0</vt:lpstr>
      <vt:lpstr>'415'!OSRRefH22_13x_0</vt:lpstr>
      <vt:lpstr>'418'!OSRRefH22_13x_0</vt:lpstr>
      <vt:lpstr>'425'!OSRRefH22_13x_0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'203'!OSRRefH22_14x_0</vt:lpstr>
      <vt:lpstr>'300'!OSRRefH22_14x_0</vt:lpstr>
      <vt:lpstr>'300 &amp; 317'!OSRRefH22_14x_0</vt:lpstr>
      <vt:lpstr>'301'!OSRRefH22_14x_0</vt:lpstr>
      <vt:lpstr>'308'!OSRRefH22_14x_0</vt:lpstr>
      <vt:lpstr>'310'!OSRRefH22_14x_0</vt:lpstr>
      <vt:lpstr>'310 &amp; 491'!OSRRefH22_14x_0</vt:lpstr>
      <vt:lpstr>'311'!OSRRefH22_14x_0</vt:lpstr>
      <vt:lpstr>'325'!OSRRefH22_14x_0</vt:lpstr>
      <vt:lpstr>'326'!OSRRefH22_14x_0</vt:lpstr>
      <vt:lpstr>'331'!OSRRefH22_14x_0</vt:lpstr>
      <vt:lpstr>'405'!OSRRefH22_14x_0</vt:lpstr>
      <vt:lpstr>'411'!OSRRefH22_14x_0</vt:lpstr>
      <vt:lpstr>'415'!OSRRefH22_14x_0</vt:lpstr>
      <vt:lpstr>'418'!OSRRefH22_14x_0</vt:lpstr>
      <vt:lpstr>'425'!OSRRefH22_14x_0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'203'!OSRRefH22_15x_0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'325'!OSRRefH22_15x_0</vt:lpstr>
      <vt:lpstr>'326'!OSRRefH22_15x_0</vt:lpstr>
      <vt:lpstr>'331'!OSRRefH22_15x_0</vt:lpstr>
      <vt:lpstr>'405'!OSRRefH22_15x_0</vt:lpstr>
      <vt:lpstr>'411'!OSRRefH22_15x_0</vt:lpstr>
      <vt:lpstr>'415'!OSRRefH22_15x_0</vt:lpstr>
      <vt:lpstr>'433'!OSRRefH22_15x_0</vt:lpstr>
      <vt:lpstr>'444'!OSRRefH22_15x_0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'326'!OSRRefH22_16x_0</vt:lpstr>
      <vt:lpstr>'331'!OSRRefH22_16x_0</vt:lpstr>
      <vt:lpstr>'405'!OSRRefH22_16x_0</vt:lpstr>
      <vt:lpstr>'415'!OSRRefH22_16x_0</vt:lpstr>
      <vt:lpstr>'444'!OSRRefH22_16x_0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'310'!OSRRefH22_18x_0</vt:lpstr>
      <vt:lpstr>'310 &amp; 491'!OSRRefH22_18x_0</vt:lpstr>
      <vt:lpstr>'331'!OSRRefH22_18x_0</vt:lpstr>
      <vt:lpstr>'491'!OSRRefH22_18x_0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'306'!OSRRefH22_1x_0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'314'!OSRRefH22_1x_0</vt:lpstr>
      <vt:lpstr>'315'!OSRRefH22_1x_0</vt:lpstr>
      <vt:lpstr>'316'!OSRRefH22_1x_0</vt:lpstr>
      <vt:lpstr>'317'!OSRRefH22_1x_0</vt:lpstr>
      <vt:lpstr>'320'!OSRRefH22_1x_0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'455'!OSRRefH22_1x_0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'310 &amp; 491'!OSRRefH22_22x_0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'310 &amp; 491'!OSRRefH22_23x_0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'306'!OSRRefH22_2x_0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'314'!OSRRefH22_2x_0</vt:lpstr>
      <vt:lpstr>'315'!OSRRefH22_2x_0</vt:lpstr>
      <vt:lpstr>'316'!OSRRefH22_2x_0</vt:lpstr>
      <vt:lpstr>'317'!OSRRefH22_2x_0</vt:lpstr>
      <vt:lpstr>'320'!OSRRefH22_2x_0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'435'!OSRRefH22_2x_0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'306'!OSRRefH22_3x_0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'314'!OSRRefH22_3x_0</vt:lpstr>
      <vt:lpstr>'315'!OSRRefH22_3x_0</vt:lpstr>
      <vt:lpstr>'316'!OSRRefH22_3x_0</vt:lpstr>
      <vt:lpstr>'317'!OSRRefH22_3x_0</vt:lpstr>
      <vt:lpstr>'320'!OSRRefH22_3x_0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'435'!OSRRefH22_3x_0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'306'!OSRRefH22_4x_0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'314'!OSRRefH22_4x_0</vt:lpstr>
      <vt:lpstr>'315'!OSRRefH22_4x_0</vt:lpstr>
      <vt:lpstr>'316'!OSRRefH22_4x_0</vt:lpstr>
      <vt:lpstr>'317'!OSRRefH22_4x_0</vt:lpstr>
      <vt:lpstr>'320'!OSRRefH22_4x_0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'423'!OSRRefH22_4x_0</vt:lpstr>
      <vt:lpstr>'424'!OSRRefH22_4x_0</vt:lpstr>
      <vt:lpstr>'425'!OSRRefH22_4x_0</vt:lpstr>
      <vt:lpstr>'430'!OSRRefH22_4x_0</vt:lpstr>
      <vt:lpstr>'433'!OSRRefH22_4x_0</vt:lpstr>
      <vt:lpstr>'435'!OSRRefH22_4x_0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'320'!OSRRefH22_5x_0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'406'!OSRRefH22_5x_0</vt:lpstr>
      <vt:lpstr>'411'!OSRRefH22_5x_0</vt:lpstr>
      <vt:lpstr>'412'!OSRRefH22_5x_0</vt:lpstr>
      <vt:lpstr>'413'!OSRRefH22_5x_0</vt:lpstr>
      <vt:lpstr>'414'!OSRRefH22_5x_0</vt:lpstr>
      <vt:lpstr>'415'!OSRRefH22_5x_0</vt:lpstr>
      <vt:lpstr>'418'!OSRRefH22_5x_0</vt:lpstr>
      <vt:lpstr>'423'!OSRRefH22_5x_0</vt:lpstr>
      <vt:lpstr>'424'!OSRRefH22_5x_0</vt:lpstr>
      <vt:lpstr>'425'!OSRRefH22_5x_0</vt:lpstr>
      <vt:lpstr>'430'!OSRRefH22_5x_0</vt:lpstr>
      <vt:lpstr>'433'!OSRRefH22_5x_0</vt:lpstr>
      <vt:lpstr>'435'!OSRRefH22_5x_0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'320'!OSRRefH22_6x_0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'406'!OSRRefH22_6x_0</vt:lpstr>
      <vt:lpstr>'411'!OSRRefH22_6x_0</vt:lpstr>
      <vt:lpstr>'412'!OSRRefH22_6x_0</vt:lpstr>
      <vt:lpstr>'413'!OSRRefH22_6x_0</vt:lpstr>
      <vt:lpstr>'414'!OSRRefH22_6x_0</vt:lpstr>
      <vt:lpstr>'415'!OSRRefH22_6x_0</vt:lpstr>
      <vt:lpstr>'418'!OSRRefH22_6x_0</vt:lpstr>
      <vt:lpstr>'424'!OSRRefH22_6x_0</vt:lpstr>
      <vt:lpstr>'425'!OSRRefH22_6x_0</vt:lpstr>
      <vt:lpstr>'430'!OSRRefH22_6x_0</vt:lpstr>
      <vt:lpstr>'433'!OSRRefH22_6x_0</vt:lpstr>
      <vt:lpstr>'435'!OSRRefH22_6x_0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'313'!OSRRefH22_7x_0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'406'!OSRRefH22_7x_0</vt:lpstr>
      <vt:lpstr>'411'!OSRRefH22_7x_0</vt:lpstr>
      <vt:lpstr>'412'!OSRRefH22_7x_0</vt:lpstr>
      <vt:lpstr>'413'!OSRRefH22_7x_0</vt:lpstr>
      <vt:lpstr>'414'!OSRRefH22_7x_0</vt:lpstr>
      <vt:lpstr>'415'!OSRRefH22_7x_0</vt:lpstr>
      <vt:lpstr>'418'!OSRRefH22_7x_0</vt:lpstr>
      <vt:lpstr>'424'!OSRRefH22_7x_0</vt:lpstr>
      <vt:lpstr>'425'!OSRRefH22_7x_0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'313'!OSRRefH22_8x_0</vt:lpstr>
      <vt:lpstr>'315'!OSRRefH22_8x_0</vt:lpstr>
      <vt:lpstr>'316'!OSRRefH22_8x_0</vt:lpstr>
      <vt:lpstr>'317'!OSRRefH22_8x_0</vt:lpstr>
      <vt:lpstr>'321'!OSRRefH22_8x_0</vt:lpstr>
      <vt:lpstr>'322'!OSRRefH22_8x_0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'406'!OSRRefH22_8x_0</vt:lpstr>
      <vt:lpstr>'411'!OSRRefH22_8x_0</vt:lpstr>
      <vt:lpstr>'412'!OSRRefH22_8x_0</vt:lpstr>
      <vt:lpstr>'413'!OSRRefH22_8x_0</vt:lpstr>
      <vt:lpstr>'414'!OSRRefH22_8x_0</vt:lpstr>
      <vt:lpstr>'415'!OSRRefH22_8x_0</vt:lpstr>
      <vt:lpstr>'418'!OSRRefH22_8x_0</vt:lpstr>
      <vt:lpstr>'424'!OSRRefH22_8x_0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'313'!OSRRefH22_9x_0</vt:lpstr>
      <vt:lpstr>'315'!OSRRefH22_9x_0</vt:lpstr>
      <vt:lpstr>'316'!OSRRefH22_9x_0</vt:lpstr>
      <vt:lpstr>'317'!OSRRefH22_9x_0</vt:lpstr>
      <vt:lpstr>'321'!OSRRefH22_9x_0</vt:lpstr>
      <vt:lpstr>'322'!OSRRefH22_9x_0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'406'!OSRRefH22_9x_0</vt:lpstr>
      <vt:lpstr>'411'!OSRRefH22_9x_0</vt:lpstr>
      <vt:lpstr>'412'!OSRRefH22_9x_0</vt:lpstr>
      <vt:lpstr>'413'!OSRRefH22_9x_0</vt:lpstr>
      <vt:lpstr>'414'!OSRRefH22_9x_0</vt:lpstr>
      <vt:lpstr>'415'!OSRRefH22_9x_0</vt:lpstr>
      <vt:lpstr>'418'!OSRRefH22_9x_0</vt:lpstr>
      <vt:lpstr>'424'!OSRRefH22_9x_0</vt:lpstr>
      <vt:lpstr>'425'!OSRRefH22_9x_0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'Div 2'!OSRRefH22_9x_0</vt:lpstr>
      <vt:lpstr>'Div 3'!OSRRefH22_9x_0</vt:lpstr>
      <vt:lpstr>'Div 4'!OSRRefH22_9x_0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'306'!OSRRefH22x_0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'314'!OSRRefH22x_0</vt:lpstr>
      <vt:lpstr>'315'!OSRRefH22x_0</vt:lpstr>
      <vt:lpstr>'316'!OSRRefH22x_0</vt:lpstr>
      <vt:lpstr>'317'!OSRRefH22x_0</vt:lpstr>
      <vt:lpstr>'320'!OSRRefH22x_0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'455'!OSRRefH22x_0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'320'!OSRRefH25x_0</vt:lpstr>
      <vt:lpstr>'331'!OSRRefH25x_0</vt:lpstr>
      <vt:lpstr>'332'!OSRRefH25x_0</vt:lpstr>
      <vt:lpstr>'411'!OSRRefH25x_0</vt:lpstr>
      <vt:lpstr>'413'!OSRRefH25x_0</vt:lpstr>
      <vt:lpstr>'418'!OSRRefH25x_0</vt:lpstr>
      <vt:lpstr>'423'!OSRRefH25x_0</vt:lpstr>
      <vt:lpstr>'424'!OSRRefH25x_0</vt:lpstr>
      <vt:lpstr>'425'!OSRRefH25x_0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'313'!OSRRefP13x_0</vt:lpstr>
      <vt:lpstr>'314'!OSRRefP13x_0</vt:lpstr>
      <vt:lpstr>'315'!OSRRefP13x_0</vt:lpstr>
      <vt:lpstr>'316'!OSRRefP13x_0</vt:lpstr>
      <vt:lpstr>'317'!OSRRefP13x_0</vt:lpstr>
      <vt:lpstr>'320'!OSRRefP13x_0</vt:lpstr>
      <vt:lpstr>'321'!OSRRefP13x_0</vt:lpstr>
      <vt:lpstr>'322'!OSRRefP13x_0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'406'!OSRRefP13x_0</vt:lpstr>
      <vt:lpstr>'412'!OSRRefP13x_0</vt:lpstr>
      <vt:lpstr>'413'!OSRRefP13x_0</vt:lpstr>
      <vt:lpstr>'414'!OSRRefP13x_0</vt:lpstr>
      <vt:lpstr>'415'!OSRRefP13x_0</vt:lpstr>
      <vt:lpstr>'418'!OSRRefP13x_0</vt:lpstr>
      <vt:lpstr>'424'!OSRRefP13x_0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'313'!OSRRefP16x_0</vt:lpstr>
      <vt:lpstr>'314'!OSRRefP16x_0</vt:lpstr>
      <vt:lpstr>'315'!OSRRefP16x_0</vt:lpstr>
      <vt:lpstr>'317'!OSRRefP16x_0</vt:lpstr>
      <vt:lpstr>'320'!OSRRefP16x_0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'406'!OSRRefP16x_0</vt:lpstr>
      <vt:lpstr>'412'!OSRRefP16x_0</vt:lpstr>
      <vt:lpstr>'413'!OSRRefP16x_0</vt:lpstr>
      <vt:lpstr>'414'!OSRRefP16x_0</vt:lpstr>
      <vt:lpstr>'415'!OSRRefP16x_0</vt:lpstr>
      <vt:lpstr>'418'!OSRRefP16x_0</vt:lpstr>
      <vt:lpstr>'423'!OSRRefP16x_0</vt:lpstr>
      <vt:lpstr>'424'!OSRRefP16x_0</vt:lpstr>
      <vt:lpstr>'425'!OSRRefP16x_0</vt:lpstr>
      <vt:lpstr>'433'!OSRRefP16x_0</vt:lpstr>
      <vt:lpstr>'435'!OSRRefP16x_0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'306'!OSRRefP22_0x_0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'314'!OSRRefP22_0x_0</vt:lpstr>
      <vt:lpstr>'315'!OSRRefP22_0x_0</vt:lpstr>
      <vt:lpstr>'316'!OSRRefP22_0x_0</vt:lpstr>
      <vt:lpstr>'317'!OSRRefP22_0x_0</vt:lpstr>
      <vt:lpstr>'320'!OSRRefP22_0x_0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'455'!OSRRefP22_0x_0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'313'!OSRRefP22_10x_0</vt:lpstr>
      <vt:lpstr>'315'!OSRRefP22_10x_0</vt:lpstr>
      <vt:lpstr>'316'!OSRRefP22_10x_0</vt:lpstr>
      <vt:lpstr>'317'!OSRRefP22_10x_0</vt:lpstr>
      <vt:lpstr>'321'!OSRRefP22_10x_0</vt:lpstr>
      <vt:lpstr>'322'!OSRRefP22_10x_0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'406'!OSRRefP22_10x_0</vt:lpstr>
      <vt:lpstr>'411'!OSRRefP22_10x_0</vt:lpstr>
      <vt:lpstr>'412'!OSRRefP22_10x_0</vt:lpstr>
      <vt:lpstr>'413'!OSRRefP22_10x_0</vt:lpstr>
      <vt:lpstr>'414'!OSRRefP22_10x_0</vt:lpstr>
      <vt:lpstr>'415'!OSRRefP22_10x_0</vt:lpstr>
      <vt:lpstr>'418'!OSRRefP22_10x_0</vt:lpstr>
      <vt:lpstr>'424'!OSRRefP22_10x_0</vt:lpstr>
      <vt:lpstr>'425'!OSRRefP22_10x_0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'Div 2'!OSRRefP22_10x_0</vt:lpstr>
      <vt:lpstr>'Div 3'!OSRRefP22_10x_0</vt:lpstr>
      <vt:lpstr>'Div 4'!OSRRefP22_10x_0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'308'!OSRRefP22_11x_0</vt:lpstr>
      <vt:lpstr>'310'!OSRRefP22_11x_0</vt:lpstr>
      <vt:lpstr>'310 &amp; 491'!OSRRefP22_11x_0</vt:lpstr>
      <vt:lpstr>'311'!OSRRefP22_11x_0</vt:lpstr>
      <vt:lpstr>'313'!OSRRefP22_11x_0</vt:lpstr>
      <vt:lpstr>'322'!OSRRefP22_11x_0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'406'!OSRRefP22_11x_0</vt:lpstr>
      <vt:lpstr>'411'!OSRRefP22_11x_0</vt:lpstr>
      <vt:lpstr>'412'!OSRRefP22_11x_0</vt:lpstr>
      <vt:lpstr>'414'!OSRRefP22_11x_0</vt:lpstr>
      <vt:lpstr>'415'!OSRRefP22_11x_0</vt:lpstr>
      <vt:lpstr>'418'!OSRRefP22_11x_0</vt:lpstr>
      <vt:lpstr>'424'!OSRRefP22_11x_0</vt:lpstr>
      <vt:lpstr>'425'!OSRRefP22_11x_0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'201'!OSRRefP22_12x_0</vt:lpstr>
      <vt:lpstr>'203'!OSRRefP22_12x_0</vt:lpstr>
      <vt:lpstr>'300'!OSRRefP22_12x_0</vt:lpstr>
      <vt:lpstr>'300 &amp; 317'!OSRRefP22_12x_0</vt:lpstr>
      <vt:lpstr>'301'!OSRRefP22_12x_0</vt:lpstr>
      <vt:lpstr>'308'!OSRRefP22_12x_0</vt:lpstr>
      <vt:lpstr>'310'!OSRRefP22_12x_0</vt:lpstr>
      <vt:lpstr>'310 &amp; 491'!OSRRefP22_12x_0</vt:lpstr>
      <vt:lpstr>'311'!OSRRefP22_12x_0</vt:lpstr>
      <vt:lpstr>'322'!OSRRefP22_12x_0</vt:lpstr>
      <vt:lpstr>'325'!OSRRefP22_12x_0</vt:lpstr>
      <vt:lpstr>'326'!OSRRefP22_12x_0</vt:lpstr>
      <vt:lpstr>'331'!OSRRefP22_12x_0</vt:lpstr>
      <vt:lpstr>'405'!OSRRefP22_12x_0</vt:lpstr>
      <vt:lpstr>'406'!OSRRefP22_12x_0</vt:lpstr>
      <vt:lpstr>'411'!OSRRefP22_12x_0</vt:lpstr>
      <vt:lpstr>'412'!OSRRefP22_12x_0</vt:lpstr>
      <vt:lpstr>'414'!OSRRefP22_12x_0</vt:lpstr>
      <vt:lpstr>'415'!OSRRefP22_12x_0</vt:lpstr>
      <vt:lpstr>'418'!OSRRefP22_12x_0</vt:lpstr>
      <vt:lpstr>'425'!OSRRefP22_12x_0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'414'!OSRRefP22_13x_0</vt:lpstr>
      <vt:lpstr>'415'!OSRRefP22_13x_0</vt:lpstr>
      <vt:lpstr>'418'!OSRRefP22_13x_0</vt:lpstr>
      <vt:lpstr>'425'!OSRRefP22_13x_0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'203'!OSRRefP22_14x_0</vt:lpstr>
      <vt:lpstr>'300'!OSRRefP22_14x_0</vt:lpstr>
      <vt:lpstr>'300 &amp; 317'!OSRRefP22_14x_0</vt:lpstr>
      <vt:lpstr>'301'!OSRRefP22_14x_0</vt:lpstr>
      <vt:lpstr>'308'!OSRRefP22_14x_0</vt:lpstr>
      <vt:lpstr>'310'!OSRRefP22_14x_0</vt:lpstr>
      <vt:lpstr>'310 &amp; 491'!OSRRefP22_14x_0</vt:lpstr>
      <vt:lpstr>'311'!OSRRefP22_14x_0</vt:lpstr>
      <vt:lpstr>'325'!OSRRefP22_14x_0</vt:lpstr>
      <vt:lpstr>'326'!OSRRefP22_14x_0</vt:lpstr>
      <vt:lpstr>'331'!OSRRefP22_14x_0</vt:lpstr>
      <vt:lpstr>'405'!OSRRefP22_14x_0</vt:lpstr>
      <vt:lpstr>'411'!OSRRefP22_14x_0</vt:lpstr>
      <vt:lpstr>'415'!OSRRefP22_14x_0</vt:lpstr>
      <vt:lpstr>'418'!OSRRefP22_14x_0</vt:lpstr>
      <vt:lpstr>'425'!OSRRefP22_14x_0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'203'!OSRRefP22_15x_0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'325'!OSRRefP22_15x_0</vt:lpstr>
      <vt:lpstr>'326'!OSRRefP22_15x_0</vt:lpstr>
      <vt:lpstr>'331'!OSRRefP22_15x_0</vt:lpstr>
      <vt:lpstr>'405'!OSRRefP22_15x_0</vt:lpstr>
      <vt:lpstr>'411'!OSRRefP22_15x_0</vt:lpstr>
      <vt:lpstr>'415'!OSRRefP22_15x_0</vt:lpstr>
      <vt:lpstr>'433'!OSRRefP22_15x_0</vt:lpstr>
      <vt:lpstr>'444'!OSRRefP22_15x_0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'326'!OSRRefP22_16x_0</vt:lpstr>
      <vt:lpstr>'331'!OSRRefP22_16x_0</vt:lpstr>
      <vt:lpstr>'405'!OSRRefP22_16x_0</vt:lpstr>
      <vt:lpstr>'415'!OSRRefP22_16x_0</vt:lpstr>
      <vt:lpstr>'444'!OSRRefP22_16x_0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'310'!OSRRefP22_18x_0</vt:lpstr>
      <vt:lpstr>'310 &amp; 491'!OSRRefP22_18x_0</vt:lpstr>
      <vt:lpstr>'331'!OSRRefP22_18x_0</vt:lpstr>
      <vt:lpstr>'491'!OSRRefP22_18x_0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'306'!OSRRefP22_1x_0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'314'!OSRRefP22_1x_0</vt:lpstr>
      <vt:lpstr>'315'!OSRRefP22_1x_0</vt:lpstr>
      <vt:lpstr>'316'!OSRRefP22_1x_0</vt:lpstr>
      <vt:lpstr>'317'!OSRRefP22_1x_0</vt:lpstr>
      <vt:lpstr>'320'!OSRRefP22_1x_0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'455'!OSRRefP22_1x_0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'310 &amp; 491'!OSRRefP22_22x_0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'310 &amp; 491'!OSRRefP22_23x_0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'306'!OSRRefP22_2x_0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'314'!OSRRefP22_2x_0</vt:lpstr>
      <vt:lpstr>'315'!OSRRefP22_2x_0</vt:lpstr>
      <vt:lpstr>'316'!OSRRefP22_2x_0</vt:lpstr>
      <vt:lpstr>'317'!OSRRefP22_2x_0</vt:lpstr>
      <vt:lpstr>'320'!OSRRefP22_2x_0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'435'!OSRRefP22_2x_0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'306'!OSRRefP22_3x_0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'314'!OSRRefP22_3x_0</vt:lpstr>
      <vt:lpstr>'315'!OSRRefP22_3x_0</vt:lpstr>
      <vt:lpstr>'316'!OSRRefP22_3x_0</vt:lpstr>
      <vt:lpstr>'317'!OSRRefP22_3x_0</vt:lpstr>
      <vt:lpstr>'320'!OSRRefP22_3x_0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'435'!OSRRefP22_3x_0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'306'!OSRRefP22_4x_0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'314'!OSRRefP22_4x_0</vt:lpstr>
      <vt:lpstr>'315'!OSRRefP22_4x_0</vt:lpstr>
      <vt:lpstr>'316'!OSRRefP22_4x_0</vt:lpstr>
      <vt:lpstr>'317'!OSRRefP22_4x_0</vt:lpstr>
      <vt:lpstr>'320'!OSRRefP22_4x_0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'423'!OSRRefP22_4x_0</vt:lpstr>
      <vt:lpstr>'424'!OSRRefP22_4x_0</vt:lpstr>
      <vt:lpstr>'425'!OSRRefP22_4x_0</vt:lpstr>
      <vt:lpstr>'430'!OSRRefP22_4x_0</vt:lpstr>
      <vt:lpstr>'433'!OSRRefP22_4x_0</vt:lpstr>
      <vt:lpstr>'435'!OSRRefP22_4x_0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'320'!OSRRefP22_5x_0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'406'!OSRRefP22_5x_0</vt:lpstr>
      <vt:lpstr>'411'!OSRRefP22_5x_0</vt:lpstr>
      <vt:lpstr>'412'!OSRRefP22_5x_0</vt:lpstr>
      <vt:lpstr>'413'!OSRRefP22_5x_0</vt:lpstr>
      <vt:lpstr>'414'!OSRRefP22_5x_0</vt:lpstr>
      <vt:lpstr>'415'!OSRRefP22_5x_0</vt:lpstr>
      <vt:lpstr>'418'!OSRRefP22_5x_0</vt:lpstr>
      <vt:lpstr>'423'!OSRRefP22_5x_0</vt:lpstr>
      <vt:lpstr>'424'!OSRRefP22_5x_0</vt:lpstr>
      <vt:lpstr>'425'!OSRRefP22_5x_0</vt:lpstr>
      <vt:lpstr>'430'!OSRRefP22_5x_0</vt:lpstr>
      <vt:lpstr>'433'!OSRRefP22_5x_0</vt:lpstr>
      <vt:lpstr>'435'!OSRRefP22_5x_0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'320'!OSRRefP22_6x_0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'406'!OSRRefP22_6x_0</vt:lpstr>
      <vt:lpstr>'411'!OSRRefP22_6x_0</vt:lpstr>
      <vt:lpstr>'412'!OSRRefP22_6x_0</vt:lpstr>
      <vt:lpstr>'413'!OSRRefP22_6x_0</vt:lpstr>
      <vt:lpstr>'414'!OSRRefP22_6x_0</vt:lpstr>
      <vt:lpstr>'415'!OSRRefP22_6x_0</vt:lpstr>
      <vt:lpstr>'418'!OSRRefP22_6x_0</vt:lpstr>
      <vt:lpstr>'424'!OSRRefP22_6x_0</vt:lpstr>
      <vt:lpstr>'425'!OSRRefP22_6x_0</vt:lpstr>
      <vt:lpstr>'430'!OSRRefP22_6x_0</vt:lpstr>
      <vt:lpstr>'433'!OSRRefP22_6x_0</vt:lpstr>
      <vt:lpstr>'435'!OSRRefP22_6x_0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'313'!OSRRefP22_7x_0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'406'!OSRRefP22_7x_0</vt:lpstr>
      <vt:lpstr>'411'!OSRRefP22_7x_0</vt:lpstr>
      <vt:lpstr>'412'!OSRRefP22_7x_0</vt:lpstr>
      <vt:lpstr>'413'!OSRRefP22_7x_0</vt:lpstr>
      <vt:lpstr>'414'!OSRRefP22_7x_0</vt:lpstr>
      <vt:lpstr>'415'!OSRRefP22_7x_0</vt:lpstr>
      <vt:lpstr>'418'!OSRRefP22_7x_0</vt:lpstr>
      <vt:lpstr>'424'!OSRRefP22_7x_0</vt:lpstr>
      <vt:lpstr>'425'!OSRRefP22_7x_0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'313'!OSRRefP22_8x_0</vt:lpstr>
      <vt:lpstr>'315'!OSRRefP22_8x_0</vt:lpstr>
      <vt:lpstr>'316'!OSRRefP22_8x_0</vt:lpstr>
      <vt:lpstr>'317'!OSRRefP22_8x_0</vt:lpstr>
      <vt:lpstr>'321'!OSRRefP22_8x_0</vt:lpstr>
      <vt:lpstr>'322'!OSRRefP22_8x_0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'406'!OSRRefP22_8x_0</vt:lpstr>
      <vt:lpstr>'411'!OSRRefP22_8x_0</vt:lpstr>
      <vt:lpstr>'412'!OSRRefP22_8x_0</vt:lpstr>
      <vt:lpstr>'413'!OSRRefP22_8x_0</vt:lpstr>
      <vt:lpstr>'414'!OSRRefP22_8x_0</vt:lpstr>
      <vt:lpstr>'415'!OSRRefP22_8x_0</vt:lpstr>
      <vt:lpstr>'418'!OSRRefP22_8x_0</vt:lpstr>
      <vt:lpstr>'424'!OSRRefP22_8x_0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'313'!OSRRefP22_9x_0</vt:lpstr>
      <vt:lpstr>'315'!OSRRefP22_9x_0</vt:lpstr>
      <vt:lpstr>'316'!OSRRefP22_9x_0</vt:lpstr>
      <vt:lpstr>'317'!OSRRefP22_9x_0</vt:lpstr>
      <vt:lpstr>'321'!OSRRefP22_9x_0</vt:lpstr>
      <vt:lpstr>'322'!OSRRefP22_9x_0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'406'!OSRRefP22_9x_0</vt:lpstr>
      <vt:lpstr>'411'!OSRRefP22_9x_0</vt:lpstr>
      <vt:lpstr>'412'!OSRRefP22_9x_0</vt:lpstr>
      <vt:lpstr>'413'!OSRRefP22_9x_0</vt:lpstr>
      <vt:lpstr>'414'!OSRRefP22_9x_0</vt:lpstr>
      <vt:lpstr>'415'!OSRRefP22_9x_0</vt:lpstr>
      <vt:lpstr>'418'!OSRRefP22_9x_0</vt:lpstr>
      <vt:lpstr>'424'!OSRRefP22_9x_0</vt:lpstr>
      <vt:lpstr>'425'!OSRRefP22_9x_0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'Div 2'!OSRRefP22_9x_0</vt:lpstr>
      <vt:lpstr>'Div 3'!OSRRefP22_9x_0</vt:lpstr>
      <vt:lpstr>'Div 4'!OSRRefP22_9x_0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'306'!OSRRefP22x_0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'314'!OSRRefP22x_0</vt:lpstr>
      <vt:lpstr>'315'!OSRRefP22x_0</vt:lpstr>
      <vt:lpstr>'316'!OSRRefP22x_0</vt:lpstr>
      <vt:lpstr>'317'!OSRRefP22x_0</vt:lpstr>
      <vt:lpstr>'320'!OSRRefP22x_0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'455'!OSRRefP22x_0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'320'!OSRRefP25x_0</vt:lpstr>
      <vt:lpstr>'331'!OSRRefP25x_0</vt:lpstr>
      <vt:lpstr>'332'!OSRRefP25x_0</vt:lpstr>
      <vt:lpstr>'411'!OSRRefP25x_0</vt:lpstr>
      <vt:lpstr>'413'!OSRRefP25x_0</vt:lpstr>
      <vt:lpstr>'418'!OSRRefP25x_0</vt:lpstr>
      <vt:lpstr>'423'!OSRRefP25x_0</vt:lpstr>
      <vt:lpstr>'424'!OSRRefP25x_0</vt:lpstr>
      <vt:lpstr>'425'!OSRRefP25x_0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'313'!OSRRefT13x_0</vt:lpstr>
      <vt:lpstr>'314'!OSRRefT13x_0</vt:lpstr>
      <vt:lpstr>'315'!OSRRefT13x_0</vt:lpstr>
      <vt:lpstr>'316'!OSRRefT13x_0</vt:lpstr>
      <vt:lpstr>'317'!OSRRefT13x_0</vt:lpstr>
      <vt:lpstr>'320'!OSRRefT13x_0</vt:lpstr>
      <vt:lpstr>'321'!OSRRefT13x_0</vt:lpstr>
      <vt:lpstr>'322'!OSRRefT13x_0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'406'!OSRRefT13x_0</vt:lpstr>
      <vt:lpstr>'412'!OSRRefT13x_0</vt:lpstr>
      <vt:lpstr>'413'!OSRRefT13x_0</vt:lpstr>
      <vt:lpstr>'414'!OSRRefT13x_0</vt:lpstr>
      <vt:lpstr>'415'!OSRRefT13x_0</vt:lpstr>
      <vt:lpstr>'418'!OSRRefT13x_0</vt:lpstr>
      <vt:lpstr>'424'!OSRRefT13x_0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'313'!OSRRefT16x_0</vt:lpstr>
      <vt:lpstr>'314'!OSRRefT16x_0</vt:lpstr>
      <vt:lpstr>'315'!OSRRefT16x_0</vt:lpstr>
      <vt:lpstr>'317'!OSRRefT16x_0</vt:lpstr>
      <vt:lpstr>'320'!OSRRefT16x_0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'406'!OSRRefT16x_0</vt:lpstr>
      <vt:lpstr>'412'!OSRRefT16x_0</vt:lpstr>
      <vt:lpstr>'413'!OSRRefT16x_0</vt:lpstr>
      <vt:lpstr>'414'!OSRRefT16x_0</vt:lpstr>
      <vt:lpstr>'415'!OSRRefT16x_0</vt:lpstr>
      <vt:lpstr>'418'!OSRRefT16x_0</vt:lpstr>
      <vt:lpstr>'423'!OSRRefT16x_0</vt:lpstr>
      <vt:lpstr>'424'!OSRRefT16x_0</vt:lpstr>
      <vt:lpstr>'425'!OSRRefT16x_0</vt:lpstr>
      <vt:lpstr>'433'!OSRRefT16x_0</vt:lpstr>
      <vt:lpstr>'435'!OSRRefT16x_0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'306'!OSRRefT22_0x_0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'314'!OSRRefT22_0x_0</vt:lpstr>
      <vt:lpstr>'315'!OSRRefT22_0x_0</vt:lpstr>
      <vt:lpstr>'316'!OSRRefT22_0x_0</vt:lpstr>
      <vt:lpstr>'317'!OSRRefT22_0x_0</vt:lpstr>
      <vt:lpstr>'320'!OSRRefT22_0x_0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'455'!OSRRefT22_0x_0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'313'!OSRRefT22_10x_0</vt:lpstr>
      <vt:lpstr>'315'!OSRRefT22_10x_0</vt:lpstr>
      <vt:lpstr>'316'!OSRRefT22_10x_0</vt:lpstr>
      <vt:lpstr>'317'!OSRRefT22_10x_0</vt:lpstr>
      <vt:lpstr>'321'!OSRRefT22_10x_0</vt:lpstr>
      <vt:lpstr>'322'!OSRRefT22_10x_0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'406'!OSRRefT22_10x_0</vt:lpstr>
      <vt:lpstr>'411'!OSRRefT22_10x_0</vt:lpstr>
      <vt:lpstr>'412'!OSRRefT22_10x_0</vt:lpstr>
      <vt:lpstr>'413'!OSRRefT22_10x_0</vt:lpstr>
      <vt:lpstr>'414'!OSRRefT22_10x_0</vt:lpstr>
      <vt:lpstr>'415'!OSRRefT22_10x_0</vt:lpstr>
      <vt:lpstr>'418'!OSRRefT22_10x_0</vt:lpstr>
      <vt:lpstr>'424'!OSRRefT22_10x_0</vt:lpstr>
      <vt:lpstr>'425'!OSRRefT22_10x_0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'Div 2'!OSRRefT22_10x_0</vt:lpstr>
      <vt:lpstr>'Div 3'!OSRRefT22_10x_0</vt:lpstr>
      <vt:lpstr>'Div 4'!OSRRefT22_10x_0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'308'!OSRRefT22_11x_0</vt:lpstr>
      <vt:lpstr>'310'!OSRRefT22_11x_0</vt:lpstr>
      <vt:lpstr>'310 &amp; 491'!OSRRefT22_11x_0</vt:lpstr>
      <vt:lpstr>'311'!OSRRefT22_11x_0</vt:lpstr>
      <vt:lpstr>'313'!OSRRefT22_11x_0</vt:lpstr>
      <vt:lpstr>'322'!OSRRefT22_11x_0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'406'!OSRRefT22_11x_0</vt:lpstr>
      <vt:lpstr>'411'!OSRRefT22_11x_0</vt:lpstr>
      <vt:lpstr>'412'!OSRRefT22_11x_0</vt:lpstr>
      <vt:lpstr>'414'!OSRRefT22_11x_0</vt:lpstr>
      <vt:lpstr>'415'!OSRRefT22_11x_0</vt:lpstr>
      <vt:lpstr>'418'!OSRRefT22_11x_0</vt:lpstr>
      <vt:lpstr>'424'!OSRRefT22_11x_0</vt:lpstr>
      <vt:lpstr>'425'!OSRRefT22_11x_0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'201'!OSRRefT22_12x_0</vt:lpstr>
      <vt:lpstr>'203'!OSRRefT22_12x_0</vt:lpstr>
      <vt:lpstr>'300'!OSRRefT22_12x_0</vt:lpstr>
      <vt:lpstr>'300 &amp; 317'!OSRRefT22_12x_0</vt:lpstr>
      <vt:lpstr>'301'!OSRRefT22_12x_0</vt:lpstr>
      <vt:lpstr>'308'!OSRRefT22_12x_0</vt:lpstr>
      <vt:lpstr>'310'!OSRRefT22_12x_0</vt:lpstr>
      <vt:lpstr>'310 &amp; 491'!OSRRefT22_12x_0</vt:lpstr>
      <vt:lpstr>'311'!OSRRefT22_12x_0</vt:lpstr>
      <vt:lpstr>'322'!OSRRefT22_12x_0</vt:lpstr>
      <vt:lpstr>'325'!OSRRefT22_12x_0</vt:lpstr>
      <vt:lpstr>'326'!OSRRefT22_12x_0</vt:lpstr>
      <vt:lpstr>'331'!OSRRefT22_12x_0</vt:lpstr>
      <vt:lpstr>'405'!OSRRefT22_12x_0</vt:lpstr>
      <vt:lpstr>'406'!OSRRefT22_12x_0</vt:lpstr>
      <vt:lpstr>'411'!OSRRefT22_12x_0</vt:lpstr>
      <vt:lpstr>'412'!OSRRefT22_12x_0</vt:lpstr>
      <vt:lpstr>'414'!OSRRefT22_12x_0</vt:lpstr>
      <vt:lpstr>'415'!OSRRefT22_12x_0</vt:lpstr>
      <vt:lpstr>'418'!OSRRefT22_12x_0</vt:lpstr>
      <vt:lpstr>'425'!OSRRefT22_12x_0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'414'!OSRRefT22_13x_0</vt:lpstr>
      <vt:lpstr>'415'!OSRRefT22_13x_0</vt:lpstr>
      <vt:lpstr>'418'!OSRRefT22_13x_0</vt:lpstr>
      <vt:lpstr>'425'!OSRRefT22_13x_0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'203'!OSRRefT22_14x_0</vt:lpstr>
      <vt:lpstr>'300'!OSRRefT22_14x_0</vt:lpstr>
      <vt:lpstr>'300 &amp; 317'!OSRRefT22_14x_0</vt:lpstr>
      <vt:lpstr>'301'!OSRRefT22_14x_0</vt:lpstr>
      <vt:lpstr>'308'!OSRRefT22_14x_0</vt:lpstr>
      <vt:lpstr>'310'!OSRRefT22_14x_0</vt:lpstr>
      <vt:lpstr>'310 &amp; 491'!OSRRefT22_14x_0</vt:lpstr>
      <vt:lpstr>'311'!OSRRefT22_14x_0</vt:lpstr>
      <vt:lpstr>'325'!OSRRefT22_14x_0</vt:lpstr>
      <vt:lpstr>'326'!OSRRefT22_14x_0</vt:lpstr>
      <vt:lpstr>'331'!OSRRefT22_14x_0</vt:lpstr>
      <vt:lpstr>'405'!OSRRefT22_14x_0</vt:lpstr>
      <vt:lpstr>'411'!OSRRefT22_14x_0</vt:lpstr>
      <vt:lpstr>'415'!OSRRefT22_14x_0</vt:lpstr>
      <vt:lpstr>'418'!OSRRefT22_14x_0</vt:lpstr>
      <vt:lpstr>'425'!OSRRefT22_14x_0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'203'!OSRRefT22_15x_0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'325'!OSRRefT22_15x_0</vt:lpstr>
      <vt:lpstr>'326'!OSRRefT22_15x_0</vt:lpstr>
      <vt:lpstr>'331'!OSRRefT22_15x_0</vt:lpstr>
      <vt:lpstr>'405'!OSRRefT22_15x_0</vt:lpstr>
      <vt:lpstr>'411'!OSRRefT22_15x_0</vt:lpstr>
      <vt:lpstr>'415'!OSRRefT22_15x_0</vt:lpstr>
      <vt:lpstr>'433'!OSRRefT22_15x_0</vt:lpstr>
      <vt:lpstr>'444'!OSRRefT22_15x_0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'326'!OSRRefT22_16x_0</vt:lpstr>
      <vt:lpstr>'331'!OSRRefT22_16x_0</vt:lpstr>
      <vt:lpstr>'405'!OSRRefT22_16x_0</vt:lpstr>
      <vt:lpstr>'415'!OSRRefT22_16x_0</vt:lpstr>
      <vt:lpstr>'444'!OSRRefT22_16x_0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'310'!OSRRefT22_18x_0</vt:lpstr>
      <vt:lpstr>'310 &amp; 491'!OSRRefT22_18x_0</vt:lpstr>
      <vt:lpstr>'331'!OSRRefT22_18x_0</vt:lpstr>
      <vt:lpstr>'491'!OSRRefT22_18x_0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'306'!OSRRefT22_1x_0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'314'!OSRRefT22_1x_0</vt:lpstr>
      <vt:lpstr>'315'!OSRRefT22_1x_0</vt:lpstr>
      <vt:lpstr>'316'!OSRRefT22_1x_0</vt:lpstr>
      <vt:lpstr>'317'!OSRRefT22_1x_0</vt:lpstr>
      <vt:lpstr>'320'!OSRRefT22_1x_0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'455'!OSRRefT22_1x_0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'310 &amp; 491'!OSRRefT22_22x_0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'310 &amp; 491'!OSRRefT22_23x_0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'306'!OSRRefT22_2x_0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'314'!OSRRefT22_2x_0</vt:lpstr>
      <vt:lpstr>'315'!OSRRefT22_2x_0</vt:lpstr>
      <vt:lpstr>'316'!OSRRefT22_2x_0</vt:lpstr>
      <vt:lpstr>'317'!OSRRefT22_2x_0</vt:lpstr>
      <vt:lpstr>'320'!OSRRefT22_2x_0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'435'!OSRRefT22_2x_0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'306'!OSRRefT22_3x_0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'314'!OSRRefT22_3x_0</vt:lpstr>
      <vt:lpstr>'315'!OSRRefT22_3x_0</vt:lpstr>
      <vt:lpstr>'316'!OSRRefT22_3x_0</vt:lpstr>
      <vt:lpstr>'317'!OSRRefT22_3x_0</vt:lpstr>
      <vt:lpstr>'320'!OSRRefT22_3x_0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'435'!OSRRefT22_3x_0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'306'!OSRRefT22_4x_0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'314'!OSRRefT22_4x_0</vt:lpstr>
      <vt:lpstr>'315'!OSRRefT22_4x_0</vt:lpstr>
      <vt:lpstr>'316'!OSRRefT22_4x_0</vt:lpstr>
      <vt:lpstr>'317'!OSRRefT22_4x_0</vt:lpstr>
      <vt:lpstr>'320'!OSRRefT22_4x_0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'423'!OSRRefT22_4x_0</vt:lpstr>
      <vt:lpstr>'424'!OSRRefT22_4x_0</vt:lpstr>
      <vt:lpstr>'425'!OSRRefT22_4x_0</vt:lpstr>
      <vt:lpstr>'430'!OSRRefT22_4x_0</vt:lpstr>
      <vt:lpstr>'433'!OSRRefT22_4x_0</vt:lpstr>
      <vt:lpstr>'435'!OSRRefT22_4x_0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'320'!OSRRefT22_5x_0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'406'!OSRRefT22_5x_0</vt:lpstr>
      <vt:lpstr>'411'!OSRRefT22_5x_0</vt:lpstr>
      <vt:lpstr>'412'!OSRRefT22_5x_0</vt:lpstr>
      <vt:lpstr>'413'!OSRRefT22_5x_0</vt:lpstr>
      <vt:lpstr>'414'!OSRRefT22_5x_0</vt:lpstr>
      <vt:lpstr>'415'!OSRRefT22_5x_0</vt:lpstr>
      <vt:lpstr>'418'!OSRRefT22_5x_0</vt:lpstr>
      <vt:lpstr>'423'!OSRRefT22_5x_0</vt:lpstr>
      <vt:lpstr>'424'!OSRRefT22_5x_0</vt:lpstr>
      <vt:lpstr>'425'!OSRRefT22_5x_0</vt:lpstr>
      <vt:lpstr>'430'!OSRRefT22_5x_0</vt:lpstr>
      <vt:lpstr>'433'!OSRRefT22_5x_0</vt:lpstr>
      <vt:lpstr>'435'!OSRRefT22_5x_0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'320'!OSRRefT22_6x_0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'406'!OSRRefT22_6x_0</vt:lpstr>
      <vt:lpstr>'411'!OSRRefT22_6x_0</vt:lpstr>
      <vt:lpstr>'412'!OSRRefT22_6x_0</vt:lpstr>
      <vt:lpstr>'413'!OSRRefT22_6x_0</vt:lpstr>
      <vt:lpstr>'414'!OSRRefT22_6x_0</vt:lpstr>
      <vt:lpstr>'415'!OSRRefT22_6x_0</vt:lpstr>
      <vt:lpstr>'418'!OSRRefT22_6x_0</vt:lpstr>
      <vt:lpstr>'424'!OSRRefT22_6x_0</vt:lpstr>
      <vt:lpstr>'425'!OSRRefT22_6x_0</vt:lpstr>
      <vt:lpstr>'430'!OSRRefT22_6x_0</vt:lpstr>
      <vt:lpstr>'433'!OSRRefT22_6x_0</vt:lpstr>
      <vt:lpstr>'435'!OSRRefT22_6x_0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'313'!OSRRefT22_7x_0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'406'!OSRRefT22_7x_0</vt:lpstr>
      <vt:lpstr>'411'!OSRRefT22_7x_0</vt:lpstr>
      <vt:lpstr>'412'!OSRRefT22_7x_0</vt:lpstr>
      <vt:lpstr>'413'!OSRRefT22_7x_0</vt:lpstr>
      <vt:lpstr>'414'!OSRRefT22_7x_0</vt:lpstr>
      <vt:lpstr>'415'!OSRRefT22_7x_0</vt:lpstr>
      <vt:lpstr>'418'!OSRRefT22_7x_0</vt:lpstr>
      <vt:lpstr>'424'!OSRRefT22_7x_0</vt:lpstr>
      <vt:lpstr>'425'!OSRRefT22_7x_0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'313'!OSRRefT22_8x_0</vt:lpstr>
      <vt:lpstr>'315'!OSRRefT22_8x_0</vt:lpstr>
      <vt:lpstr>'316'!OSRRefT22_8x_0</vt:lpstr>
      <vt:lpstr>'317'!OSRRefT22_8x_0</vt:lpstr>
      <vt:lpstr>'321'!OSRRefT22_8x_0</vt:lpstr>
      <vt:lpstr>'322'!OSRRefT22_8x_0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'406'!OSRRefT22_8x_0</vt:lpstr>
      <vt:lpstr>'411'!OSRRefT22_8x_0</vt:lpstr>
      <vt:lpstr>'412'!OSRRefT22_8x_0</vt:lpstr>
      <vt:lpstr>'413'!OSRRefT22_8x_0</vt:lpstr>
      <vt:lpstr>'414'!OSRRefT22_8x_0</vt:lpstr>
      <vt:lpstr>'415'!OSRRefT22_8x_0</vt:lpstr>
      <vt:lpstr>'418'!OSRRefT22_8x_0</vt:lpstr>
      <vt:lpstr>'424'!OSRRefT22_8x_0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'313'!OSRRefT22_9x_0</vt:lpstr>
      <vt:lpstr>'315'!OSRRefT22_9x_0</vt:lpstr>
      <vt:lpstr>'316'!OSRRefT22_9x_0</vt:lpstr>
      <vt:lpstr>'317'!OSRRefT22_9x_0</vt:lpstr>
      <vt:lpstr>'321'!OSRRefT22_9x_0</vt:lpstr>
      <vt:lpstr>'322'!OSRRefT22_9x_0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'406'!OSRRefT22_9x_0</vt:lpstr>
      <vt:lpstr>'411'!OSRRefT22_9x_0</vt:lpstr>
      <vt:lpstr>'412'!OSRRefT22_9x_0</vt:lpstr>
      <vt:lpstr>'413'!OSRRefT22_9x_0</vt:lpstr>
      <vt:lpstr>'414'!OSRRefT22_9x_0</vt:lpstr>
      <vt:lpstr>'415'!OSRRefT22_9x_0</vt:lpstr>
      <vt:lpstr>'418'!OSRRefT22_9x_0</vt:lpstr>
      <vt:lpstr>'424'!OSRRefT22_9x_0</vt:lpstr>
      <vt:lpstr>'425'!OSRRefT22_9x_0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'Div 2'!OSRRefT22_9x_0</vt:lpstr>
      <vt:lpstr>'Div 3'!OSRRefT22_9x_0</vt:lpstr>
      <vt:lpstr>'Div 4'!OSRRefT22_9x_0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'306'!OSRRefT22x_0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'314'!OSRRefT22x_0</vt:lpstr>
      <vt:lpstr>'315'!OSRRefT22x_0</vt:lpstr>
      <vt:lpstr>'316'!OSRRefT22x_0</vt:lpstr>
      <vt:lpstr>'317'!OSRRefT22x_0</vt:lpstr>
      <vt:lpstr>'320'!OSRRefT22x_0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'455'!OSRRefT22x_0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'320'!OSRRefT25x_0</vt:lpstr>
      <vt:lpstr>'331'!OSRRefT25x_0</vt:lpstr>
      <vt:lpstr>'332'!OSRRefT25x_0</vt:lpstr>
      <vt:lpstr>'411'!OSRRefT25x_0</vt:lpstr>
      <vt:lpstr>'413'!OSRRefT25x_0</vt:lpstr>
      <vt:lpstr>'418'!OSRRefT25x_0</vt:lpstr>
      <vt:lpstr>'423'!OSRRefT25x_0</vt:lpstr>
      <vt:lpstr>'424'!OSRRefT25x_0</vt:lpstr>
      <vt:lpstr>'425'!OSRRefT25x_0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'306'!Print_Area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'312'!Print_Area</vt:lpstr>
      <vt:lpstr>'313'!Print_Area</vt:lpstr>
      <vt:lpstr>'314'!Print_Area</vt:lpstr>
      <vt:lpstr>'315'!Print_Area</vt:lpstr>
      <vt:lpstr>'316'!Print_Area</vt:lpstr>
      <vt:lpstr>'317'!Print_Area</vt:lpstr>
      <vt:lpstr>'320'!Print_Area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'306'!Print_Titles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'312'!Print_Titles</vt:lpstr>
      <vt:lpstr>'313'!Print_Titles</vt:lpstr>
      <vt:lpstr>'314'!Print_Titles</vt:lpstr>
      <vt:lpstr>'315'!Print_Titles</vt:lpstr>
      <vt:lpstr>'316'!Print_Titles</vt:lpstr>
      <vt:lpstr>'317'!Print_Titles</vt:lpstr>
      <vt:lpstr>'320'!Print_Titles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Tess Monzon</cp:lastModifiedBy>
  <dcterms:modified xsi:type="dcterms:W3CDTF">2020-10-10T00:43:16Z</dcterms:modified>
</cp:coreProperties>
</file>